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65" windowWidth="19005" windowHeight="11595" tabRatio="911" firstSheet="1" activeTab="1"/>
  </bookViews>
  <sheets>
    <sheet name="__FDSCACHE__" sheetId="7" state="veryHidden" r:id="rId1"/>
    <sheet name="ImportantDisclosures" sheetId="93" r:id="rId2"/>
    <sheet name="AVGO IS" sheetId="73" r:id="rId3"/>
    <sheet name="BS " sheetId="2" r:id="rId4"/>
    <sheet name="CFS " sheetId="3" r:id="rId5"/>
    <sheet name="BU Segment AVGO-LSI" sheetId="55" r:id="rId6"/>
    <sheet name="IndexInformation" sheetId="94" r:id="rId7"/>
    <sheet name="ModPubIndex" sheetId="95" r:id="rId8"/>
    <sheet name="MW-Cache" sheetId="9" state="veryHidden" r:id="rId9"/>
  </sheets>
  <externalReferences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[1]Sheet1!$1:$1048576</definedName>
    <definedName name="_Order1" hidden="1">255</definedName>
    <definedName name="AdditionalInstructions">IndexInformation!$B$42</definedName>
    <definedName name="Address" localSheetId="1">ImportantDisclosures!$A$2:$A$2</definedName>
    <definedName name="ANA" localSheetId="7">ModPubIndex!$A$7</definedName>
    <definedName name="anscount" hidden="1">1</definedName>
    <definedName name="Authors" localSheetId="1">ImportantDisclosures!$A$7</definedName>
    <definedName name="Authors" localSheetId="6">IndexInformation!$B$18</definedName>
    <definedName name="BRO" localSheetId="7">ModPubIndex!$A$1</definedName>
    <definedName name="BS" localSheetId="5">'BS '!$B$40:$DD$40</definedName>
    <definedName name="BS">'BS '!$D$40:$CQ$40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OFFSET([2]c1!$G$12,0,0,COUNTA([2]c1!$G$12:$G$31),1)</definedName>
    <definedName name="Date" localSheetId="1">ImportantDisclosures!$A$8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1">ImportantDisclosures!#REF!</definedName>
    <definedName name="DistTablePreamble" localSheetId="1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L" localSheetId="7">ModPubIndex!$A$8</definedName>
    <definedName name="IND" localSheetId="7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KeepVersions" localSheetId="6">IndexInformation!$B$8</definedName>
    <definedName name="LanguageCode">IndexInformation!$B$38</definedName>
    <definedName name="LastCell" localSheetId="1">ImportantDisclosures!$A$22</definedName>
    <definedName name="Linking_18">#REF!</definedName>
    <definedName name="Linking_19">'CFS '!$B$5:$BY$50</definedName>
    <definedName name="Linking_29">'BS '!$B$5:$BC$38</definedName>
    <definedName name="Linking_33">'AVGO IS'!$B$5:$BZ$107</definedName>
    <definedName name="Linking_34">'CFS '!$B$5:$BZ$50</definedName>
    <definedName name="Linking_39">'AVGO IS'!$B$5:$CO$107</definedName>
    <definedName name="Linking_50">'BS '!$B$5:$BG$38</definedName>
    <definedName name="Linking_51">'CFS '!$B$5:$CA$50</definedName>
    <definedName name="Linking_53">'CFS '!$B$5:$CP$50</definedName>
    <definedName name="Linking_56">'AVGO IS'!$B$5:$CA$107</definedName>
    <definedName name="Linking_6">'BS '!$B$5:$AY$38</definedName>
    <definedName name="Linking_8">#N/A</definedName>
    <definedName name="Linking_Range_15">#REF!</definedName>
    <definedName name="Linking_Range_16">'BS '!$B$5:$BU$38</definedName>
    <definedName name="Linking_Range_17">#REF!</definedName>
    <definedName name="Linking_Range_18">'CFS '!$B$5:$BV$50</definedName>
    <definedName name="Linking_Range_21">'BS '!$B$5:$BV$38</definedName>
    <definedName name="Linking_Range_28">#REF!</definedName>
    <definedName name="Linking_Range_29">'BS '!$B$5:$AQ$38</definedName>
    <definedName name="Linking_Range_30">'CFS '!$B$5:$BW$50</definedName>
    <definedName name="Linking_Range_4">#REF!</definedName>
    <definedName name="Linking_Range_46">#REF!</definedName>
    <definedName name="Linking_Range_47">#REF!</definedName>
    <definedName name="Linking_Range_5">'BS '!$B$6:$BT$38</definedName>
    <definedName name="Linking_Range_50">'BS '!$B$5:$AU$38</definedName>
    <definedName name="Linking_Range_55">#REF!</definedName>
    <definedName name="Linking_Range_56">'CFS '!$B$5:$BX$50</definedName>
    <definedName name="Linking_Range_6">'CFS '!$B$6:$BT$50</definedName>
    <definedName name="Linking_Range_7">#REF!</definedName>
    <definedName name="Linking_Range_8">'BS '!$B$5:$BT$38</definedName>
    <definedName name="Linking_Range_9">'CFS '!$B$5:$BT$50</definedName>
    <definedName name="MacroVersion" localSheetId="6">IndexInformation!$B$1</definedName>
    <definedName name="ModelPrice" localSheetId="1">ImportantDisclosures!$A$14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PANA" localSheetId="7">ModPubIndex!$A$11</definedName>
    <definedName name="PathName" localSheetId="6">IndexInformation!$B$25</definedName>
    <definedName name="_xlnm.Print_Area" localSheetId="2">'AVGO IS'!$B$5:$BV$107</definedName>
    <definedName name="_xlnm.Print_Area" localSheetId="3">'BS '!$B$5:$BV$85</definedName>
    <definedName name="_xlnm.Print_Area" localSheetId="5">'BU Segment AVGO-LSI'!$B$5:$BU$148</definedName>
    <definedName name="_xlnm.Print_Area" localSheetId="4">'CFS '!$B$5:$BV$50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Rating" localSheetId="6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6">IndexInformation!$B$4</definedName>
    <definedName name="RIC" localSheetId="6">IndexInformation!$B$21</definedName>
    <definedName name="SECSettlement" localSheetId="1">ImportantDisclosures!#REF!</definedName>
    <definedName name="SEDOL" localSheetId="6">IndexInformation!$B$22</definedName>
    <definedName name="sencount" hidden="1">1</definedName>
    <definedName name="SourceDefined" localSheetId="1">ImportantDisclosures!$A$19</definedName>
    <definedName name="StockRating" localSheetId="1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1">ImportantDisclosures!$A$15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6">IndexInformation!$B$19</definedName>
    <definedName name="UpdateReason" localSheetId="6">IndexInformation!$B$17</definedName>
    <definedName name="USRegDisclosures" localSheetId="1">ImportantDisclosures!#REF!</definedName>
  </definedNames>
  <calcPr calcId="145621" iterate="1"/>
</workbook>
</file>

<file path=xl/calcChain.xml><?xml version="1.0" encoding="utf-8"?>
<calcChain xmlns="http://schemas.openxmlformats.org/spreadsheetml/2006/main">
  <c r="CA118" i="73" l="1"/>
  <c r="BZ118" i="73"/>
  <c r="BY118" i="73"/>
  <c r="BX118" i="73"/>
  <c r="BW118" i="73"/>
  <c r="BV118" i="73"/>
  <c r="BU118" i="73"/>
  <c r="BT118" i="73"/>
  <c r="BS118" i="73"/>
  <c r="BR118" i="73"/>
  <c r="BQ118" i="73"/>
  <c r="BP118" i="73"/>
  <c r="BO118" i="73"/>
  <c r="BN118" i="73"/>
  <c r="BM118" i="73"/>
  <c r="BK118" i="73" l="1"/>
  <c r="BJ118" i="73"/>
  <c r="BI118" i="73"/>
  <c r="BH118" i="73"/>
  <c r="BG118" i="73"/>
  <c r="BF118" i="73"/>
  <c r="BE118" i="73"/>
  <c r="BD118" i="73"/>
  <c r="BC118" i="73"/>
  <c r="BB118" i="73"/>
  <c r="BA118" i="73"/>
  <c r="AZ118" i="73"/>
  <c r="AY118" i="73"/>
  <c r="AX118" i="73"/>
  <c r="AW118" i="73"/>
  <c r="AV118" i="73"/>
  <c r="AU118" i="73"/>
  <c r="AT118" i="73"/>
  <c r="AS118" i="73"/>
  <c r="AR118" i="73"/>
  <c r="AQ118" i="73"/>
  <c r="AP118" i="73"/>
  <c r="AO118" i="73"/>
  <c r="AN118" i="73"/>
  <c r="AM118" i="73"/>
  <c r="AL118" i="73"/>
  <c r="AK118" i="73"/>
  <c r="AJ118" i="73"/>
  <c r="AI118" i="73"/>
  <c r="AH118" i="73"/>
  <c r="AG118" i="73"/>
  <c r="AF118" i="73"/>
  <c r="AC118" i="73"/>
  <c r="AD118" i="73"/>
  <c r="AE118" i="73"/>
  <c r="AB118" i="73"/>
  <c r="BE44" i="2" l="1"/>
  <c r="BD44" i="2"/>
  <c r="BA24" i="73"/>
  <c r="BE40" i="55"/>
  <c r="BG29" i="55"/>
  <c r="BF29" i="55"/>
  <c r="BE29" i="55"/>
  <c r="BE18" i="55"/>
  <c r="BA126" i="73"/>
  <c r="BA127" i="73"/>
  <c r="BA90" i="73"/>
  <c r="BB90" i="73"/>
  <c r="BD40" i="55"/>
  <c r="BB84" i="55"/>
  <c r="BB29" i="55"/>
  <c r="AZ123" i="55" l="1"/>
  <c r="AZ118" i="55"/>
  <c r="AZ113" i="55"/>
  <c r="AZ108" i="55"/>
  <c r="AZ78" i="55"/>
  <c r="AZ76" i="55"/>
  <c r="AZ34" i="55"/>
  <c r="AZ32" i="55"/>
  <c r="AZ23" i="55"/>
  <c r="AZ21" i="55"/>
  <c r="AZ12" i="55"/>
  <c r="AZ10" i="55"/>
  <c r="AY75" i="3"/>
  <c r="AY76" i="3" s="1"/>
  <c r="AY73" i="3"/>
  <c r="AY71" i="3"/>
  <c r="AY69" i="3"/>
  <c r="AY68" i="3"/>
  <c r="AY66" i="3"/>
  <c r="AZ83" i="3"/>
  <c r="AZ75" i="3"/>
  <c r="AZ69" i="3"/>
  <c r="AZ66" i="3"/>
  <c r="AZ70" i="3" s="1"/>
  <c r="AZ81" i="3" s="1"/>
  <c r="AZ80" i="3" s="1"/>
  <c r="AZ84" i="3" s="1"/>
  <c r="AZ17" i="3"/>
  <c r="AZ42" i="3"/>
  <c r="AZ32" i="3"/>
  <c r="AZ30" i="3"/>
  <c r="AZ24" i="3"/>
  <c r="AZ43" i="3"/>
  <c r="AZ33" i="3"/>
  <c r="AZ67" i="2"/>
  <c r="AZ62" i="2"/>
  <c r="AZ56" i="2"/>
  <c r="AZ60" i="2" s="1"/>
  <c r="AZ65" i="2" s="1"/>
  <c r="AZ51" i="2"/>
  <c r="AZ44" i="2" s="1"/>
  <c r="AZ49" i="2"/>
  <c r="AZ48" i="2"/>
  <c r="AZ29" i="2"/>
  <c r="AZ14" i="2"/>
  <c r="AZ20" i="2" s="1"/>
  <c r="AZ71" i="3" l="1"/>
  <c r="AZ72" i="3"/>
  <c r="AZ73" i="3" s="1"/>
  <c r="AZ76" i="3" s="1"/>
  <c r="AZ68" i="3"/>
  <c r="AZ68" i="2"/>
  <c r="AZ17" i="73"/>
  <c r="AZ129" i="73"/>
  <c r="AZ128" i="73"/>
  <c r="AZ116" i="73"/>
  <c r="AZ89" i="73"/>
  <c r="AZ164" i="73" s="1"/>
  <c r="AZ74" i="73"/>
  <c r="AZ80" i="73" s="1"/>
  <c r="AZ163" i="73" s="1"/>
  <c r="AZ56" i="73"/>
  <c r="AZ65" i="73" s="1"/>
  <c r="AZ53" i="73"/>
  <c r="AZ54" i="73" s="1"/>
  <c r="AZ47" i="73"/>
  <c r="AZ44" i="73"/>
  <c r="AZ38" i="73"/>
  <c r="AZ152" i="73" s="1"/>
  <c r="AZ157" i="73" s="1"/>
  <c r="AZ32" i="73"/>
  <c r="AZ29" i="73"/>
  <c r="AZ20" i="73"/>
  <c r="AZ21" i="73" s="1"/>
  <c r="AZ18" i="73"/>
  <c r="AZ11" i="73"/>
  <c r="AZ10" i="73"/>
  <c r="AZ45" i="73" s="1"/>
  <c r="AZ23" i="73" l="1"/>
  <c r="AZ149" i="73" s="1"/>
  <c r="AZ52" i="2"/>
  <c r="AZ153" i="73"/>
  <c r="AZ158" i="73" s="1"/>
  <c r="AZ66" i="73"/>
  <c r="AZ154" i="73" s="1"/>
  <c r="AZ98" i="73"/>
  <c r="AZ30" i="73"/>
  <c r="AZ68" i="73"/>
  <c r="AZ82" i="73" s="1"/>
  <c r="AZ39" i="73"/>
  <c r="AZ155" i="73" l="1"/>
  <c r="AZ160" i="73"/>
  <c r="AZ161" i="73" s="1"/>
  <c r="AZ24" i="73"/>
  <c r="AZ166" i="73"/>
  <c r="AZ167" i="73" s="1"/>
  <c r="AZ71" i="73"/>
  <c r="AZ72" i="73" s="1"/>
  <c r="AZ47" i="2"/>
  <c r="AZ46" i="2"/>
  <c r="AZ45" i="2" s="1"/>
  <c r="AZ150" i="73"/>
  <c r="AZ129" i="55"/>
  <c r="AZ69" i="73"/>
  <c r="AZ86" i="73"/>
  <c r="AZ92" i="73"/>
  <c r="AZ104" i="73" s="1"/>
  <c r="AZ130" i="55" l="1"/>
  <c r="AZ83" i="73"/>
  <c r="AZ90" i="73" s="1"/>
  <c r="AZ99" i="73"/>
  <c r="AZ96" i="73"/>
  <c r="AZ107" i="73" l="1"/>
  <c r="BC90" i="73" l="1"/>
  <c r="BZ94" i="73" l="1"/>
  <c r="BY94" i="73"/>
  <c r="BX94" i="73"/>
  <c r="BW94" i="73"/>
  <c r="BV94" i="73"/>
  <c r="BU94" i="73"/>
  <c r="BT94" i="73"/>
  <c r="BS94" i="73"/>
  <c r="BR94" i="73"/>
  <c r="BQ94" i="73"/>
  <c r="BP94" i="73"/>
  <c r="BO94" i="73"/>
  <c r="BN94" i="73"/>
  <c r="BM94" i="73"/>
  <c r="BB127" i="73" l="1"/>
  <c r="BC127" i="73" s="1"/>
  <c r="BD127" i="73" s="1"/>
  <c r="BE127" i="73" s="1"/>
  <c r="BF127" i="73" s="1"/>
  <c r="BB126" i="73"/>
  <c r="BC126" i="73" s="1"/>
  <c r="BD126" i="73" s="1"/>
  <c r="BE126" i="73" s="1"/>
  <c r="BF126" i="73" s="1"/>
  <c r="BA125" i="73"/>
  <c r="BB125" i="73" s="1"/>
  <c r="BC125" i="73" s="1"/>
  <c r="BD125" i="73" s="1"/>
  <c r="BE125" i="73" s="1"/>
  <c r="BF125" i="73" s="1"/>
  <c r="BB81" i="3" l="1"/>
  <c r="AV17" i="55"/>
  <c r="BC81" i="3" l="1"/>
  <c r="BE81" i="3" l="1"/>
  <c r="BX114" i="73" l="1"/>
  <c r="AY85" i="73"/>
  <c r="AY113" i="55"/>
  <c r="AY78" i="55"/>
  <c r="AY76" i="55"/>
  <c r="AY23" i="55"/>
  <c r="AY21" i="55"/>
  <c r="AY12" i="55"/>
  <c r="AY10" i="55"/>
  <c r="AY123" i="55"/>
  <c r="AY118" i="55"/>
  <c r="AY83" i="3"/>
  <c r="AY36" i="3"/>
  <c r="AY32" i="3"/>
  <c r="AY33" i="3" s="1"/>
  <c r="AY24" i="3"/>
  <c r="AY17" i="3"/>
  <c r="AY52" i="3"/>
  <c r="AY43" i="3"/>
  <c r="BG81" i="3" l="1"/>
  <c r="AY51" i="2"/>
  <c r="AY44" i="2" s="1"/>
  <c r="AY49" i="2"/>
  <c r="AY34" i="2"/>
  <c r="AY29" i="2"/>
  <c r="AY14" i="2"/>
  <c r="AY20" i="2" s="1"/>
  <c r="AY17" i="73"/>
  <c r="AY98" i="73" s="1"/>
  <c r="AY77" i="73"/>
  <c r="AY89" i="73"/>
  <c r="AY164" i="73" s="1"/>
  <c r="AY74" i="73"/>
  <c r="AY80" i="73" s="1"/>
  <c r="AY163" i="73" s="1"/>
  <c r="AY56" i="73"/>
  <c r="AY65" i="73" s="1"/>
  <c r="AY53" i="73"/>
  <c r="AY47" i="73"/>
  <c r="AY44" i="73"/>
  <c r="AY38" i="73"/>
  <c r="AY152" i="73" s="1"/>
  <c r="AY157" i="73" s="1"/>
  <c r="AY32" i="73"/>
  <c r="AY29" i="73"/>
  <c r="AY20" i="73"/>
  <c r="AY21" i="73" s="1"/>
  <c r="AY18" i="73"/>
  <c r="AY23" i="73" s="1"/>
  <c r="AY149" i="73" s="1"/>
  <c r="AY150" i="73" s="1"/>
  <c r="AY11" i="73"/>
  <c r="AY10" i="73"/>
  <c r="AY45" i="73" s="1"/>
  <c r="AY48" i="2" l="1"/>
  <c r="AY52" i="2"/>
  <c r="AY54" i="73"/>
  <c r="AY153" i="73"/>
  <c r="AY158" i="73" s="1"/>
  <c r="AY38" i="2"/>
  <c r="AY40" i="2" s="1"/>
  <c r="AY68" i="73"/>
  <c r="AY82" i="73" s="1"/>
  <c r="AY92" i="73" s="1"/>
  <c r="AY30" i="73"/>
  <c r="AY66" i="73"/>
  <c r="AY24" i="73"/>
  <c r="AY39" i="73"/>
  <c r="AY104" i="73" l="1"/>
  <c r="AY96" i="73"/>
  <c r="AY47" i="2"/>
  <c r="AY46" i="2"/>
  <c r="AY45" i="2" s="1"/>
  <c r="AY71" i="73"/>
  <c r="AY154" i="73"/>
  <c r="BI81" i="3"/>
  <c r="AY69" i="73"/>
  <c r="AY86" i="73"/>
  <c r="CA42" i="55"/>
  <c r="CA70" i="55"/>
  <c r="CA64" i="55"/>
  <c r="CA59" i="55"/>
  <c r="CA53" i="55"/>
  <c r="CA48" i="55"/>
  <c r="CA7" i="55"/>
  <c r="CA206" i="55" s="1"/>
  <c r="CP7" i="55"/>
  <c r="CP206" i="55" s="1"/>
  <c r="CP48" i="3"/>
  <c r="CP45" i="3"/>
  <c r="CP39" i="3"/>
  <c r="CP38" i="3"/>
  <c r="CP30" i="3"/>
  <c r="CP115" i="3" s="1"/>
  <c r="CP29" i="3"/>
  <c r="CP18" i="3"/>
  <c r="CP17" i="3"/>
  <c r="CP16" i="3"/>
  <c r="CP14" i="3"/>
  <c r="CP13" i="3"/>
  <c r="CP12" i="3"/>
  <c r="CP103" i="3"/>
  <c r="CP133" i="3"/>
  <c r="CP130" i="3"/>
  <c r="CP124" i="3"/>
  <c r="CP123" i="3"/>
  <c r="CP102" i="3"/>
  <c r="CP101" i="3"/>
  <c r="CP99" i="3"/>
  <c r="CP98" i="3"/>
  <c r="CP97" i="3"/>
  <c r="CA103" i="3"/>
  <c r="BH133" i="3"/>
  <c r="BI133" i="3" s="1"/>
  <c r="BJ133" i="3" s="1"/>
  <c r="BK133" i="3" s="1"/>
  <c r="CA133" i="3" s="1"/>
  <c r="BD133" i="3"/>
  <c r="BE133" i="3" s="1"/>
  <c r="BF133" i="3" s="1"/>
  <c r="BG133" i="3" s="1"/>
  <c r="BH130" i="3"/>
  <c r="BI130" i="3" s="1"/>
  <c r="BJ130" i="3" s="1"/>
  <c r="BK130" i="3" s="1"/>
  <c r="CA130" i="3" s="1"/>
  <c r="BD130" i="3"/>
  <c r="BE130" i="3" s="1"/>
  <c r="BF130" i="3" s="1"/>
  <c r="BG130" i="3" s="1"/>
  <c r="BH124" i="3"/>
  <c r="BI124" i="3" s="1"/>
  <c r="BJ124" i="3" s="1"/>
  <c r="BK124" i="3" s="1"/>
  <c r="CA124" i="3" s="1"/>
  <c r="BD124" i="3"/>
  <c r="BE124" i="3" s="1"/>
  <c r="BF124" i="3" s="1"/>
  <c r="BG124" i="3" s="1"/>
  <c r="BH123" i="3"/>
  <c r="BI123" i="3" s="1"/>
  <c r="BJ123" i="3" s="1"/>
  <c r="BK123" i="3" s="1"/>
  <c r="CA123" i="3" s="1"/>
  <c r="BD123" i="3"/>
  <c r="BE123" i="3" s="1"/>
  <c r="BF123" i="3" s="1"/>
  <c r="BG123" i="3" s="1"/>
  <c r="BH115" i="3"/>
  <c r="BI115" i="3" s="1"/>
  <c r="BJ115" i="3" s="1"/>
  <c r="BK115" i="3" s="1"/>
  <c r="CA115" i="3" s="1"/>
  <c r="BD115" i="3"/>
  <c r="BE115" i="3" s="1"/>
  <c r="BF115" i="3" s="1"/>
  <c r="BG115" i="3" s="1"/>
  <c r="BH114" i="3"/>
  <c r="BI114" i="3" s="1"/>
  <c r="BJ114" i="3" s="1"/>
  <c r="BK114" i="3" s="1"/>
  <c r="CA114" i="3" s="1"/>
  <c r="BD114" i="3"/>
  <c r="BE114" i="3" s="1"/>
  <c r="BF114" i="3" s="1"/>
  <c r="BG114" i="3" s="1"/>
  <c r="BH102" i="3"/>
  <c r="BD102" i="3"/>
  <c r="BE102" i="3" s="1"/>
  <c r="BF102" i="3" s="1"/>
  <c r="BG102" i="3" s="1"/>
  <c r="BH101" i="3"/>
  <c r="BI101" i="3" s="1"/>
  <c r="BJ101" i="3" s="1"/>
  <c r="BK101" i="3" s="1"/>
  <c r="CA101" i="3" s="1"/>
  <c r="BD101" i="3"/>
  <c r="BE101" i="3" s="1"/>
  <c r="BF101" i="3" s="1"/>
  <c r="BG101" i="3" s="1"/>
  <c r="BH99" i="3"/>
  <c r="BI99" i="3" s="1"/>
  <c r="BJ99" i="3" s="1"/>
  <c r="BK99" i="3" s="1"/>
  <c r="CA99" i="3" s="1"/>
  <c r="BD99" i="3"/>
  <c r="BE99" i="3" s="1"/>
  <c r="BF99" i="3" s="1"/>
  <c r="BG99" i="3" s="1"/>
  <c r="BH98" i="3"/>
  <c r="BD98" i="3"/>
  <c r="BE98" i="3" s="1"/>
  <c r="BF98" i="3" s="1"/>
  <c r="BG98" i="3" s="1"/>
  <c r="BH97" i="3"/>
  <c r="BI97" i="3" s="1"/>
  <c r="BJ97" i="3" s="1"/>
  <c r="BK97" i="3" s="1"/>
  <c r="CA97" i="3" s="1"/>
  <c r="BD97" i="3"/>
  <c r="BE97" i="3" s="1"/>
  <c r="BF97" i="3" s="1"/>
  <c r="BG97" i="3" s="1"/>
  <c r="CA48" i="3"/>
  <c r="CA45" i="3"/>
  <c r="CA39" i="3"/>
  <c r="CA38" i="3"/>
  <c r="CA30" i="3"/>
  <c r="CA29" i="3"/>
  <c r="CA18" i="3"/>
  <c r="CA17" i="3"/>
  <c r="CA16" i="3"/>
  <c r="CA14" i="3"/>
  <c r="CA13" i="3"/>
  <c r="CA12" i="3"/>
  <c r="CA69" i="3"/>
  <c r="CP7" i="2"/>
  <c r="CP43" i="2" s="1"/>
  <c r="CP55" i="2" s="1"/>
  <c r="CP88" i="2" s="1"/>
  <c r="CA117" i="2"/>
  <c r="CA153" i="3" s="1"/>
  <c r="CA7" i="2"/>
  <c r="CA71" i="2" s="1"/>
  <c r="BK69" i="3"/>
  <c r="BJ69" i="3"/>
  <c r="BI69" i="3"/>
  <c r="BH69" i="3"/>
  <c r="BK117" i="2"/>
  <c r="BK153" i="3" s="1"/>
  <c r="BJ117" i="2"/>
  <c r="BJ153" i="3" s="1"/>
  <c r="BI117" i="2"/>
  <c r="BI153" i="3" s="1"/>
  <c r="BH117" i="2"/>
  <c r="BH153" i="3" s="1"/>
  <c r="BI47" i="2"/>
  <c r="BJ47" i="2" s="1"/>
  <c r="BK47" i="2" s="1"/>
  <c r="BI46" i="2"/>
  <c r="BJ46" i="2" s="1"/>
  <c r="BH45" i="2"/>
  <c r="BI44" i="2"/>
  <c r="BJ44" i="2" s="1"/>
  <c r="BK44" i="2" s="1"/>
  <c r="BK7" i="2"/>
  <c r="BK43" i="2" s="1"/>
  <c r="BK55" i="2" s="1"/>
  <c r="BJ7" i="2"/>
  <c r="BJ43" i="2" s="1"/>
  <c r="BJ55" i="2" s="1"/>
  <c r="BI7" i="2"/>
  <c r="BI43" i="2" s="1"/>
  <c r="BI55" i="2" s="1"/>
  <c r="BH7" i="2"/>
  <c r="BH43" i="2" s="1"/>
  <c r="BH55" i="2" s="1"/>
  <c r="BK6" i="2"/>
  <c r="BK6" i="3" s="1"/>
  <c r="BJ6" i="2"/>
  <c r="BJ6" i="3" s="1"/>
  <c r="BI6" i="2"/>
  <c r="BI6" i="3" s="1"/>
  <c r="BH6" i="2"/>
  <c r="BH6" i="3" s="1"/>
  <c r="CP190" i="73"/>
  <c r="CP79" i="73"/>
  <c r="CP63" i="73"/>
  <c r="CP62" i="73"/>
  <c r="CP61" i="73"/>
  <c r="CP60" i="73"/>
  <c r="CP59" i="73"/>
  <c r="CP58" i="73"/>
  <c r="CP52" i="73"/>
  <c r="CP50" i="73"/>
  <c r="CP37" i="73"/>
  <c r="CP35" i="73"/>
  <c r="CP17" i="73"/>
  <c r="CP15" i="73"/>
  <c r="CP171" i="73"/>
  <c r="CP147" i="73"/>
  <c r="CP124" i="73"/>
  <c r="CP112" i="73"/>
  <c r="CA79" i="73"/>
  <c r="CA63" i="73"/>
  <c r="CA62" i="73"/>
  <c r="CA61" i="73"/>
  <c r="CA60" i="73"/>
  <c r="CA59" i="73"/>
  <c r="CA58" i="73"/>
  <c r="CA52" i="73"/>
  <c r="CA50" i="73"/>
  <c r="CA37" i="73"/>
  <c r="CA35" i="73"/>
  <c r="CA17" i="73"/>
  <c r="CA15" i="73"/>
  <c r="CA190" i="73"/>
  <c r="CA171" i="73"/>
  <c r="CA147" i="73"/>
  <c r="CA124" i="73"/>
  <c r="CA112" i="73"/>
  <c r="BK171" i="73"/>
  <c r="BJ171" i="73"/>
  <c r="BI171" i="73"/>
  <c r="BH171" i="73"/>
  <c r="BK147" i="73"/>
  <c r="BJ147" i="73"/>
  <c r="BI147" i="73"/>
  <c r="BH147" i="73"/>
  <c r="BK139" i="73"/>
  <c r="BJ139" i="73"/>
  <c r="BI139" i="73"/>
  <c r="BH139" i="73"/>
  <c r="BK132" i="73"/>
  <c r="BJ132" i="73"/>
  <c r="BI132" i="73"/>
  <c r="BH132" i="73"/>
  <c r="BK124" i="73"/>
  <c r="BJ124" i="73"/>
  <c r="BI124" i="73"/>
  <c r="BH124" i="73"/>
  <c r="BK112" i="73"/>
  <c r="BJ112" i="73"/>
  <c r="BI112" i="73"/>
  <c r="BH112" i="73"/>
  <c r="BK7" i="55"/>
  <c r="BJ7" i="55"/>
  <c r="BI7" i="55"/>
  <c r="BH7" i="55"/>
  <c r="BK6" i="55"/>
  <c r="BJ6" i="55"/>
  <c r="BI6" i="55"/>
  <c r="BH6" i="55"/>
  <c r="AY72" i="73" l="1"/>
  <c r="AY83" i="73"/>
  <c r="AY90" i="73" s="1"/>
  <c r="AY155" i="73"/>
  <c r="AY160" i="73"/>
  <c r="AY161" i="73" s="1"/>
  <c r="AY166" i="73"/>
  <c r="AY167" i="73" s="1"/>
  <c r="AY106" i="73" s="1"/>
  <c r="BJ81" i="3"/>
  <c r="CA7" i="3"/>
  <c r="CP7" i="3"/>
  <c r="CP65" i="3" s="1"/>
  <c r="CP79" i="3" s="1"/>
  <c r="CP56" i="3" s="1"/>
  <c r="CA51" i="55"/>
  <c r="CA62" i="55"/>
  <c r="CA73" i="55"/>
  <c r="CA136" i="55"/>
  <c r="CA171" i="55"/>
  <c r="CA195" i="55"/>
  <c r="CA143" i="55"/>
  <c r="CA161" i="55"/>
  <c r="CA152" i="55" s="1"/>
  <c r="CA184" i="55"/>
  <c r="CP136" i="55"/>
  <c r="CP171" i="55"/>
  <c r="CP195" i="55"/>
  <c r="CP143" i="55"/>
  <c r="CP161" i="55"/>
  <c r="CP152" i="55" s="1"/>
  <c r="CP184" i="55"/>
  <c r="CP69" i="3"/>
  <c r="CP114" i="3"/>
  <c r="BI98" i="3"/>
  <c r="BJ98" i="3" s="1"/>
  <c r="BK98" i="3" s="1"/>
  <c r="CA98" i="3" s="1"/>
  <c r="BI102" i="3"/>
  <c r="BJ102" i="3" s="1"/>
  <c r="BK102" i="3" s="1"/>
  <c r="CA102" i="3" s="1"/>
  <c r="CP71" i="2"/>
  <c r="CA43" i="2"/>
  <c r="CA55" i="2" s="1"/>
  <c r="CA88" i="2" s="1"/>
  <c r="BI7" i="3"/>
  <c r="BK7" i="3"/>
  <c r="BH7" i="3"/>
  <c r="BJ7" i="3"/>
  <c r="BI88" i="2"/>
  <c r="BI71" i="2"/>
  <c r="BK88" i="2"/>
  <c r="BK71" i="2"/>
  <c r="BK46" i="2"/>
  <c r="BJ45" i="2"/>
  <c r="BH88" i="2"/>
  <c r="BH71" i="2"/>
  <c r="BJ88" i="2"/>
  <c r="BJ71" i="2"/>
  <c r="BI45" i="2"/>
  <c r="BI206" i="55"/>
  <c r="BI195" i="55"/>
  <c r="BI184" i="55"/>
  <c r="BI171" i="55"/>
  <c r="BI161" i="55"/>
  <c r="BI152" i="55" s="1"/>
  <c r="BI143" i="55"/>
  <c r="BI136" i="55"/>
  <c r="BK206" i="55"/>
  <c r="BK195" i="55"/>
  <c r="BK184" i="55"/>
  <c r="BK171" i="55"/>
  <c r="BK161" i="55"/>
  <c r="BK152" i="55" s="1"/>
  <c r="BK143" i="55"/>
  <c r="BK136" i="55"/>
  <c r="BH206" i="55"/>
  <c r="BH195" i="55"/>
  <c r="BH184" i="55"/>
  <c r="BH171" i="55"/>
  <c r="BH161" i="55"/>
  <c r="BH152" i="55" s="1"/>
  <c r="BH143" i="55"/>
  <c r="BH136" i="55"/>
  <c r="BJ206" i="55"/>
  <c r="BJ195" i="55"/>
  <c r="BJ184" i="55"/>
  <c r="BJ171" i="55"/>
  <c r="BJ161" i="55"/>
  <c r="BJ152" i="55" s="1"/>
  <c r="BJ143" i="55"/>
  <c r="BJ136" i="55"/>
  <c r="AY99" i="73" l="1"/>
  <c r="AY107" i="73" s="1"/>
  <c r="BK81" i="3"/>
  <c r="CP92" i="3"/>
  <c r="CA65" i="3"/>
  <c r="CA79" i="3" s="1"/>
  <c r="CA56" i="3" s="1"/>
  <c r="CA92" i="3"/>
  <c r="BJ65" i="3"/>
  <c r="BJ79" i="3" s="1"/>
  <c r="BJ56" i="3" s="1"/>
  <c r="BJ92" i="3"/>
  <c r="BK65" i="3"/>
  <c r="BK79" i="3" s="1"/>
  <c r="BK56" i="3" s="1"/>
  <c r="BK92" i="3"/>
  <c r="BH65" i="3"/>
  <c r="BH79" i="3" s="1"/>
  <c r="BH56" i="3" s="1"/>
  <c r="BH92" i="3"/>
  <c r="BI65" i="3"/>
  <c r="BI79" i="3" s="1"/>
  <c r="BI56" i="3" s="1"/>
  <c r="BI92" i="3"/>
  <c r="BK45" i="2"/>
  <c r="BB76" i="73" l="1"/>
  <c r="BC76" i="73" s="1"/>
  <c r="BD76" i="73" s="1"/>
  <c r="BE76" i="73" s="1"/>
  <c r="BG125" i="73" l="1"/>
  <c r="BH125" i="73" s="1"/>
  <c r="BG126" i="73"/>
  <c r="BH126" i="73" s="1"/>
  <c r="BG127" i="73"/>
  <c r="BF76" i="73"/>
  <c r="BG76" i="73" s="1"/>
  <c r="BH76" i="73" s="1"/>
  <c r="BG44" i="2"/>
  <c r="AX148" i="73"/>
  <c r="AQ12" i="55"/>
  <c r="AP12" i="55"/>
  <c r="AU12" i="55"/>
  <c r="AT12" i="55"/>
  <c r="AS12" i="55"/>
  <c r="AR12" i="55"/>
  <c r="AX12" i="55"/>
  <c r="AW12" i="55"/>
  <c r="AV12" i="55"/>
  <c r="BH127" i="73" l="1"/>
  <c r="BI127" i="73" s="1"/>
  <c r="BJ127" i="73" s="1"/>
  <c r="BI125" i="73"/>
  <c r="BJ125" i="73" s="1"/>
  <c r="CP125" i="73"/>
  <c r="BI76" i="73"/>
  <c r="BJ76" i="73" s="1"/>
  <c r="BK76" i="73" s="1"/>
  <c r="BI126" i="73"/>
  <c r="BJ126" i="73" s="1"/>
  <c r="BK126" i="73" s="1"/>
  <c r="CP76" i="73"/>
  <c r="BH129" i="73"/>
  <c r="CP126" i="73"/>
  <c r="AX113" i="55"/>
  <c r="AX108" i="55"/>
  <c r="AX78" i="55"/>
  <c r="AX76" i="55"/>
  <c r="AX123" i="55"/>
  <c r="AX34" i="55"/>
  <c r="AX32" i="55"/>
  <c r="AX23" i="55"/>
  <c r="AX21" i="55"/>
  <c r="AX10" i="55"/>
  <c r="AX118" i="55"/>
  <c r="CP127" i="73" l="1"/>
  <c r="CP128" i="73" s="1"/>
  <c r="BH128" i="73"/>
  <c r="BH183" i="73" s="1"/>
  <c r="BI129" i="73"/>
  <c r="BI128" i="73"/>
  <c r="CA126" i="73"/>
  <c r="CA76" i="73"/>
  <c r="BK127" i="73"/>
  <c r="CA127" i="73" s="1"/>
  <c r="BJ129" i="73"/>
  <c r="BK125" i="73"/>
  <c r="CA125" i="73" s="1"/>
  <c r="BJ128" i="73"/>
  <c r="AX83" i="3"/>
  <c r="AX75" i="3"/>
  <c r="AX66" i="3"/>
  <c r="AX68" i="3" s="1"/>
  <c r="AX17" i="3"/>
  <c r="AX52" i="3"/>
  <c r="AX43" i="3"/>
  <c r="AX33" i="3"/>
  <c r="AX94" i="2"/>
  <c r="AX95" i="2" s="1"/>
  <c r="AX90" i="2"/>
  <c r="AX91" i="2" s="1"/>
  <c r="AX81" i="2"/>
  <c r="AX80" i="2"/>
  <c r="AX76" i="2"/>
  <c r="AX72" i="2"/>
  <c r="AX75" i="2" s="1"/>
  <c r="AX51" i="2"/>
  <c r="AX48" i="2" s="1"/>
  <c r="AX49" i="2"/>
  <c r="AX34" i="2"/>
  <c r="AX29" i="2"/>
  <c r="AX14" i="2"/>
  <c r="AX17" i="73"/>
  <c r="AX191" i="73"/>
  <c r="AX192" i="73" s="1"/>
  <c r="AX177" i="73"/>
  <c r="AX98" i="73"/>
  <c r="AX89" i="73"/>
  <c r="AX74" i="73"/>
  <c r="AX80" i="73" s="1"/>
  <c r="AX163" i="73" s="1"/>
  <c r="AX56" i="73"/>
  <c r="AX65" i="73" s="1"/>
  <c r="AX53" i="73"/>
  <c r="AX153" i="73" s="1"/>
  <c r="AX158" i="73" s="1"/>
  <c r="AX47" i="73"/>
  <c r="AX44" i="73"/>
  <c r="AX38" i="73"/>
  <c r="AX32" i="73"/>
  <c r="AX29" i="73"/>
  <c r="AX20" i="73"/>
  <c r="AX21" i="73" s="1"/>
  <c r="AX18" i="73"/>
  <c r="AX23" i="73" s="1"/>
  <c r="AX11" i="73"/>
  <c r="AX10" i="73"/>
  <c r="AX45" i="73" s="1"/>
  <c r="AX85" i="2" l="1"/>
  <c r="BH101" i="73"/>
  <c r="BH15" i="3" s="1"/>
  <c r="BH58" i="3" s="1"/>
  <c r="BI183" i="73"/>
  <c r="BI101" i="73"/>
  <c r="BI15" i="3" s="1"/>
  <c r="BI58" i="3" s="1"/>
  <c r="AX20" i="2"/>
  <c r="CA128" i="73"/>
  <c r="BK129" i="73"/>
  <c r="BJ183" i="73"/>
  <c r="BJ101" i="73"/>
  <c r="BJ15" i="3" s="1"/>
  <c r="BJ58" i="3" s="1"/>
  <c r="BK128" i="73"/>
  <c r="AX24" i="73"/>
  <c r="AX149" i="73"/>
  <c r="AX150" i="73" s="1"/>
  <c r="AX39" i="73"/>
  <c r="AX152" i="73"/>
  <c r="AX157" i="73" s="1"/>
  <c r="AX52" i="2"/>
  <c r="AX77" i="2"/>
  <c r="AX82" i="2"/>
  <c r="AX184" i="73"/>
  <c r="AX175" i="73"/>
  <c r="AX176" i="73" s="1"/>
  <c r="AX185" i="73" s="1"/>
  <c r="AX44" i="2"/>
  <c r="AX38" i="2"/>
  <c r="AX66" i="73"/>
  <c r="AX30" i="73"/>
  <c r="AX68" i="73"/>
  <c r="AX82" i="73" s="1"/>
  <c r="AX92" i="73" s="1"/>
  <c r="AX54" i="73"/>
  <c r="BH100" i="3" l="1"/>
  <c r="BI100" i="3" s="1"/>
  <c r="BJ100" i="3" s="1"/>
  <c r="AX104" i="73"/>
  <c r="AX96" i="73"/>
  <c r="AX83" i="2"/>
  <c r="BK183" i="73"/>
  <c r="BK101" i="73"/>
  <c r="BK15" i="3" s="1"/>
  <c r="BK58" i="3" s="1"/>
  <c r="AX46" i="2"/>
  <c r="AX47" i="2"/>
  <c r="AX71" i="73"/>
  <c r="AX154" i="73"/>
  <c r="AX69" i="73"/>
  <c r="AX86" i="73"/>
  <c r="AX72" i="73" l="1"/>
  <c r="BK100" i="3"/>
  <c r="CA100" i="3" s="1"/>
  <c r="CA15" i="3"/>
  <c r="CA58" i="3" s="1"/>
  <c r="AX45" i="2"/>
  <c r="AX83" i="73"/>
  <c r="AX99" i="73" s="1"/>
  <c r="AX107" i="73" s="1"/>
  <c r="AX155" i="73"/>
  <c r="AX160" i="73"/>
  <c r="AX161" i="73" s="1"/>
  <c r="AX174" i="73"/>
  <c r="AX178" i="73" s="1"/>
  <c r="AX179" i="73" s="1"/>
  <c r="AX182" i="73"/>
  <c r="AX9" i="3"/>
  <c r="AX25" i="3" s="1"/>
  <c r="AX49" i="3" l="1"/>
  <c r="AX90" i="73"/>
  <c r="AT75" i="3" l="1"/>
  <c r="AS75" i="3"/>
  <c r="AR75" i="3"/>
  <c r="AS69" i="3"/>
  <c r="AR69" i="3"/>
  <c r="AT66" i="3"/>
  <c r="AT68" i="3" s="1"/>
  <c r="AS66" i="3"/>
  <c r="AS68" i="3" s="1"/>
  <c r="AR66" i="3"/>
  <c r="AR68" i="3" s="1"/>
  <c r="AP75" i="3"/>
  <c r="AO75" i="3"/>
  <c r="AN75" i="3"/>
  <c r="AO69" i="3"/>
  <c r="AN69" i="3"/>
  <c r="AP66" i="3"/>
  <c r="AP68" i="3" s="1"/>
  <c r="AO66" i="3"/>
  <c r="AO68" i="3" s="1"/>
  <c r="AN66" i="3"/>
  <c r="AN68" i="3" s="1"/>
  <c r="AQ66" i="3"/>
  <c r="AQ68" i="3" s="1"/>
  <c r="AQ69" i="3"/>
  <c r="AQ75" i="3"/>
  <c r="AU66" i="3"/>
  <c r="AU68" i="3" s="1"/>
  <c r="AV66" i="3"/>
  <c r="AV68" i="3" s="1"/>
  <c r="AW66" i="3"/>
  <c r="AW68" i="3" s="1"/>
  <c r="AU69" i="3"/>
  <c r="AV69" i="3"/>
  <c r="AW69" i="3"/>
  <c r="AW75" i="3"/>
  <c r="AR70" i="3" l="1"/>
  <c r="AN70" i="3"/>
  <c r="CK85" i="73"/>
  <c r="AS70" i="3" l="1"/>
  <c r="AR72" i="3"/>
  <c r="AR73" i="3" s="1"/>
  <c r="AR76" i="3" s="1"/>
  <c r="AO70" i="3"/>
  <c r="AN72" i="3"/>
  <c r="AN73" i="3" s="1"/>
  <c r="AN76" i="3" s="1"/>
  <c r="AS72" i="3" l="1"/>
  <c r="AS73" i="3" s="1"/>
  <c r="AS76" i="3" s="1"/>
  <c r="AT70" i="3"/>
  <c r="AO72" i="3"/>
  <c r="AO73" i="3" s="1"/>
  <c r="AO76" i="3" s="1"/>
  <c r="AP70" i="3"/>
  <c r="AT72" i="3" l="1"/>
  <c r="AT73" i="3" s="1"/>
  <c r="AT76" i="3" s="1"/>
  <c r="AP72" i="3"/>
  <c r="AP73" i="3" s="1"/>
  <c r="AP76" i="3" s="1"/>
  <c r="AQ73" i="3" l="1"/>
  <c r="AQ76" i="3" s="1"/>
  <c r="AW118" i="55" l="1"/>
  <c r="AW123" i="55"/>
  <c r="AW108" i="55"/>
  <c r="AX109" i="55" s="1"/>
  <c r="AW78" i="55"/>
  <c r="AW76" i="55"/>
  <c r="AW34" i="55"/>
  <c r="AW32" i="55"/>
  <c r="AW23" i="55"/>
  <c r="AW21" i="55"/>
  <c r="AW10" i="55"/>
  <c r="AW137" i="3"/>
  <c r="AW83" i="3"/>
  <c r="AW17" i="3"/>
  <c r="AW52" i="3"/>
  <c r="AW43" i="3"/>
  <c r="AW33" i="3"/>
  <c r="AW51" i="2"/>
  <c r="AW44" i="2" s="1"/>
  <c r="AW34" i="2"/>
  <c r="AW33" i="2"/>
  <c r="AW26" i="2"/>
  <c r="AW49" i="2" s="1"/>
  <c r="AW14" i="2"/>
  <c r="AW20" i="2" s="1"/>
  <c r="AW148" i="73"/>
  <c r="AW113" i="55" s="1"/>
  <c r="AW17" i="73"/>
  <c r="AW18" i="73" s="1"/>
  <c r="AW23" i="73" s="1"/>
  <c r="AW24" i="73" s="1"/>
  <c r="AW47" i="73"/>
  <c r="AW32" i="73"/>
  <c r="AW89" i="73"/>
  <c r="AW75" i="73"/>
  <c r="AW74" i="73" s="1"/>
  <c r="AW80" i="73" s="1"/>
  <c r="AW56" i="73"/>
  <c r="AW65" i="73" s="1"/>
  <c r="AW53" i="73"/>
  <c r="AW54" i="73" s="1"/>
  <c r="AW44" i="73"/>
  <c r="AW38" i="73"/>
  <c r="AW29" i="73"/>
  <c r="AW20" i="73"/>
  <c r="AW21" i="73" s="1"/>
  <c r="AW11" i="73"/>
  <c r="AW10" i="73"/>
  <c r="AW45" i="73" s="1"/>
  <c r="AW48" i="2" l="1"/>
  <c r="AW29" i="2"/>
  <c r="AW38" i="2" s="1"/>
  <c r="AW40" i="2" s="1"/>
  <c r="AW149" i="73"/>
  <c r="AW52" i="2"/>
  <c r="AW66" i="73"/>
  <c r="AW71" i="73" s="1"/>
  <c r="AW79" i="55"/>
  <c r="AW98" i="73"/>
  <c r="AW39" i="73"/>
  <c r="AW30" i="73"/>
  <c r="AW68" i="73"/>
  <c r="AW69" i="73" s="1"/>
  <c r="AW83" i="73" l="1"/>
  <c r="AW99" i="73" s="1"/>
  <c r="AW46" i="2"/>
  <c r="AW47" i="2"/>
  <c r="AW82" i="73"/>
  <c r="AW86" i="73" s="1"/>
  <c r="AW90" i="73"/>
  <c r="AW72" i="73"/>
  <c r="AW45" i="2" l="1"/>
  <c r="AW92" i="73"/>
  <c r="AW96" i="73" l="1"/>
  <c r="AW104" i="73"/>
  <c r="BC68" i="3" l="1"/>
  <c r="BD68" i="3" s="1"/>
  <c r="BE68" i="3" s="1"/>
  <c r="BF68" i="3" s="1"/>
  <c r="BG68" i="3" s="1"/>
  <c r="BH68" i="3" s="1"/>
  <c r="BI68" i="3" l="1"/>
  <c r="BA34" i="2"/>
  <c r="BB34" i="2" s="1"/>
  <c r="BC34" i="2" s="1"/>
  <c r="BD34" i="2" s="1"/>
  <c r="BE34" i="2" s="1"/>
  <c r="BF34" i="2" s="1"/>
  <c r="BG34" i="2" s="1"/>
  <c r="BH34" i="2" s="1"/>
  <c r="CP34" i="2" s="1"/>
  <c r="BJ68" i="3" l="1"/>
  <c r="BI34" i="2"/>
  <c r="BB115" i="73"/>
  <c r="BC115" i="73" s="1"/>
  <c r="BD115" i="73" s="1"/>
  <c r="BE115" i="73" s="1"/>
  <c r="BK68" i="3" l="1"/>
  <c r="BJ34" i="2"/>
  <c r="BF115" i="73"/>
  <c r="BG115" i="73" s="1"/>
  <c r="BH115" i="73" s="1"/>
  <c r="AV32" i="73"/>
  <c r="CP115" i="73" l="1"/>
  <c r="BI115" i="73"/>
  <c r="BJ115" i="73" s="1"/>
  <c r="BK115" i="73" s="1"/>
  <c r="BK34" i="2"/>
  <c r="CA34" i="2" s="1"/>
  <c r="AV123" i="55"/>
  <c r="AV118" i="55"/>
  <c r="AV108" i="55"/>
  <c r="AV78" i="55"/>
  <c r="AV76" i="55"/>
  <c r="AV34" i="55"/>
  <c r="AV32" i="55"/>
  <c r="AV23" i="55"/>
  <c r="AV21" i="55"/>
  <c r="AV10" i="55"/>
  <c r="AV36" i="3"/>
  <c r="AV17" i="3"/>
  <c r="AV83" i="3"/>
  <c r="AV75" i="3"/>
  <c r="AV60" i="3"/>
  <c r="AV59" i="3"/>
  <c r="AV58" i="3"/>
  <c r="AV52" i="3"/>
  <c r="AV43" i="3"/>
  <c r="AV33" i="3"/>
  <c r="AV34" i="2"/>
  <c r="AV94" i="2"/>
  <c r="AV95" i="2" s="1"/>
  <c r="AV90" i="2"/>
  <c r="AV91" i="2" s="1"/>
  <c r="AV81" i="2"/>
  <c r="AV80" i="2"/>
  <c r="AV76" i="2"/>
  <c r="AV72" i="2"/>
  <c r="AV75" i="2" s="1"/>
  <c r="AV67" i="2"/>
  <c r="AV62" i="2"/>
  <c r="AV51" i="2"/>
  <c r="AV44" i="2" s="1"/>
  <c r="AV49" i="2"/>
  <c r="AV29" i="2"/>
  <c r="AV38" i="2" s="1"/>
  <c r="AV14" i="2"/>
  <c r="AV78" i="73"/>
  <c r="AV17" i="73"/>
  <c r="AV148" i="73"/>
  <c r="AV77" i="73"/>
  <c r="AV79" i="73"/>
  <c r="AV129" i="73" s="1"/>
  <c r="AV47" i="73"/>
  <c r="AV191" i="73"/>
  <c r="AV192" i="73" s="1"/>
  <c r="AV184" i="73" s="1"/>
  <c r="AV177" i="73"/>
  <c r="AV171" i="73"/>
  <c r="AV147" i="73"/>
  <c r="AV139" i="73"/>
  <c r="AV132" i="73"/>
  <c r="AV128" i="73"/>
  <c r="AV124" i="73"/>
  <c r="AV116" i="73"/>
  <c r="AV112" i="73"/>
  <c r="AV89" i="73"/>
  <c r="AV56" i="73"/>
  <c r="AV65" i="73" s="1"/>
  <c r="AV53" i="73"/>
  <c r="AV44" i="73"/>
  <c r="AV38" i="73"/>
  <c r="AV29" i="73"/>
  <c r="AV20" i="73"/>
  <c r="AV11" i="73"/>
  <c r="AV10" i="73"/>
  <c r="AW109" i="55" l="1"/>
  <c r="AZ111" i="55"/>
  <c r="AV74" i="73"/>
  <c r="AV80" i="73" s="1"/>
  <c r="AV163" i="73" s="1"/>
  <c r="AV186" i="73"/>
  <c r="AV164" i="73"/>
  <c r="AV101" i="73"/>
  <c r="CA115" i="73"/>
  <c r="AV13" i="55"/>
  <c r="AV30" i="73"/>
  <c r="AV45" i="73"/>
  <c r="AV113" i="55"/>
  <c r="AV153" i="73"/>
  <c r="AV158" i="73" s="1"/>
  <c r="AV77" i="2"/>
  <c r="AV24" i="55"/>
  <c r="AV35" i="55"/>
  <c r="AV79" i="55"/>
  <c r="AV82" i="2"/>
  <c r="AV85" i="2"/>
  <c r="AV20" i="2"/>
  <c r="AV40" i="2" s="1"/>
  <c r="AV48" i="2"/>
  <c r="AV68" i="73"/>
  <c r="AV175" i="73"/>
  <c r="AV176" i="73" s="1"/>
  <c r="AV185" i="73" s="1"/>
  <c r="AV183" i="73"/>
  <c r="AV152" i="73"/>
  <c r="AV157" i="73" s="1"/>
  <c r="AV66" i="73"/>
  <c r="AV154" i="73" s="1"/>
  <c r="AV39" i="73"/>
  <c r="AV98" i="73"/>
  <c r="AV18" i="73"/>
  <c r="AV21" i="73"/>
  <c r="AV54" i="73"/>
  <c r="AV155" i="73" l="1"/>
  <c r="AV83" i="2"/>
  <c r="AV82" i="73"/>
  <c r="AV86" i="73" s="1"/>
  <c r="AV23" i="73"/>
  <c r="AV71" i="73" s="1"/>
  <c r="AV52" i="2"/>
  <c r="AV69" i="73"/>
  <c r="AV92" i="73"/>
  <c r="AV9" i="3" l="1"/>
  <c r="AV25" i="3" s="1"/>
  <c r="AV49" i="3" s="1"/>
  <c r="AV96" i="73"/>
  <c r="AV24" i="73"/>
  <c r="AV149" i="73"/>
  <c r="AV129" i="55" s="1"/>
  <c r="AV15" i="55" s="1"/>
  <c r="AV18" i="55" s="1"/>
  <c r="AV46" i="2"/>
  <c r="AV45" i="2" s="1"/>
  <c r="AV47" i="2"/>
  <c r="AV83" i="73"/>
  <c r="AV72" i="73"/>
  <c r="AV182" i="73"/>
  <c r="AV187" i="73" s="1"/>
  <c r="AV174" i="73"/>
  <c r="AV178" i="73" s="1"/>
  <c r="AV179" i="73" s="1"/>
  <c r="AV104" i="73"/>
  <c r="AV57" i="3" l="1"/>
  <c r="AV61" i="3" s="1"/>
  <c r="AV160" i="73"/>
  <c r="AV161" i="73" s="1"/>
  <c r="AV150" i="73"/>
  <c r="AV166" i="73"/>
  <c r="AV167" i="73" s="1"/>
  <c r="AV106" i="73" s="1"/>
  <c r="AV37" i="55"/>
  <c r="AV40" i="55" s="1"/>
  <c r="AV81" i="55"/>
  <c r="AV84" i="55" s="1"/>
  <c r="AV26" i="55"/>
  <c r="AV29" i="55" s="1"/>
  <c r="AV99" i="73"/>
  <c r="AV90" i="73"/>
  <c r="AV130" i="55" l="1"/>
  <c r="AV126" i="55"/>
  <c r="AV127" i="55" s="1"/>
  <c r="AV107" i="73"/>
  <c r="AV102" i="73"/>
  <c r="BX48" i="3" l="1"/>
  <c r="BZ117" i="2" l="1"/>
  <c r="BZ153" i="3" s="1"/>
  <c r="BG117" i="2"/>
  <c r="BG153" i="3" s="1"/>
  <c r="BF117" i="2"/>
  <c r="BF153" i="3" s="1"/>
  <c r="BE117" i="2"/>
  <c r="BE153" i="3" s="1"/>
  <c r="BD117" i="2"/>
  <c r="BD153" i="3" s="1"/>
  <c r="CO7" i="55"/>
  <c r="CO206" i="55" s="1"/>
  <c r="CO48" i="3"/>
  <c r="CO133" i="3" s="1"/>
  <c r="CO45" i="3"/>
  <c r="CO39" i="3"/>
  <c r="CO124" i="3" s="1"/>
  <c r="CO38" i="3"/>
  <c r="CO123" i="3" s="1"/>
  <c r="CO30" i="3"/>
  <c r="CO29" i="3"/>
  <c r="CO17" i="3"/>
  <c r="CO102" i="3" s="1"/>
  <c r="CO16" i="3"/>
  <c r="CO101" i="3" s="1"/>
  <c r="CO14" i="3"/>
  <c r="CO99" i="3" s="1"/>
  <c r="CO13" i="3"/>
  <c r="CO98" i="3" s="1"/>
  <c r="CO12" i="3"/>
  <c r="CO97" i="3" s="1"/>
  <c r="CO114" i="3"/>
  <c r="CO103" i="3"/>
  <c r="CO130" i="3"/>
  <c r="CO115" i="3"/>
  <c r="CO7" i="2"/>
  <c r="CO71" i="2" s="1"/>
  <c r="CO190" i="73"/>
  <c r="CO79" i="73"/>
  <c r="CO63" i="73"/>
  <c r="CO62" i="73"/>
  <c r="CO61" i="73"/>
  <c r="CO60" i="73"/>
  <c r="CO59" i="73"/>
  <c r="CO58" i="73"/>
  <c r="CO52" i="73"/>
  <c r="CO50" i="73"/>
  <c r="CO37" i="73"/>
  <c r="CO35" i="73"/>
  <c r="CO17" i="73"/>
  <c r="CO15" i="73"/>
  <c r="CO171" i="73"/>
  <c r="CO147" i="73"/>
  <c r="CO124" i="73"/>
  <c r="CO112" i="73"/>
  <c r="BZ70" i="55"/>
  <c r="CA72" i="55" s="1"/>
  <c r="BZ64" i="55"/>
  <c r="CA67" i="55" s="1"/>
  <c r="BZ59" i="55"/>
  <c r="CA61" i="55" s="1"/>
  <c r="BZ53" i="55"/>
  <c r="CA56" i="55" s="1"/>
  <c r="BZ48" i="55"/>
  <c r="CA50" i="55" s="1"/>
  <c r="BZ42" i="55"/>
  <c r="CA45" i="55" s="1"/>
  <c r="BZ7" i="55"/>
  <c r="BZ206" i="55" s="1"/>
  <c r="BZ48" i="3"/>
  <c r="BZ45" i="3"/>
  <c r="BZ39" i="3"/>
  <c r="BZ38" i="3"/>
  <c r="BZ30" i="3"/>
  <c r="BZ29" i="3"/>
  <c r="BZ18" i="3"/>
  <c r="BZ17" i="3"/>
  <c r="BZ16" i="3"/>
  <c r="BZ14" i="3"/>
  <c r="BZ69" i="3" s="1"/>
  <c r="BZ13" i="3"/>
  <c r="BZ12" i="3"/>
  <c r="BZ133" i="3"/>
  <c r="BZ130" i="3"/>
  <c r="BZ124" i="3"/>
  <c r="BZ123" i="3"/>
  <c r="BZ115" i="3"/>
  <c r="BZ114" i="3"/>
  <c r="BZ102" i="3"/>
  <c r="BZ101" i="3"/>
  <c r="BZ99" i="3"/>
  <c r="BZ98" i="3"/>
  <c r="BZ97" i="3"/>
  <c r="BZ7" i="2"/>
  <c r="BZ71" i="2" s="1"/>
  <c r="BZ190" i="73"/>
  <c r="BZ79" i="73"/>
  <c r="BZ63" i="73"/>
  <c r="BZ62" i="73"/>
  <c r="BZ61" i="73"/>
  <c r="BZ60" i="73"/>
  <c r="BZ59" i="73"/>
  <c r="BZ58" i="73"/>
  <c r="BZ52" i="73"/>
  <c r="BZ50" i="73"/>
  <c r="BZ37" i="73"/>
  <c r="BZ35" i="73"/>
  <c r="BZ17" i="73"/>
  <c r="BZ15" i="73"/>
  <c r="BZ171" i="73"/>
  <c r="BZ147" i="73"/>
  <c r="BZ124" i="73"/>
  <c r="BZ112" i="73"/>
  <c r="BG69" i="3"/>
  <c r="BF69" i="3"/>
  <c r="BE69" i="3"/>
  <c r="BD69" i="3"/>
  <c r="BG7" i="2"/>
  <c r="BF7" i="2"/>
  <c r="BE7" i="2"/>
  <c r="BD7" i="2"/>
  <c r="BD43" i="2" s="1"/>
  <c r="BD55" i="2" s="1"/>
  <c r="BG6" i="2"/>
  <c r="BG6" i="3" s="1"/>
  <c r="BF6" i="2"/>
  <c r="BF6" i="3" s="1"/>
  <c r="BE6" i="2"/>
  <c r="BE6" i="3" s="1"/>
  <c r="BD6" i="2"/>
  <c r="BD6" i="3" s="1"/>
  <c r="BG171" i="73"/>
  <c r="BF171" i="73"/>
  <c r="BE171" i="73"/>
  <c r="BD171" i="73"/>
  <c r="BG147" i="73"/>
  <c r="BF147" i="73"/>
  <c r="BE147" i="73"/>
  <c r="BD147" i="73"/>
  <c r="BG139" i="73"/>
  <c r="BF139" i="73"/>
  <c r="BE139" i="73"/>
  <c r="BD139" i="73"/>
  <c r="BG132" i="73"/>
  <c r="BF132" i="73"/>
  <c r="BE132" i="73"/>
  <c r="BD132" i="73"/>
  <c r="BG124" i="73"/>
  <c r="BF124" i="73"/>
  <c r="BE124" i="73"/>
  <c r="BD124" i="73"/>
  <c r="BG112" i="73"/>
  <c r="BF112" i="73"/>
  <c r="BE112" i="73"/>
  <c r="BD112" i="73"/>
  <c r="BG7" i="55"/>
  <c r="BF7" i="55"/>
  <c r="BE7" i="55"/>
  <c r="BD7" i="55"/>
  <c r="BG6" i="55"/>
  <c r="BF6" i="55"/>
  <c r="BE6" i="55"/>
  <c r="BD6" i="55"/>
  <c r="BD206" i="55" l="1"/>
  <c r="BE206" i="55"/>
  <c r="BG206" i="55"/>
  <c r="BF206" i="55"/>
  <c r="CO7" i="3"/>
  <c r="CO65" i="3" s="1"/>
  <c r="CO79" i="3" s="1"/>
  <c r="CO56" i="3" s="1"/>
  <c r="CO136" i="55"/>
  <c r="CO171" i="55"/>
  <c r="CO195" i="55"/>
  <c r="CO143" i="55"/>
  <c r="CO161" i="55"/>
  <c r="CO152" i="55" s="1"/>
  <c r="CO184" i="55"/>
  <c r="CO69" i="3"/>
  <c r="CO43" i="2"/>
  <c r="CO55" i="2" s="1"/>
  <c r="CO88" i="2" s="1"/>
  <c r="BZ7" i="3"/>
  <c r="BF43" i="2"/>
  <c r="BF55" i="2" s="1"/>
  <c r="BF88" i="2" s="1"/>
  <c r="BF7" i="3"/>
  <c r="BZ51" i="55"/>
  <c r="BZ62" i="55"/>
  <c r="BZ73" i="55"/>
  <c r="BZ136" i="55"/>
  <c r="BZ171" i="55"/>
  <c r="BZ195" i="55"/>
  <c r="BZ143" i="55"/>
  <c r="BZ161" i="55"/>
  <c r="BZ152" i="55" s="1"/>
  <c r="BZ184" i="55"/>
  <c r="BZ43" i="2"/>
  <c r="BZ55" i="2" s="1"/>
  <c r="BZ88" i="2" s="1"/>
  <c r="BD7" i="3"/>
  <c r="BE136" i="55"/>
  <c r="BE143" i="55"/>
  <c r="BE161" i="55"/>
  <c r="BE152" i="55" s="1"/>
  <c r="BE171" i="55"/>
  <c r="BE184" i="55"/>
  <c r="BE195" i="55"/>
  <c r="BG136" i="55"/>
  <c r="BG143" i="55"/>
  <c r="BG161" i="55"/>
  <c r="BG152" i="55" s="1"/>
  <c r="BG171" i="55"/>
  <c r="BG184" i="55"/>
  <c r="BG195" i="55"/>
  <c r="BE43" i="2"/>
  <c r="BE55" i="2" s="1"/>
  <c r="BE88" i="2" s="1"/>
  <c r="BE7" i="3"/>
  <c r="BG43" i="2"/>
  <c r="BG55" i="2" s="1"/>
  <c r="BG88" i="2" s="1"/>
  <c r="BG7" i="3"/>
  <c r="BD136" i="55"/>
  <c r="BF136" i="55"/>
  <c r="BD143" i="55"/>
  <c r="BF143" i="55"/>
  <c r="BD161" i="55"/>
  <c r="BD152" i="55" s="1"/>
  <c r="BF161" i="55"/>
  <c r="BF152" i="55" s="1"/>
  <c r="BD171" i="55"/>
  <c r="BF171" i="55"/>
  <c r="BD184" i="55"/>
  <c r="BF184" i="55"/>
  <c r="BD195" i="55"/>
  <c r="BF195" i="55"/>
  <c r="BD88" i="2"/>
  <c r="BD71" i="2"/>
  <c r="AU178" i="55"/>
  <c r="CO92" i="3" l="1"/>
  <c r="BF65" i="3"/>
  <c r="BF79" i="3" s="1"/>
  <c r="BF56" i="3" s="1"/>
  <c r="BF92" i="3"/>
  <c r="BG65" i="3"/>
  <c r="BG79" i="3" s="1"/>
  <c r="BG56" i="3" s="1"/>
  <c r="BG92" i="3"/>
  <c r="BE65" i="3"/>
  <c r="BE79" i="3" s="1"/>
  <c r="BE56" i="3" s="1"/>
  <c r="BE92" i="3"/>
  <c r="BD65" i="3"/>
  <c r="BD79" i="3" s="1"/>
  <c r="BD56" i="3" s="1"/>
  <c r="BD92" i="3"/>
  <c r="BF71" i="2"/>
  <c r="BG71" i="2"/>
  <c r="BE71" i="2"/>
  <c r="BZ65" i="3"/>
  <c r="BZ79" i="3" s="1"/>
  <c r="BZ56" i="3" s="1"/>
  <c r="BZ92" i="3"/>
  <c r="AU75" i="3"/>
  <c r="AU123" i="55"/>
  <c r="AU118" i="55"/>
  <c r="BD86" i="73" l="1"/>
  <c r="BD90" i="73"/>
  <c r="BE90" i="73" s="1"/>
  <c r="BF90" i="73" s="1"/>
  <c r="BG90" i="73" s="1"/>
  <c r="BH90" i="73" s="1"/>
  <c r="BI90" i="73" s="1"/>
  <c r="BJ90" i="73" s="1"/>
  <c r="BK90" i="73" s="1"/>
  <c r="CM127" i="73"/>
  <c r="AU47" i="73"/>
  <c r="AU32" i="73"/>
  <c r="CM115" i="73"/>
  <c r="AU113" i="55"/>
  <c r="AU78" i="55"/>
  <c r="AU76" i="55"/>
  <c r="AU34" i="55"/>
  <c r="AU32" i="55"/>
  <c r="AU23" i="55"/>
  <c r="AU21" i="55"/>
  <c r="AU10" i="55"/>
  <c r="BW200" i="73"/>
  <c r="BW198" i="73"/>
  <c r="AU191" i="73"/>
  <c r="AT191" i="73"/>
  <c r="AT192" i="73" s="1"/>
  <c r="AT184" i="73" s="1"/>
  <c r="AS191" i="73"/>
  <c r="AS192" i="73" s="1"/>
  <c r="AS175" i="73" s="1"/>
  <c r="AR191" i="73"/>
  <c r="AR192" i="73" s="1"/>
  <c r="AR184" i="73" s="1"/>
  <c r="AQ191" i="73"/>
  <c r="AP191" i="73"/>
  <c r="AP192" i="73" s="1"/>
  <c r="AP184" i="73" s="1"/>
  <c r="AO191" i="73"/>
  <c r="AO192" i="73" s="1"/>
  <c r="AO184" i="73" s="1"/>
  <c r="AN191" i="73"/>
  <c r="AN192" i="73" s="1"/>
  <c r="AN175" i="73" s="1"/>
  <c r="AM191" i="73"/>
  <c r="AM192" i="73" s="1"/>
  <c r="AL191" i="73"/>
  <c r="AL192" i="73" s="1"/>
  <c r="AL184" i="73" s="1"/>
  <c r="AK191" i="73"/>
  <c r="AK192" i="73" s="1"/>
  <c r="AK184" i="73" s="1"/>
  <c r="AJ191" i="73"/>
  <c r="AJ192" i="73" s="1"/>
  <c r="AJ175" i="73" s="1"/>
  <c r="AI191" i="73"/>
  <c r="AH191" i="73"/>
  <c r="AH192" i="73" s="1"/>
  <c r="AH184" i="73" s="1"/>
  <c r="AG191" i="73"/>
  <c r="AG192" i="73" s="1"/>
  <c r="AG184" i="73" s="1"/>
  <c r="AF191" i="73"/>
  <c r="AF192" i="73" s="1"/>
  <c r="AF175" i="73" s="1"/>
  <c r="AE191" i="73"/>
  <c r="AD191" i="73"/>
  <c r="AD192" i="73" s="1"/>
  <c r="AD184" i="73" s="1"/>
  <c r="AC191" i="73"/>
  <c r="AC192" i="73" s="1"/>
  <c r="AC184" i="73" s="1"/>
  <c r="AB191" i="73"/>
  <c r="AB192" i="73" s="1"/>
  <c r="AB175" i="73" s="1"/>
  <c r="AA191" i="73"/>
  <c r="Z191" i="73"/>
  <c r="Z192" i="73" s="1"/>
  <c r="Z184" i="73" s="1"/>
  <c r="Y191" i="73"/>
  <c r="Y192" i="73" s="1"/>
  <c r="Y184" i="73" s="1"/>
  <c r="X191" i="73"/>
  <c r="X192" i="73" s="1"/>
  <c r="X175" i="73" s="1"/>
  <c r="W191" i="73"/>
  <c r="W192" i="73" s="1"/>
  <c r="V191" i="73"/>
  <c r="V192" i="73" s="1"/>
  <c r="V184" i="73" s="1"/>
  <c r="U191" i="73"/>
  <c r="U192" i="73" s="1"/>
  <c r="U184" i="73" s="1"/>
  <c r="T191" i="73"/>
  <c r="T192" i="73" s="1"/>
  <c r="T175" i="73" s="1"/>
  <c r="S191" i="73"/>
  <c r="R191" i="73"/>
  <c r="R192" i="73" s="1"/>
  <c r="R184" i="73" s="1"/>
  <c r="Q191" i="73"/>
  <c r="Q192" i="73" s="1"/>
  <c r="Q184" i="73" s="1"/>
  <c r="P191" i="73"/>
  <c r="P192" i="73" s="1"/>
  <c r="P175" i="73" s="1"/>
  <c r="O191" i="73"/>
  <c r="N191" i="73"/>
  <c r="N192" i="73" s="1"/>
  <c r="N184" i="73" s="1"/>
  <c r="M191" i="73"/>
  <c r="M192" i="73" s="1"/>
  <c r="M184" i="73" s="1"/>
  <c r="L191" i="73"/>
  <c r="L192" i="73" s="1"/>
  <c r="L175" i="73" s="1"/>
  <c r="K191" i="73"/>
  <c r="J191" i="73"/>
  <c r="J192" i="73" s="1"/>
  <c r="J184" i="73" s="1"/>
  <c r="I191" i="73"/>
  <c r="I192" i="73" s="1"/>
  <c r="I184" i="73" s="1"/>
  <c r="H191" i="73"/>
  <c r="H192" i="73" s="1"/>
  <c r="H175" i="73" s="1"/>
  <c r="G191" i="73"/>
  <c r="G192" i="73" s="1"/>
  <c r="F191" i="73"/>
  <c r="F192" i="73" s="1"/>
  <c r="F184" i="73" s="1"/>
  <c r="E191" i="73"/>
  <c r="E192" i="73" s="1"/>
  <c r="E184" i="73" s="1"/>
  <c r="D191" i="73"/>
  <c r="D192" i="73" s="1"/>
  <c r="D184" i="73" s="1"/>
  <c r="CN190" i="73"/>
  <c r="CM190" i="73"/>
  <c r="CL190" i="73"/>
  <c r="CK190" i="73"/>
  <c r="CJ190" i="73"/>
  <c r="CI190" i="73"/>
  <c r="CH190" i="73"/>
  <c r="CG190" i="73"/>
  <c r="CF190" i="73"/>
  <c r="CE190" i="73"/>
  <c r="CD190" i="73"/>
  <c r="CC190" i="73"/>
  <c r="BY190" i="73"/>
  <c r="BX190" i="73"/>
  <c r="BW190" i="73"/>
  <c r="BV190" i="73"/>
  <c r="BU190" i="73"/>
  <c r="BT190" i="73"/>
  <c r="BS190" i="73"/>
  <c r="BR190" i="73"/>
  <c r="BQ190" i="73"/>
  <c r="BP190" i="73"/>
  <c r="BO190" i="73"/>
  <c r="BN190" i="73"/>
  <c r="BM190" i="73"/>
  <c r="AU177" i="73"/>
  <c r="AT177" i="73"/>
  <c r="AS177" i="73"/>
  <c r="AR177" i="73"/>
  <c r="AQ177" i="73"/>
  <c r="AP177" i="73"/>
  <c r="AO177" i="73"/>
  <c r="AN177" i="73"/>
  <c r="AM177" i="73"/>
  <c r="AL177" i="73"/>
  <c r="AK177" i="73"/>
  <c r="AJ177" i="73"/>
  <c r="AI177" i="73"/>
  <c r="AH177" i="73"/>
  <c r="AH186" i="73" s="1"/>
  <c r="AG177" i="73"/>
  <c r="AF177" i="73"/>
  <c r="AF186" i="73" s="1"/>
  <c r="AE177" i="73"/>
  <c r="AE186" i="73" s="1"/>
  <c r="AD177" i="73"/>
  <c r="AD186" i="73" s="1"/>
  <c r="AC177" i="73"/>
  <c r="AB177" i="73"/>
  <c r="AA177" i="73"/>
  <c r="AA186" i="73" s="1"/>
  <c r="Z177" i="73"/>
  <c r="Z186" i="73" s="1"/>
  <c r="Y177" i="73"/>
  <c r="X177" i="73"/>
  <c r="W177" i="73"/>
  <c r="W186" i="73" s="1"/>
  <c r="V177" i="73"/>
  <c r="V186" i="73" s="1"/>
  <c r="U177" i="73"/>
  <c r="U186" i="73" s="1"/>
  <c r="T177" i="73"/>
  <c r="S177" i="73"/>
  <c r="S186" i="73" s="1"/>
  <c r="R177" i="73"/>
  <c r="R186" i="73" s="1"/>
  <c r="Q177" i="73"/>
  <c r="P177" i="73"/>
  <c r="P186" i="73" s="1"/>
  <c r="O177" i="73"/>
  <c r="O186" i="73" s="1"/>
  <c r="N177" i="73"/>
  <c r="N186" i="73" s="1"/>
  <c r="M177" i="73"/>
  <c r="L177" i="73"/>
  <c r="K177" i="73"/>
  <c r="K186" i="73" s="1"/>
  <c r="J177" i="73"/>
  <c r="J186" i="73" s="1"/>
  <c r="I177" i="73"/>
  <c r="H177" i="73"/>
  <c r="G177" i="73"/>
  <c r="G186" i="73" s="1"/>
  <c r="F177" i="73"/>
  <c r="F186" i="73" s="1"/>
  <c r="E177" i="73"/>
  <c r="E186" i="73" s="1"/>
  <c r="D177" i="73"/>
  <c r="CN171" i="73"/>
  <c r="CM171" i="73"/>
  <c r="CL171" i="73"/>
  <c r="CK171" i="73"/>
  <c r="CJ171" i="73"/>
  <c r="CI171" i="73"/>
  <c r="CH171" i="73"/>
  <c r="CG171" i="73"/>
  <c r="CF171" i="73"/>
  <c r="CE171" i="73"/>
  <c r="CD171" i="73"/>
  <c r="CC171" i="73"/>
  <c r="BY171" i="73"/>
  <c r="BX171" i="73"/>
  <c r="BW171" i="73"/>
  <c r="BV171" i="73"/>
  <c r="BU171" i="73"/>
  <c r="BT171" i="73"/>
  <c r="BS171" i="73"/>
  <c r="BR171" i="73"/>
  <c r="BQ171" i="73"/>
  <c r="BP171" i="73"/>
  <c r="BO171" i="73"/>
  <c r="BN171" i="73"/>
  <c r="BM171" i="73"/>
  <c r="BC171" i="73"/>
  <c r="BB171" i="73"/>
  <c r="BA171" i="73"/>
  <c r="AY171" i="73"/>
  <c r="AX171" i="73"/>
  <c r="AW171" i="73"/>
  <c r="AU171" i="73"/>
  <c r="AT171" i="73"/>
  <c r="AS171" i="73"/>
  <c r="AR171" i="73"/>
  <c r="AQ171" i="73"/>
  <c r="AP171" i="73"/>
  <c r="AO171" i="73"/>
  <c r="AN171" i="73"/>
  <c r="AM171" i="73"/>
  <c r="AL171" i="73"/>
  <c r="AK171" i="73"/>
  <c r="AJ171" i="73"/>
  <c r="AI171" i="73"/>
  <c r="AH171" i="73"/>
  <c r="AG171" i="73"/>
  <c r="AF171" i="73"/>
  <c r="AE171" i="73"/>
  <c r="AD171" i="73"/>
  <c r="AC171" i="73"/>
  <c r="AB171" i="73"/>
  <c r="AA171" i="73"/>
  <c r="Z171" i="73"/>
  <c r="Y171" i="73"/>
  <c r="X171" i="73"/>
  <c r="W171" i="73"/>
  <c r="V171" i="73"/>
  <c r="U171" i="73"/>
  <c r="T171" i="73"/>
  <c r="S171" i="73"/>
  <c r="R171" i="73"/>
  <c r="Q171" i="73"/>
  <c r="P171" i="73"/>
  <c r="O171" i="73"/>
  <c r="N171" i="73"/>
  <c r="M171" i="73"/>
  <c r="L171" i="73"/>
  <c r="K171" i="73"/>
  <c r="J171" i="73"/>
  <c r="I171" i="73"/>
  <c r="H171" i="73"/>
  <c r="G171" i="73"/>
  <c r="F171" i="73"/>
  <c r="E171" i="73"/>
  <c r="D171" i="73"/>
  <c r="AT148" i="73"/>
  <c r="AS148" i="73"/>
  <c r="AR148" i="73"/>
  <c r="AO148" i="73"/>
  <c r="AO147" i="73"/>
  <c r="AK148" i="73"/>
  <c r="AJ148" i="73"/>
  <c r="AI148" i="73"/>
  <c r="AH148" i="73"/>
  <c r="AG148" i="73"/>
  <c r="AF148" i="73"/>
  <c r="AE148" i="73"/>
  <c r="AD148" i="73"/>
  <c r="AC148" i="73"/>
  <c r="AB148" i="73"/>
  <c r="AA148" i="73"/>
  <c r="Z148" i="73"/>
  <c r="Y148" i="73"/>
  <c r="X148" i="73"/>
  <c r="W148" i="73"/>
  <c r="V148" i="73"/>
  <c r="U148" i="73"/>
  <c r="T148" i="73"/>
  <c r="S148" i="73"/>
  <c r="R148" i="73"/>
  <c r="Q148" i="73"/>
  <c r="P148" i="73"/>
  <c r="O148" i="73"/>
  <c r="N148" i="73"/>
  <c r="M148" i="73"/>
  <c r="L148" i="73"/>
  <c r="K148" i="73"/>
  <c r="J148" i="73"/>
  <c r="I148" i="73"/>
  <c r="H148" i="73"/>
  <c r="G148" i="73"/>
  <c r="F148" i="73"/>
  <c r="E148" i="73"/>
  <c r="D148" i="73"/>
  <c r="CN147" i="73"/>
  <c r="CM147" i="73"/>
  <c r="CL147" i="73"/>
  <c r="CK147" i="73"/>
  <c r="CJ147" i="73"/>
  <c r="CI147" i="73"/>
  <c r="CH147" i="73"/>
  <c r="CG147" i="73"/>
  <c r="CF147" i="73"/>
  <c r="CE147" i="73"/>
  <c r="CD147" i="73"/>
  <c r="CC147" i="73"/>
  <c r="BY147" i="73"/>
  <c r="BX147" i="73"/>
  <c r="BW147" i="73"/>
  <c r="BV147" i="73"/>
  <c r="BU147" i="73"/>
  <c r="BT147" i="73"/>
  <c r="BS147" i="73"/>
  <c r="BR147" i="73"/>
  <c r="BQ147" i="73"/>
  <c r="BP147" i="73"/>
  <c r="BO147" i="73"/>
  <c r="BN147" i="73"/>
  <c r="BM147" i="73"/>
  <c r="BC147" i="73"/>
  <c r="BB147" i="73"/>
  <c r="BA147" i="73"/>
  <c r="AY147" i="73"/>
  <c r="AX147" i="73"/>
  <c r="AW147" i="73"/>
  <c r="AU147" i="73"/>
  <c r="AT147" i="73"/>
  <c r="AS147" i="73"/>
  <c r="AR147" i="73"/>
  <c r="AQ147" i="73"/>
  <c r="AP147" i="73"/>
  <c r="AN147" i="73"/>
  <c r="AM147" i="73"/>
  <c r="AL147" i="73"/>
  <c r="AK147" i="73"/>
  <c r="AJ147" i="73"/>
  <c r="AI147" i="73"/>
  <c r="AH147" i="73"/>
  <c r="AG147" i="73"/>
  <c r="AF147" i="73"/>
  <c r="AE147" i="73"/>
  <c r="AD147" i="73"/>
  <c r="AC147" i="73"/>
  <c r="AB147" i="73"/>
  <c r="AA147" i="73"/>
  <c r="Z147" i="73"/>
  <c r="Y147" i="73"/>
  <c r="X147" i="73"/>
  <c r="W147" i="73"/>
  <c r="V147" i="73"/>
  <c r="U147" i="73"/>
  <c r="T147" i="73"/>
  <c r="S147" i="73"/>
  <c r="R147" i="73"/>
  <c r="Q147" i="73"/>
  <c r="P147" i="73"/>
  <c r="O147" i="73"/>
  <c r="N147" i="73"/>
  <c r="M147" i="73"/>
  <c r="L147" i="73"/>
  <c r="K147" i="73"/>
  <c r="J147" i="73"/>
  <c r="I147" i="73"/>
  <c r="H147" i="73"/>
  <c r="G147" i="73"/>
  <c r="F147" i="73"/>
  <c r="E147" i="73"/>
  <c r="D147" i="73"/>
  <c r="AW142" i="73"/>
  <c r="AX142" i="73" s="1"/>
  <c r="AY142" i="73" s="1"/>
  <c r="AZ142" i="73" s="1"/>
  <c r="BA142" i="73" s="1"/>
  <c r="BB142" i="73" s="1"/>
  <c r="BC142" i="73" s="1"/>
  <c r="BD142" i="73" s="1"/>
  <c r="BE142" i="73" s="1"/>
  <c r="BF142" i="73" s="1"/>
  <c r="BG142" i="73" s="1"/>
  <c r="BH142" i="73" s="1"/>
  <c r="BI142" i="73" s="1"/>
  <c r="BJ142" i="73" s="1"/>
  <c r="BK142" i="73" s="1"/>
  <c r="AW141" i="73"/>
  <c r="AX141" i="73" s="1"/>
  <c r="AY141" i="73" s="1"/>
  <c r="AZ141" i="73" s="1"/>
  <c r="BA141" i="73" s="1"/>
  <c r="BB141" i="73" s="1"/>
  <c r="BC141" i="73" s="1"/>
  <c r="BD141" i="73" s="1"/>
  <c r="BE141" i="73" s="1"/>
  <c r="BF141" i="73" s="1"/>
  <c r="BG141" i="73" s="1"/>
  <c r="BH141" i="73" s="1"/>
  <c r="BI141" i="73" s="1"/>
  <c r="BJ141" i="73" s="1"/>
  <c r="BK141" i="73" s="1"/>
  <c r="AW140" i="73"/>
  <c r="AX140" i="73" s="1"/>
  <c r="AY140" i="73" s="1"/>
  <c r="AZ140" i="73" s="1"/>
  <c r="BA140" i="73" s="1"/>
  <c r="BB140" i="73" s="1"/>
  <c r="BC140" i="73" s="1"/>
  <c r="BD140" i="73" s="1"/>
  <c r="BE140" i="73" s="1"/>
  <c r="BF140" i="73" s="1"/>
  <c r="BG140" i="73" s="1"/>
  <c r="BH140" i="73" s="1"/>
  <c r="BI140" i="73" s="1"/>
  <c r="BJ140" i="73" s="1"/>
  <c r="BK140" i="73" s="1"/>
  <c r="BC139" i="73"/>
  <c r="BB139" i="73"/>
  <c r="BA139" i="73"/>
  <c r="AY139" i="73"/>
  <c r="AX139" i="73"/>
  <c r="AW139" i="73"/>
  <c r="AU139" i="73"/>
  <c r="AT139" i="73"/>
  <c r="AS139" i="73"/>
  <c r="AR139" i="73"/>
  <c r="AQ139" i="73"/>
  <c r="AP139" i="73"/>
  <c r="AO139" i="73"/>
  <c r="AN139" i="73"/>
  <c r="AM139" i="73"/>
  <c r="AL139" i="73"/>
  <c r="AK139" i="73"/>
  <c r="AJ139" i="73"/>
  <c r="AI139" i="73"/>
  <c r="AH139" i="73"/>
  <c r="AG139" i="73"/>
  <c r="AF139" i="73"/>
  <c r="BC132" i="73"/>
  <c r="BB132" i="73"/>
  <c r="BA132" i="73"/>
  <c r="AY132" i="73"/>
  <c r="AX132" i="73"/>
  <c r="AW132" i="73"/>
  <c r="AU132" i="73"/>
  <c r="AT132" i="73"/>
  <c r="AS132" i="73"/>
  <c r="AR132" i="73"/>
  <c r="AQ132" i="73"/>
  <c r="AP132" i="73"/>
  <c r="AO132" i="73"/>
  <c r="AN132" i="73"/>
  <c r="AM132" i="73"/>
  <c r="AL132" i="73"/>
  <c r="AK132" i="73"/>
  <c r="AJ132" i="73"/>
  <c r="AI132" i="73"/>
  <c r="AH132" i="73"/>
  <c r="AG132" i="73"/>
  <c r="AF132" i="73"/>
  <c r="AQ129" i="73"/>
  <c r="AP129" i="73"/>
  <c r="AM129" i="73"/>
  <c r="AL129" i="73"/>
  <c r="AK129" i="73"/>
  <c r="AI129" i="73"/>
  <c r="AI128" i="73"/>
  <c r="AI183" i="73" s="1"/>
  <c r="AG129" i="73"/>
  <c r="AG128" i="73"/>
  <c r="AG183" i="73" s="1"/>
  <c r="AT129" i="73"/>
  <c r="AU128" i="73"/>
  <c r="AU183" i="73" s="1"/>
  <c r="AT128" i="73"/>
  <c r="AT183" i="73" s="1"/>
  <c r="AS128" i="73"/>
  <c r="AS183" i="73" s="1"/>
  <c r="AR128" i="73"/>
  <c r="AR183" i="73" s="1"/>
  <c r="AQ128" i="73"/>
  <c r="AQ183" i="73" s="1"/>
  <c r="AP128" i="73"/>
  <c r="AP183" i="73" s="1"/>
  <c r="AO128" i="73"/>
  <c r="AO183" i="73" s="1"/>
  <c r="AN128" i="73"/>
  <c r="AN183" i="73" s="1"/>
  <c r="AM128" i="73"/>
  <c r="AM183" i="73" s="1"/>
  <c r="AL128" i="73"/>
  <c r="AL183" i="73" s="1"/>
  <c r="AK128" i="73"/>
  <c r="AK183" i="73" s="1"/>
  <c r="AJ128" i="73"/>
  <c r="AJ183" i="73" s="1"/>
  <c r="AH128" i="73"/>
  <c r="AH183" i="73" s="1"/>
  <c r="AF128" i="73"/>
  <c r="AF183" i="73" s="1"/>
  <c r="AE128" i="73"/>
  <c r="AE183" i="73" s="1"/>
  <c r="AD128" i="73"/>
  <c r="AD183" i="73" s="1"/>
  <c r="AC128" i="73"/>
  <c r="AC183" i="73" s="1"/>
  <c r="AB128" i="73"/>
  <c r="AB183" i="73" s="1"/>
  <c r="AA128" i="73"/>
  <c r="AA183" i="73" s="1"/>
  <c r="Z128" i="73"/>
  <c r="Z183" i="73" s="1"/>
  <c r="Y128" i="73"/>
  <c r="Y183" i="73" s="1"/>
  <c r="X128" i="73"/>
  <c r="X183" i="73" s="1"/>
  <c r="W128" i="73"/>
  <c r="W183" i="73" s="1"/>
  <c r="V128" i="73"/>
  <c r="V183" i="73" s="1"/>
  <c r="U128" i="73"/>
  <c r="U183" i="73" s="1"/>
  <c r="T128" i="73"/>
  <c r="T183" i="73" s="1"/>
  <c r="S128" i="73"/>
  <c r="S183" i="73" s="1"/>
  <c r="R128" i="73"/>
  <c r="R183" i="73" s="1"/>
  <c r="Q128" i="73"/>
  <c r="Q183" i="73" s="1"/>
  <c r="P128" i="73"/>
  <c r="P183" i="73" s="1"/>
  <c r="O128" i="73"/>
  <c r="O183" i="73" s="1"/>
  <c r="N128" i="73"/>
  <c r="N183" i="73" s="1"/>
  <c r="M128" i="73"/>
  <c r="M183" i="73" s="1"/>
  <c r="L128" i="73"/>
  <c r="L183" i="73" s="1"/>
  <c r="K128" i="73"/>
  <c r="K183" i="73" s="1"/>
  <c r="J128" i="73"/>
  <c r="J183" i="73" s="1"/>
  <c r="I128" i="73"/>
  <c r="I183" i="73" s="1"/>
  <c r="H128" i="73"/>
  <c r="H183" i="73" s="1"/>
  <c r="G128" i="73"/>
  <c r="G183" i="73" s="1"/>
  <c r="F128" i="73"/>
  <c r="F183" i="73" s="1"/>
  <c r="E128" i="73"/>
  <c r="E183" i="73" s="1"/>
  <c r="D128" i="73"/>
  <c r="D183" i="73" s="1"/>
  <c r="CI129" i="73"/>
  <c r="CH129" i="73"/>
  <c r="CG129" i="73"/>
  <c r="CF129" i="73"/>
  <c r="CE129" i="73"/>
  <c r="CD129" i="73"/>
  <c r="CC129" i="73"/>
  <c r="CL127" i="73"/>
  <c r="CK127" i="73"/>
  <c r="CJ127" i="73"/>
  <c r="CI127" i="73"/>
  <c r="CH127" i="73"/>
  <c r="CG127" i="73"/>
  <c r="CF127" i="73"/>
  <c r="CE127" i="73"/>
  <c r="CD127" i="73"/>
  <c r="CC127" i="73"/>
  <c r="CL126" i="73"/>
  <c r="CK126" i="73"/>
  <c r="CJ126" i="73"/>
  <c r="CI126" i="73"/>
  <c r="CH126" i="73"/>
  <c r="CG126" i="73"/>
  <c r="CF126" i="73"/>
  <c r="CE126" i="73"/>
  <c r="CD126" i="73"/>
  <c r="CC126" i="73"/>
  <c r="CL125" i="73"/>
  <c r="CL128" i="73" s="1"/>
  <c r="CK125" i="73"/>
  <c r="CJ125" i="73"/>
  <c r="CI125" i="73"/>
  <c r="CI128" i="73" s="1"/>
  <c r="CH125" i="73"/>
  <c r="CH128" i="73" s="1"/>
  <c r="CG125" i="73"/>
  <c r="CF125" i="73"/>
  <c r="CE125" i="73"/>
  <c r="CE128" i="73" s="1"/>
  <c r="CD125" i="73"/>
  <c r="CD128" i="73" s="1"/>
  <c r="CC125" i="73"/>
  <c r="CN124" i="73"/>
  <c r="CM124" i="73"/>
  <c r="CL124" i="73"/>
  <c r="CK124" i="73"/>
  <c r="CJ124" i="73"/>
  <c r="CI124" i="73"/>
  <c r="CH124" i="73"/>
  <c r="CG124" i="73"/>
  <c r="CF124" i="73"/>
  <c r="CE124" i="73"/>
  <c r="CD124" i="73"/>
  <c r="CC124" i="73"/>
  <c r="BS129" i="73"/>
  <c r="BR129" i="73"/>
  <c r="BQ129" i="73"/>
  <c r="BP129" i="73"/>
  <c r="BO129" i="73"/>
  <c r="BN129" i="73"/>
  <c r="BM129" i="73"/>
  <c r="BW127" i="73"/>
  <c r="BV127" i="73"/>
  <c r="BU127" i="73"/>
  <c r="BT127" i="73"/>
  <c r="BS127" i="73"/>
  <c r="BR127" i="73"/>
  <c r="BQ127" i="73"/>
  <c r="BP127" i="73"/>
  <c r="BO127" i="73"/>
  <c r="BN127" i="73"/>
  <c r="BM127" i="73"/>
  <c r="BW126" i="73"/>
  <c r="BV126" i="73"/>
  <c r="BU126" i="73"/>
  <c r="BT126" i="73"/>
  <c r="BS126" i="73"/>
  <c r="BR126" i="73"/>
  <c r="BQ126" i="73"/>
  <c r="BP126" i="73"/>
  <c r="BO126" i="73"/>
  <c r="BN126" i="73"/>
  <c r="BM126" i="73"/>
  <c r="BW125" i="73"/>
  <c r="BV125" i="73"/>
  <c r="BU125" i="73"/>
  <c r="BT125" i="73"/>
  <c r="BS125" i="73"/>
  <c r="BR125" i="73"/>
  <c r="BQ125" i="73"/>
  <c r="BP125" i="73"/>
  <c r="BO125" i="73"/>
  <c r="BN125" i="73"/>
  <c r="BM125" i="73"/>
  <c r="BY124" i="73"/>
  <c r="BX124" i="73"/>
  <c r="BW124" i="73"/>
  <c r="BV124" i="73"/>
  <c r="BU124" i="73"/>
  <c r="BT124" i="73"/>
  <c r="BS124" i="73"/>
  <c r="BR124" i="73"/>
  <c r="BQ124" i="73"/>
  <c r="BP124" i="73"/>
  <c r="BO124" i="73"/>
  <c r="BN124" i="73"/>
  <c r="BM124" i="73"/>
  <c r="BC124" i="73"/>
  <c r="BB124" i="73"/>
  <c r="BA124" i="73"/>
  <c r="AY124" i="73"/>
  <c r="AX124" i="73"/>
  <c r="AW124" i="73"/>
  <c r="AU124" i="73"/>
  <c r="AT124" i="73"/>
  <c r="AS124" i="73"/>
  <c r="AR124" i="73"/>
  <c r="AQ124" i="73"/>
  <c r="AP124" i="73"/>
  <c r="AO124" i="73"/>
  <c r="AN124" i="73"/>
  <c r="AM124" i="73"/>
  <c r="AL124" i="73"/>
  <c r="AK124" i="73"/>
  <c r="AJ124" i="73"/>
  <c r="AI124" i="73"/>
  <c r="AH124" i="73"/>
  <c r="AG124" i="73"/>
  <c r="AF124" i="73"/>
  <c r="AE124" i="73"/>
  <c r="AD124" i="73"/>
  <c r="AC124" i="73"/>
  <c r="AB124" i="73"/>
  <c r="AA124" i="73"/>
  <c r="Z124" i="73"/>
  <c r="Y124" i="73"/>
  <c r="X124" i="73"/>
  <c r="W124" i="73"/>
  <c r="V124" i="73"/>
  <c r="U124" i="73"/>
  <c r="T124" i="73"/>
  <c r="S124" i="73"/>
  <c r="R124" i="73"/>
  <c r="Q124" i="73"/>
  <c r="P124" i="73"/>
  <c r="O124" i="73"/>
  <c r="N124" i="73"/>
  <c r="M124" i="73"/>
  <c r="L124" i="73"/>
  <c r="K124" i="73"/>
  <c r="J124" i="73"/>
  <c r="I124" i="73"/>
  <c r="H124" i="73"/>
  <c r="G124" i="73"/>
  <c r="F124" i="73"/>
  <c r="E124" i="73"/>
  <c r="D124" i="73"/>
  <c r="AA120" i="73"/>
  <c r="Z120" i="73"/>
  <c r="Y120" i="73"/>
  <c r="X120" i="73"/>
  <c r="W120" i="73"/>
  <c r="V120" i="73"/>
  <c r="U120" i="73"/>
  <c r="T120" i="73"/>
  <c r="S120" i="73"/>
  <c r="R120" i="73"/>
  <c r="O120" i="73"/>
  <c r="CG118" i="73"/>
  <c r="CF118" i="73"/>
  <c r="AU120" i="73"/>
  <c r="AR120" i="73"/>
  <c r="AS120" i="73" s="1"/>
  <c r="AQ120" i="73"/>
  <c r="CK118" i="73"/>
  <c r="AM120" i="73"/>
  <c r="AK120" i="73"/>
  <c r="CJ118" i="73"/>
  <c r="AG120" i="73"/>
  <c r="CI118" i="73"/>
  <c r="AE120" i="73"/>
  <c r="AD120" i="73"/>
  <c r="AC120" i="73"/>
  <c r="AB120" i="73"/>
  <c r="Q118" i="73"/>
  <c r="Q120" i="73" s="1"/>
  <c r="P118" i="73"/>
  <c r="CE118" i="73" s="1"/>
  <c r="N118" i="73"/>
  <c r="N120" i="73" s="1"/>
  <c r="M118" i="73"/>
  <c r="M120" i="73" s="1"/>
  <c r="L118" i="73"/>
  <c r="L120" i="73" s="1"/>
  <c r="K118" i="73"/>
  <c r="K120" i="73" s="1"/>
  <c r="J118" i="73"/>
  <c r="J120" i="73" s="1"/>
  <c r="I118" i="73"/>
  <c r="I120" i="73" s="1"/>
  <c r="H118" i="73"/>
  <c r="H120" i="73" s="1"/>
  <c r="G118" i="73"/>
  <c r="G120" i="73" s="1"/>
  <c r="F118" i="73"/>
  <c r="F120" i="73" s="1"/>
  <c r="E118" i="73"/>
  <c r="E120" i="73" s="1"/>
  <c r="D118" i="73"/>
  <c r="D120" i="73" s="1"/>
  <c r="AU116" i="73"/>
  <c r="AT116" i="73"/>
  <c r="AS116" i="73"/>
  <c r="AR116" i="73"/>
  <c r="AQ116" i="73"/>
  <c r="AP116" i="73"/>
  <c r="AO116" i="73"/>
  <c r="AN116" i="73"/>
  <c r="AM116" i="73"/>
  <c r="AL116" i="73"/>
  <c r="AK116" i="73"/>
  <c r="AJ116" i="73"/>
  <c r="AI116" i="73"/>
  <c r="AH116" i="73"/>
  <c r="AG116" i="73"/>
  <c r="AF116" i="73"/>
  <c r="AE116" i="73"/>
  <c r="AD116" i="73"/>
  <c r="AC116" i="73"/>
  <c r="AB116" i="73"/>
  <c r="AA116" i="73"/>
  <c r="Z116" i="73"/>
  <c r="Y116" i="73"/>
  <c r="X116" i="73"/>
  <c r="W116" i="73"/>
  <c r="V116" i="73"/>
  <c r="U116" i="73"/>
  <c r="T116" i="73"/>
  <c r="S116" i="73"/>
  <c r="R116" i="73"/>
  <c r="Q116" i="73"/>
  <c r="P116" i="73"/>
  <c r="N116" i="73"/>
  <c r="O113" i="73"/>
  <c r="O116" i="73" s="1"/>
  <c r="O112" i="73"/>
  <c r="M113" i="73"/>
  <c r="M116" i="73" s="1"/>
  <c r="L113" i="73"/>
  <c r="L116" i="73" s="1"/>
  <c r="K113" i="73"/>
  <c r="K116" i="73" s="1"/>
  <c r="J113" i="73"/>
  <c r="I113" i="73"/>
  <c r="I116" i="73" s="1"/>
  <c r="H113" i="73"/>
  <c r="H116" i="73" s="1"/>
  <c r="G113" i="73"/>
  <c r="G116" i="73" s="1"/>
  <c r="F113" i="73"/>
  <c r="F116" i="73" s="1"/>
  <c r="E113" i="73"/>
  <c r="E116" i="73" s="1"/>
  <c r="D113" i="73"/>
  <c r="D116" i="73" s="1"/>
  <c r="CL115" i="73"/>
  <c r="CK115" i="73"/>
  <c r="CJ115" i="73"/>
  <c r="CI115" i="73"/>
  <c r="CH115" i="73"/>
  <c r="CG115" i="73"/>
  <c r="CF115" i="73"/>
  <c r="CE115" i="73"/>
  <c r="CD115" i="73"/>
  <c r="CC115" i="73"/>
  <c r="CL114" i="73"/>
  <c r="CK114" i="73"/>
  <c r="CJ114" i="73"/>
  <c r="CI114" i="73"/>
  <c r="CH114" i="73"/>
  <c r="CG114" i="73"/>
  <c r="CF114" i="73"/>
  <c r="CE114" i="73"/>
  <c r="CD114" i="73"/>
  <c r="CC114" i="73"/>
  <c r="CL113" i="73"/>
  <c r="CK113" i="73"/>
  <c r="CJ113" i="73"/>
  <c r="CI113" i="73"/>
  <c r="CH113" i="73"/>
  <c r="CG113" i="73"/>
  <c r="CF113" i="73"/>
  <c r="CN112" i="73"/>
  <c r="CM112" i="73"/>
  <c r="CL112" i="73"/>
  <c r="CK112" i="73"/>
  <c r="CJ112" i="73"/>
  <c r="CI112" i="73"/>
  <c r="CH112" i="73"/>
  <c r="CG112" i="73"/>
  <c r="CF112" i="73"/>
  <c r="CE112" i="73"/>
  <c r="CD112" i="73"/>
  <c r="CC112" i="73"/>
  <c r="BW115" i="73"/>
  <c r="BV115" i="73"/>
  <c r="BU115" i="73"/>
  <c r="BT115" i="73"/>
  <c r="BS115" i="73"/>
  <c r="BR115" i="73"/>
  <c r="BQ115" i="73"/>
  <c r="BP115" i="73"/>
  <c r="BO115" i="73"/>
  <c r="BN115" i="73"/>
  <c r="BM115" i="73"/>
  <c r="BW114" i="73"/>
  <c r="BV114" i="73"/>
  <c r="BU114" i="73"/>
  <c r="BT114" i="73"/>
  <c r="BS114" i="73"/>
  <c r="BR114" i="73"/>
  <c r="BQ114" i="73"/>
  <c r="BP114" i="73"/>
  <c r="BO114" i="73"/>
  <c r="BN114" i="73"/>
  <c r="BM114" i="73"/>
  <c r="BW113" i="73"/>
  <c r="BV113" i="73"/>
  <c r="BU113" i="73"/>
  <c r="BT113" i="73"/>
  <c r="BS113" i="73"/>
  <c r="BR113" i="73"/>
  <c r="BQ113" i="73"/>
  <c r="BP113" i="73"/>
  <c r="BY112" i="73"/>
  <c r="BX112" i="73"/>
  <c r="BW112" i="73"/>
  <c r="BV112" i="73"/>
  <c r="BU112" i="73"/>
  <c r="BT112" i="73"/>
  <c r="BS112" i="73"/>
  <c r="BR112" i="73"/>
  <c r="BQ112" i="73"/>
  <c r="BP112" i="73"/>
  <c r="BO112" i="73"/>
  <c r="BN112" i="73"/>
  <c r="BM112" i="73"/>
  <c r="CM114" i="73"/>
  <c r="BC112" i="73"/>
  <c r="BB112" i="73"/>
  <c r="BA112" i="73"/>
  <c r="AY112" i="73"/>
  <c r="AX112" i="73"/>
  <c r="AW112" i="73"/>
  <c r="AU112" i="73"/>
  <c r="AT112" i="73"/>
  <c r="AS112" i="73"/>
  <c r="AR112" i="73"/>
  <c r="AQ112" i="73"/>
  <c r="AP112" i="73"/>
  <c r="AO112" i="73"/>
  <c r="AN112" i="73"/>
  <c r="AM112" i="73"/>
  <c r="AL112" i="73"/>
  <c r="AK112" i="73"/>
  <c r="AJ112" i="73"/>
  <c r="AI112" i="73"/>
  <c r="AH112" i="73"/>
  <c r="AG112" i="73"/>
  <c r="AF112" i="73"/>
  <c r="AE112" i="73"/>
  <c r="AD112" i="73"/>
  <c r="AC112" i="73"/>
  <c r="AB112" i="73"/>
  <c r="AA112" i="73"/>
  <c r="Z112" i="73"/>
  <c r="Y112" i="73"/>
  <c r="X112" i="73"/>
  <c r="W112" i="73"/>
  <c r="V112" i="73"/>
  <c r="U112" i="73"/>
  <c r="T112" i="73"/>
  <c r="S112" i="73"/>
  <c r="R112" i="73"/>
  <c r="Q112" i="73"/>
  <c r="P112" i="73"/>
  <c r="N112" i="73"/>
  <c r="M112" i="73"/>
  <c r="L112" i="73"/>
  <c r="K112" i="73"/>
  <c r="J112" i="73"/>
  <c r="I112" i="73"/>
  <c r="H112" i="73"/>
  <c r="G112" i="73"/>
  <c r="F112" i="73"/>
  <c r="E112" i="73"/>
  <c r="D112" i="73"/>
  <c r="CF128" i="73" l="1"/>
  <c r="CJ128" i="73"/>
  <c r="CC128" i="73"/>
  <c r="CG128" i="73"/>
  <c r="CK128" i="73"/>
  <c r="BP128" i="73"/>
  <c r="BT128" i="73"/>
  <c r="CC113" i="73"/>
  <c r="AN184" i="73"/>
  <c r="AJ184" i="73"/>
  <c r="BU184" i="73" s="1"/>
  <c r="AC175" i="73"/>
  <c r="AS184" i="73"/>
  <c r="D175" i="73"/>
  <c r="L184" i="73"/>
  <c r="T184" i="73"/>
  <c r="X184" i="73"/>
  <c r="H184" i="73"/>
  <c r="AB184" i="73"/>
  <c r="BV148" i="73"/>
  <c r="CL148" i="73"/>
  <c r="BW196" i="73"/>
  <c r="BE86" i="73"/>
  <c r="CL129" i="73"/>
  <c r="N175" i="73"/>
  <c r="CJ129" i="73"/>
  <c r="P184" i="73"/>
  <c r="AF184" i="73"/>
  <c r="CK177" i="73"/>
  <c r="U175" i="73"/>
  <c r="BN191" i="73"/>
  <c r="BN192" i="73" s="1"/>
  <c r="AM184" i="73"/>
  <c r="AM175" i="73"/>
  <c r="BM113" i="73"/>
  <c r="BM116" i="73" s="1"/>
  <c r="BM120" i="73"/>
  <c r="CF120" i="73"/>
  <c r="BR120" i="73"/>
  <c r="E175" i="73"/>
  <c r="I175" i="73"/>
  <c r="M175" i="73"/>
  <c r="Q175" i="73"/>
  <c r="Y175" i="73"/>
  <c r="AG175" i="73"/>
  <c r="AK175" i="73"/>
  <c r="AO175" i="73"/>
  <c r="BO113" i="73"/>
  <c r="BO116" i="73" s="1"/>
  <c r="BQ116" i="73"/>
  <c r="BU116" i="73"/>
  <c r="BP116" i="73"/>
  <c r="BR116" i="73"/>
  <c r="BV116" i="73"/>
  <c r="CE113" i="73"/>
  <c r="CE116" i="73" s="1"/>
  <c r="CD113" i="73"/>
  <c r="CD116" i="73" s="1"/>
  <c r="BM128" i="73"/>
  <c r="BO128" i="73"/>
  <c r="BQ128" i="73"/>
  <c r="BS128" i="73"/>
  <c r="BU128" i="73"/>
  <c r="BW128" i="73"/>
  <c r="BT129" i="73"/>
  <c r="BV129" i="73"/>
  <c r="AH175" i="73"/>
  <c r="AR175" i="73"/>
  <c r="CJ191" i="73"/>
  <c r="CJ192" i="73" s="1"/>
  <c r="BT116" i="73"/>
  <c r="CC116" i="73"/>
  <c r="CG116" i="73"/>
  <c r="CI116" i="73"/>
  <c r="CK116" i="73"/>
  <c r="CC120" i="73"/>
  <c r="BS120" i="73"/>
  <c r="CC118" i="73"/>
  <c r="AI120" i="73"/>
  <c r="CM183" i="73"/>
  <c r="BU183" i="73"/>
  <c r="BV183" i="73"/>
  <c r="BW183" i="73"/>
  <c r="BS116" i="73"/>
  <c r="BW116" i="73"/>
  <c r="CF116" i="73"/>
  <c r="CH116" i="73"/>
  <c r="CJ116" i="73"/>
  <c r="CL116" i="73"/>
  <c r="J116" i="73"/>
  <c r="CD118" i="73"/>
  <c r="BQ120" i="73"/>
  <c r="CM125" i="73"/>
  <c r="G175" i="73"/>
  <c r="G184" i="73"/>
  <c r="BM184" i="73" s="1"/>
  <c r="W184" i="73"/>
  <c r="W175" i="73"/>
  <c r="F175" i="73"/>
  <c r="J175" i="73"/>
  <c r="AD175" i="73"/>
  <c r="BR191" i="73"/>
  <c r="BR192" i="73" s="1"/>
  <c r="CD191" i="73"/>
  <c r="CD192" i="73" s="1"/>
  <c r="BP191" i="73"/>
  <c r="BP192" i="73" s="1"/>
  <c r="CH191" i="73"/>
  <c r="CH192" i="73" s="1"/>
  <c r="BT191" i="73"/>
  <c r="BT192" i="73" s="1"/>
  <c r="CL191" i="73"/>
  <c r="CL192" i="73" s="1"/>
  <c r="V175" i="73"/>
  <c r="Z175" i="73"/>
  <c r="AT175" i="73"/>
  <c r="BV191" i="73"/>
  <c r="BV192" i="73" s="1"/>
  <c r="R175" i="73"/>
  <c r="AL175" i="73"/>
  <c r="AP175" i="73"/>
  <c r="CF191" i="73"/>
  <c r="CF192" i="73" s="1"/>
  <c r="CM113" i="73"/>
  <c r="CM116" i="73" s="1"/>
  <c r="CM118" i="73"/>
  <c r="CD120" i="73"/>
  <c r="BN120" i="73"/>
  <c r="AT120" i="73"/>
  <c r="AH120" i="73"/>
  <c r="AL120" i="73"/>
  <c r="CG120" i="73"/>
  <c r="BN113" i="73"/>
  <c r="BN116" i="73" s="1"/>
  <c r="CH118" i="73"/>
  <c r="AJ120" i="73"/>
  <c r="BU120" i="73" s="1"/>
  <c r="CL118" i="73"/>
  <c r="AN120" i="73"/>
  <c r="AF120" i="73"/>
  <c r="BN128" i="73"/>
  <c r="BR128" i="73"/>
  <c r="BV128" i="73"/>
  <c r="CM126" i="73"/>
  <c r="BW148" i="73"/>
  <c r="BO120" i="73"/>
  <c r="CH120" i="73"/>
  <c r="P120" i="73"/>
  <c r="BP120" i="73" s="1"/>
  <c r="CK129" i="73"/>
  <c r="BU129" i="73"/>
  <c r="CK183" i="73"/>
  <c r="CL183" i="73"/>
  <c r="AM186" i="73"/>
  <c r="BM183" i="73"/>
  <c r="BN183" i="73"/>
  <c r="BO183" i="73"/>
  <c r="BP183" i="73"/>
  <c r="BQ183" i="73"/>
  <c r="BR183" i="73"/>
  <c r="BS183" i="73"/>
  <c r="BT183" i="73"/>
  <c r="CJ183" i="73"/>
  <c r="CC183" i="73"/>
  <c r="CD183" i="73"/>
  <c r="CE183" i="73"/>
  <c r="CF183" i="73"/>
  <c r="CG183" i="73"/>
  <c r="CH183" i="73"/>
  <c r="CI183" i="73"/>
  <c r="AL186" i="73"/>
  <c r="AP186" i="73"/>
  <c r="AT186" i="73"/>
  <c r="BP177" i="73"/>
  <c r="AI186" i="73"/>
  <c r="AQ186" i="73"/>
  <c r="BT177" i="73"/>
  <c r="D186" i="73"/>
  <c r="BM186" i="73" s="1"/>
  <c r="BM177" i="73"/>
  <c r="H186" i="73"/>
  <c r="CC186" i="73" s="1"/>
  <c r="BN177" i="73"/>
  <c r="L186" i="73"/>
  <c r="BO177" i="73"/>
  <c r="T186" i="73"/>
  <c r="BQ186" i="73" s="1"/>
  <c r="BQ177" i="73"/>
  <c r="X186" i="73"/>
  <c r="CG186" i="73" s="1"/>
  <c r="BR177" i="73"/>
  <c r="AB186" i="73"/>
  <c r="BS177" i="73"/>
  <c r="AJ186" i="73"/>
  <c r="BU177" i="73"/>
  <c r="AN186" i="73"/>
  <c r="BV177" i="73"/>
  <c r="AR186" i="73"/>
  <c r="BW177" i="73"/>
  <c r="CC177" i="73"/>
  <c r="I186" i="73"/>
  <c r="CD177" i="73"/>
  <c r="M186" i="73"/>
  <c r="CE186" i="73" s="1"/>
  <c r="CE177" i="73"/>
  <c r="Q186" i="73"/>
  <c r="CF177" i="73"/>
  <c r="Y186" i="73"/>
  <c r="CH177" i="73"/>
  <c r="AC186" i="73"/>
  <c r="CI186" i="73" s="1"/>
  <c r="CI177" i="73"/>
  <c r="AG186" i="73"/>
  <c r="CJ177" i="73"/>
  <c r="AK186" i="73"/>
  <c r="AO186" i="73"/>
  <c r="CL177" i="73"/>
  <c r="AS186" i="73"/>
  <c r="CG177" i="73"/>
  <c r="BM191" i="73"/>
  <c r="BM192" i="73" s="1"/>
  <c r="CC191" i="73"/>
  <c r="CC192" i="73" s="1"/>
  <c r="CE191" i="73"/>
  <c r="CE192" i="73" s="1"/>
  <c r="BO191" i="73"/>
  <c r="BO192" i="73" s="1"/>
  <c r="BQ191" i="73"/>
  <c r="BQ192" i="73" s="1"/>
  <c r="CG191" i="73"/>
  <c r="CG192" i="73" s="1"/>
  <c r="CI191" i="73"/>
  <c r="CI192" i="73" s="1"/>
  <c r="BS191" i="73"/>
  <c r="BS192" i="73" s="1"/>
  <c r="BU191" i="73"/>
  <c r="BU192" i="73" s="1"/>
  <c r="CK191" i="73"/>
  <c r="CK192" i="73" s="1"/>
  <c r="BW191" i="73"/>
  <c r="BW192" i="73" s="1"/>
  <c r="K192" i="73"/>
  <c r="AA192" i="73"/>
  <c r="AQ192" i="73"/>
  <c r="O192" i="73"/>
  <c r="AE192" i="73"/>
  <c r="AU192" i="73"/>
  <c r="S192" i="73"/>
  <c r="AI192" i="73"/>
  <c r="CL196" i="73"/>
  <c r="CK184" i="73" l="1"/>
  <c r="BQ184" i="73"/>
  <c r="CG175" i="73"/>
  <c r="CM128" i="73"/>
  <c r="BF86" i="73"/>
  <c r="CG184" i="73"/>
  <c r="CK175" i="73"/>
  <c r="CF186" i="73"/>
  <c r="CD186" i="73"/>
  <c r="BQ175" i="73"/>
  <c r="CC184" i="73"/>
  <c r="CJ186" i="73"/>
  <c r="CH186" i="73"/>
  <c r="BU175" i="73"/>
  <c r="BT120" i="73"/>
  <c r="CK120" i="73"/>
  <c r="CJ120" i="73"/>
  <c r="CC175" i="73"/>
  <c r="CK186" i="73"/>
  <c r="BM175" i="73"/>
  <c r="CL186" i="73"/>
  <c r="AI184" i="73"/>
  <c r="AI175" i="73"/>
  <c r="AE184" i="73"/>
  <c r="AE175" i="73"/>
  <c r="AQ184" i="73"/>
  <c r="AQ175" i="73"/>
  <c r="BV186" i="73"/>
  <c r="BO186" i="73"/>
  <c r="AO120" i="73"/>
  <c r="S184" i="73"/>
  <c r="S175" i="73"/>
  <c r="O175" i="73"/>
  <c r="O184" i="73"/>
  <c r="AA184" i="73"/>
  <c r="AA175" i="73"/>
  <c r="BS186" i="73"/>
  <c r="AW129" i="73"/>
  <c r="AW128" i="73"/>
  <c r="AW183" i="73" s="1"/>
  <c r="K184" i="73"/>
  <c r="K175" i="73"/>
  <c r="BU186" i="73"/>
  <c r="BP186" i="73"/>
  <c r="BN186" i="73"/>
  <c r="BX115" i="73"/>
  <c r="CI120" i="73"/>
  <c r="BW120" i="73"/>
  <c r="AU184" i="73"/>
  <c r="AU175" i="73"/>
  <c r="BT186" i="73"/>
  <c r="BR186" i="73"/>
  <c r="CE120" i="73"/>
  <c r="CN115" i="73"/>
  <c r="CL101" i="73"/>
  <c r="CK101" i="73"/>
  <c r="CJ101" i="73"/>
  <c r="CI101" i="73"/>
  <c r="CH101" i="73"/>
  <c r="CG101" i="73"/>
  <c r="CF101" i="73"/>
  <c r="CE101" i="73"/>
  <c r="CD101" i="73"/>
  <c r="CC101" i="73"/>
  <c r="BV101" i="73"/>
  <c r="BU101" i="73"/>
  <c r="BT101" i="73"/>
  <c r="BS101" i="73"/>
  <c r="BR101" i="73"/>
  <c r="BQ101" i="73"/>
  <c r="BP101" i="73"/>
  <c r="BO101" i="73"/>
  <c r="BN101" i="73"/>
  <c r="BM101" i="73"/>
  <c r="AT101" i="73"/>
  <c r="AS101" i="73"/>
  <c r="AR101" i="73"/>
  <c r="AQ101" i="73"/>
  <c r="AP101" i="73"/>
  <c r="AO101" i="73"/>
  <c r="AN101" i="73"/>
  <c r="AM101" i="73"/>
  <c r="AL101" i="73"/>
  <c r="AK101" i="73"/>
  <c r="AJ101" i="73"/>
  <c r="AI101" i="73"/>
  <c r="AH101" i="73"/>
  <c r="AG101" i="73"/>
  <c r="AF101" i="73"/>
  <c r="AE101" i="73"/>
  <c r="AD101" i="73"/>
  <c r="AC101" i="73"/>
  <c r="AB101" i="73"/>
  <c r="AA101" i="73"/>
  <c r="Z101" i="73"/>
  <c r="Y101" i="73"/>
  <c r="X101" i="73"/>
  <c r="W101" i="73"/>
  <c r="V101" i="73"/>
  <c r="U101" i="73"/>
  <c r="T101" i="73"/>
  <c r="S101" i="73"/>
  <c r="R101" i="73"/>
  <c r="Q101" i="73"/>
  <c r="P101" i="73"/>
  <c r="O101" i="73"/>
  <c r="N101" i="73"/>
  <c r="M101" i="73"/>
  <c r="L101" i="73"/>
  <c r="K101" i="73"/>
  <c r="J101" i="73"/>
  <c r="I101" i="73"/>
  <c r="H101" i="73"/>
  <c r="G101" i="73"/>
  <c r="F101" i="73"/>
  <c r="E101" i="73"/>
  <c r="D101" i="73"/>
  <c r="AG98" i="73"/>
  <c r="AF98" i="73"/>
  <c r="AD98" i="73"/>
  <c r="AB98" i="73"/>
  <c r="AA98" i="73"/>
  <c r="Z98" i="73"/>
  <c r="Y98" i="73"/>
  <c r="X98" i="73"/>
  <c r="W98" i="73"/>
  <c r="U98" i="73"/>
  <c r="T98" i="73"/>
  <c r="S98" i="73"/>
  <c r="E98" i="73"/>
  <c r="D98" i="73"/>
  <c r="AU89" i="73"/>
  <c r="AT89" i="73"/>
  <c r="AT164" i="73" s="1"/>
  <c r="AS89" i="73"/>
  <c r="AS164" i="73" s="1"/>
  <c r="AR89" i="73"/>
  <c r="AR164" i="73" s="1"/>
  <c r="AQ89" i="73"/>
  <c r="AQ164" i="73" s="1"/>
  <c r="AP89" i="73"/>
  <c r="AP164" i="73" s="1"/>
  <c r="AO89" i="73"/>
  <c r="AO164" i="73" s="1"/>
  <c r="AN89" i="73"/>
  <c r="AN164" i="73" s="1"/>
  <c r="AM89" i="73"/>
  <c r="AM164" i="73" s="1"/>
  <c r="AL89" i="73"/>
  <c r="AL164" i="73" s="1"/>
  <c r="AK89" i="73"/>
  <c r="AK164" i="73" s="1"/>
  <c r="AJ89" i="73"/>
  <c r="AJ164" i="73" s="1"/>
  <c r="AI89" i="73"/>
  <c r="AI164" i="73" s="1"/>
  <c r="AH89" i="73"/>
  <c r="AH164" i="73" s="1"/>
  <c r="AG89" i="73"/>
  <c r="AG164" i="73" s="1"/>
  <c r="AF89" i="73"/>
  <c r="AF164" i="73" s="1"/>
  <c r="AE89" i="73"/>
  <c r="AE164" i="73" s="1"/>
  <c r="AD89" i="73"/>
  <c r="AD164" i="73" s="1"/>
  <c r="AC89" i="73"/>
  <c r="AC164" i="73" s="1"/>
  <c r="AB89" i="73"/>
  <c r="AB164" i="73" s="1"/>
  <c r="AA89" i="73"/>
  <c r="AA164" i="73" s="1"/>
  <c r="Z89" i="73"/>
  <c r="Z164" i="73" s="1"/>
  <c r="Y89" i="73"/>
  <c r="Y164" i="73" s="1"/>
  <c r="X89" i="73"/>
  <c r="X164" i="73" s="1"/>
  <c r="W89" i="73"/>
  <c r="W164" i="73" s="1"/>
  <c r="V89" i="73"/>
  <c r="V164" i="73" s="1"/>
  <c r="U89" i="73"/>
  <c r="U164" i="73" s="1"/>
  <c r="T89" i="73"/>
  <c r="T164" i="73" s="1"/>
  <c r="S89" i="73"/>
  <c r="S164" i="73" s="1"/>
  <c r="R89" i="73"/>
  <c r="R164" i="73" s="1"/>
  <c r="Q89" i="73"/>
  <c r="Q164" i="73" s="1"/>
  <c r="P89" i="73"/>
  <c r="P164" i="73" s="1"/>
  <c r="O89" i="73"/>
  <c r="O164" i="73" s="1"/>
  <c r="N89" i="73"/>
  <c r="N164" i="73" s="1"/>
  <c r="M89" i="73"/>
  <c r="M164" i="73" s="1"/>
  <c r="L89" i="73"/>
  <c r="L164" i="73" s="1"/>
  <c r="K89" i="73"/>
  <c r="K164" i="73" s="1"/>
  <c r="J89" i="73"/>
  <c r="J164" i="73" s="1"/>
  <c r="I89" i="73"/>
  <c r="I164" i="73" s="1"/>
  <c r="H89" i="73"/>
  <c r="H164" i="73" s="1"/>
  <c r="G89" i="73"/>
  <c r="G164" i="73" s="1"/>
  <c r="F89" i="73"/>
  <c r="F164" i="73" s="1"/>
  <c r="E89" i="73"/>
  <c r="E164" i="73" s="1"/>
  <c r="D89" i="73"/>
  <c r="D164" i="73" s="1"/>
  <c r="CL88" i="73"/>
  <c r="CK88" i="73"/>
  <c r="CJ88" i="73"/>
  <c r="CI88" i="73"/>
  <c r="CH88" i="73"/>
  <c r="CG88" i="73"/>
  <c r="CF88" i="73"/>
  <c r="CE88" i="73"/>
  <c r="CD88" i="73"/>
  <c r="CC88" i="73"/>
  <c r="BV88" i="73"/>
  <c r="BU88" i="73"/>
  <c r="BT88" i="73"/>
  <c r="BS88" i="73"/>
  <c r="BR88" i="73"/>
  <c r="BQ88" i="73"/>
  <c r="BP88" i="73"/>
  <c r="BO88" i="73"/>
  <c r="BN88" i="73"/>
  <c r="BM88" i="73"/>
  <c r="CL85" i="73"/>
  <c r="CJ85" i="73"/>
  <c r="CI85" i="73"/>
  <c r="CH85" i="73"/>
  <c r="CG85" i="73"/>
  <c r="CF85" i="73"/>
  <c r="CE85" i="73"/>
  <c r="CD85" i="73"/>
  <c r="CC85" i="73"/>
  <c r="BW85" i="73"/>
  <c r="BV85" i="73"/>
  <c r="BU85" i="73"/>
  <c r="BT85" i="73"/>
  <c r="BS85" i="73"/>
  <c r="BR85" i="73"/>
  <c r="BQ85" i="73"/>
  <c r="BP85" i="73"/>
  <c r="BO85" i="73"/>
  <c r="BN85" i="73"/>
  <c r="BM85" i="73"/>
  <c r="AU79" i="73"/>
  <c r="AU74" i="73" s="1"/>
  <c r="AR78" i="73"/>
  <c r="AT77" i="73"/>
  <c r="AI77" i="73"/>
  <c r="CJ77" i="73" s="1"/>
  <c r="T77" i="73"/>
  <c r="BQ77" i="73" s="1"/>
  <c r="S77" i="73"/>
  <c r="P77" i="73"/>
  <c r="BP77" i="73" s="1"/>
  <c r="L77" i="73"/>
  <c r="L74" i="73" s="1"/>
  <c r="L80" i="73" s="1"/>
  <c r="L163" i="73" s="1"/>
  <c r="K77" i="73"/>
  <c r="K74" i="73" s="1"/>
  <c r="K80" i="73" s="1"/>
  <c r="K163" i="73" s="1"/>
  <c r="J77" i="73"/>
  <c r="I77" i="73"/>
  <c r="I74" i="73" s="1"/>
  <c r="I80" i="73" s="1"/>
  <c r="I163" i="73" s="1"/>
  <c r="AS75" i="73"/>
  <c r="BW75" i="73" s="1"/>
  <c r="AO75" i="73"/>
  <c r="AO74" i="73" s="1"/>
  <c r="AO80" i="73" s="1"/>
  <c r="AO163" i="73" s="1"/>
  <c r="CN79" i="73"/>
  <c r="CL79" i="73"/>
  <c r="CK79" i="73"/>
  <c r="CJ79" i="73"/>
  <c r="CI79" i="73"/>
  <c r="CH79" i="73"/>
  <c r="CG79" i="73"/>
  <c r="CF79" i="73"/>
  <c r="CE79" i="73"/>
  <c r="CD79" i="73"/>
  <c r="CC79" i="73"/>
  <c r="CL78" i="73"/>
  <c r="CK78" i="73"/>
  <c r="CJ78" i="73"/>
  <c r="CI78" i="73"/>
  <c r="CH78" i="73"/>
  <c r="CG78" i="73"/>
  <c r="CF78" i="73"/>
  <c r="CE78" i="73"/>
  <c r="CD78" i="73"/>
  <c r="CC78" i="73"/>
  <c r="CM77" i="73"/>
  <c r="CL77" i="73"/>
  <c r="CK77" i="73"/>
  <c r="CI77" i="73"/>
  <c r="CH77" i="73"/>
  <c r="CG77" i="73"/>
  <c r="CE77" i="73"/>
  <c r="CC77" i="73"/>
  <c r="CL76" i="73"/>
  <c r="CK76" i="73"/>
  <c r="CJ76" i="73"/>
  <c r="CI76" i="73"/>
  <c r="CH76" i="73"/>
  <c r="CG76" i="73"/>
  <c r="CF76" i="73"/>
  <c r="CE76" i="73"/>
  <c r="CD76" i="73"/>
  <c r="CC76" i="73"/>
  <c r="CL75" i="73"/>
  <c r="CK75" i="73"/>
  <c r="CJ75" i="73"/>
  <c r="CI75" i="73"/>
  <c r="CH75" i="73"/>
  <c r="CG75" i="73"/>
  <c r="CF75" i="73"/>
  <c r="CE75" i="73"/>
  <c r="CD75" i="73"/>
  <c r="CC75" i="73"/>
  <c r="BY79" i="73"/>
  <c r="BX79" i="73"/>
  <c r="BV79" i="73"/>
  <c r="BU79" i="73"/>
  <c r="BT79" i="73"/>
  <c r="BS79" i="73"/>
  <c r="BR79" i="73"/>
  <c r="BQ79" i="73"/>
  <c r="BP79" i="73"/>
  <c r="BO79" i="73"/>
  <c r="BN79" i="73"/>
  <c r="BM79" i="73"/>
  <c r="BW78" i="73"/>
  <c r="BV78" i="73"/>
  <c r="BU78" i="73"/>
  <c r="BT78" i="73"/>
  <c r="BS78" i="73"/>
  <c r="BR78" i="73"/>
  <c r="BQ78" i="73"/>
  <c r="BP78" i="73"/>
  <c r="BO78" i="73"/>
  <c r="BN78" i="73"/>
  <c r="BM78" i="73"/>
  <c r="BW77" i="73"/>
  <c r="BV77" i="73"/>
  <c r="BU77" i="73"/>
  <c r="BS77" i="73"/>
  <c r="BR77" i="73"/>
  <c r="BM77" i="73"/>
  <c r="BW76" i="73"/>
  <c r="BV76" i="73"/>
  <c r="BU76" i="73"/>
  <c r="BT76" i="73"/>
  <c r="BS76" i="73"/>
  <c r="BR76" i="73"/>
  <c r="BQ76" i="73"/>
  <c r="BP76" i="73"/>
  <c r="BO76" i="73"/>
  <c r="BN76" i="73"/>
  <c r="BM76" i="73"/>
  <c r="BU75" i="73"/>
  <c r="BT75" i="73"/>
  <c r="BS75" i="73"/>
  <c r="BR75" i="73"/>
  <c r="BQ75" i="73"/>
  <c r="BP75" i="73"/>
  <c r="BO75" i="73"/>
  <c r="BN75" i="73"/>
  <c r="BM75" i="73"/>
  <c r="CM78" i="73"/>
  <c r="CM76" i="73"/>
  <c r="AT74" i="73"/>
  <c r="AT80" i="73" s="1"/>
  <c r="AT163" i="73" s="1"/>
  <c r="AR74" i="73"/>
  <c r="AR80" i="73" s="1"/>
  <c r="AR163" i="73" s="1"/>
  <c r="AQ74" i="73"/>
  <c r="AQ80" i="73" s="1"/>
  <c r="AQ163" i="73" s="1"/>
  <c r="AP74" i="73"/>
  <c r="AP80" i="73" s="1"/>
  <c r="AP163" i="73" s="1"/>
  <c r="AN74" i="73"/>
  <c r="AN80" i="73" s="1"/>
  <c r="AN163" i="73" s="1"/>
  <c r="AM74" i="73"/>
  <c r="AM80" i="73" s="1"/>
  <c r="AM163" i="73" s="1"/>
  <c r="AL74" i="73"/>
  <c r="AL80" i="73" s="1"/>
  <c r="AL163" i="73" s="1"/>
  <c r="AK74" i="73"/>
  <c r="AK80" i="73" s="1"/>
  <c r="AK163" i="73" s="1"/>
  <c r="AJ74" i="73"/>
  <c r="AJ80" i="73" s="1"/>
  <c r="AJ163" i="73" s="1"/>
  <c r="AI74" i="73"/>
  <c r="AI80" i="73" s="1"/>
  <c r="AI163" i="73" s="1"/>
  <c r="AH74" i="73"/>
  <c r="AH80" i="73" s="1"/>
  <c r="AH163" i="73" s="1"/>
  <c r="AG74" i="73"/>
  <c r="AG80" i="73" s="1"/>
  <c r="AG163" i="73" s="1"/>
  <c r="AF74" i="73"/>
  <c r="AF80" i="73" s="1"/>
  <c r="AF163" i="73" s="1"/>
  <c r="AE74" i="73"/>
  <c r="AE80" i="73" s="1"/>
  <c r="AE163" i="73" s="1"/>
  <c r="AD74" i="73"/>
  <c r="AD80" i="73" s="1"/>
  <c r="AD163" i="73" s="1"/>
  <c r="AC74" i="73"/>
  <c r="AC80" i="73" s="1"/>
  <c r="AC163" i="73" s="1"/>
  <c r="AB74" i="73"/>
  <c r="AB80" i="73" s="1"/>
  <c r="AB163" i="73" s="1"/>
  <c r="AA74" i="73"/>
  <c r="AA80" i="73" s="1"/>
  <c r="AA163" i="73" s="1"/>
  <c r="Z74" i="73"/>
  <c r="Z80" i="73" s="1"/>
  <c r="Z163" i="73" s="1"/>
  <c r="Y74" i="73"/>
  <c r="Y80" i="73" s="1"/>
  <c r="Y163" i="73" s="1"/>
  <c r="X74" i="73"/>
  <c r="X80" i="73" s="1"/>
  <c r="X163" i="73" s="1"/>
  <c r="W74" i="73"/>
  <c r="W80" i="73" s="1"/>
  <c r="W163" i="73" s="1"/>
  <c r="V74" i="73"/>
  <c r="V80" i="73" s="1"/>
  <c r="V163" i="73" s="1"/>
  <c r="U74" i="73"/>
  <c r="U80" i="73" s="1"/>
  <c r="U163" i="73" s="1"/>
  <c r="S74" i="73"/>
  <c r="S80" i="73" s="1"/>
  <c r="S163" i="73" s="1"/>
  <c r="R74" i="73"/>
  <c r="R80" i="73" s="1"/>
  <c r="R163" i="73" s="1"/>
  <c r="Q74" i="73"/>
  <c r="Q80" i="73" s="1"/>
  <c r="Q163" i="73" s="1"/>
  <c r="O74" i="73"/>
  <c r="O80" i="73" s="1"/>
  <c r="O163" i="73" s="1"/>
  <c r="N74" i="73"/>
  <c r="N80" i="73" s="1"/>
  <c r="N163" i="73" s="1"/>
  <c r="M74" i="73"/>
  <c r="M80" i="73" s="1"/>
  <c r="M163" i="73" s="1"/>
  <c r="J74" i="73"/>
  <c r="J80" i="73" s="1"/>
  <c r="J163" i="73" s="1"/>
  <c r="H74" i="73"/>
  <c r="H80" i="73" s="1"/>
  <c r="H163" i="73" s="1"/>
  <c r="G74" i="73"/>
  <c r="G80" i="73" s="1"/>
  <c r="G163" i="73" s="1"/>
  <c r="F74" i="73"/>
  <c r="F80" i="73" s="1"/>
  <c r="F163" i="73" s="1"/>
  <c r="E74" i="73"/>
  <c r="E80" i="73" s="1"/>
  <c r="E163" i="73" s="1"/>
  <c r="D74" i="73"/>
  <c r="D80" i="73" s="1"/>
  <c r="D163" i="73" s="1"/>
  <c r="CN63" i="73"/>
  <c r="CM63" i="73"/>
  <c r="CL63" i="73"/>
  <c r="CK63" i="73"/>
  <c r="CJ63" i="73"/>
  <c r="CI63" i="73"/>
  <c r="CH63" i="73"/>
  <c r="CG63" i="73"/>
  <c r="CF63" i="73"/>
  <c r="CE63" i="73"/>
  <c r="CD63" i="73"/>
  <c r="CC63" i="73"/>
  <c r="CN62" i="73"/>
  <c r="CM62" i="73"/>
  <c r="CL62" i="73"/>
  <c r="CK62" i="73"/>
  <c r="CJ62" i="73"/>
  <c r="CI62" i="73"/>
  <c r="CH62" i="73"/>
  <c r="CG62" i="73"/>
  <c r="CF62" i="73"/>
  <c r="CE62" i="73"/>
  <c r="CD62" i="73"/>
  <c r="CC62" i="73"/>
  <c r="CN61" i="73"/>
  <c r="CM61" i="73"/>
  <c r="CL61" i="73"/>
  <c r="CK61" i="73"/>
  <c r="CJ61" i="73"/>
  <c r="CI61" i="73"/>
  <c r="CH61" i="73"/>
  <c r="CG61" i="73"/>
  <c r="CF61" i="73"/>
  <c r="CE61" i="73"/>
  <c r="CD61" i="73"/>
  <c r="CC61" i="73"/>
  <c r="CN60" i="73"/>
  <c r="CM60" i="73"/>
  <c r="CL60" i="73"/>
  <c r="CK60" i="73"/>
  <c r="CJ60" i="73"/>
  <c r="CI60" i="73"/>
  <c r="CH60" i="73"/>
  <c r="CG60" i="73"/>
  <c r="CF60" i="73"/>
  <c r="CE60" i="73"/>
  <c r="CD60" i="73"/>
  <c r="CC60" i="73"/>
  <c r="CN59" i="73"/>
  <c r="CM59" i="73"/>
  <c r="CL59" i="73"/>
  <c r="CK59" i="73"/>
  <c r="CJ59" i="73"/>
  <c r="CI59" i="73"/>
  <c r="CH59" i="73"/>
  <c r="CG59" i="73"/>
  <c r="CF59" i="73"/>
  <c r="CE59" i="73"/>
  <c r="CD59" i="73"/>
  <c r="CC59" i="73"/>
  <c r="CN58" i="73"/>
  <c r="CM58" i="73"/>
  <c r="CL58" i="73"/>
  <c r="CK58" i="73"/>
  <c r="CJ58" i="73"/>
  <c r="CI58" i="73"/>
  <c r="CH58" i="73"/>
  <c r="CG58" i="73"/>
  <c r="CF58" i="73"/>
  <c r="CE58" i="73"/>
  <c r="CD58" i="73"/>
  <c r="CC58" i="73"/>
  <c r="CL57" i="73"/>
  <c r="CK57" i="73"/>
  <c r="CJ57" i="73"/>
  <c r="CI57" i="73"/>
  <c r="CH57" i="73"/>
  <c r="CG57" i="73"/>
  <c r="CF57" i="73"/>
  <c r="CE57" i="73"/>
  <c r="CD57" i="73"/>
  <c r="CC57" i="73"/>
  <c r="BY63" i="73"/>
  <c r="BX63" i="73"/>
  <c r="BW63" i="73"/>
  <c r="BV63" i="73"/>
  <c r="BU63" i="73"/>
  <c r="BT63" i="73"/>
  <c r="BS63" i="73"/>
  <c r="BR63" i="73"/>
  <c r="BQ63" i="73"/>
  <c r="BP63" i="73"/>
  <c r="BO63" i="73"/>
  <c r="BN63" i="73"/>
  <c r="BM63" i="73"/>
  <c r="BY62" i="73"/>
  <c r="BX62" i="73"/>
  <c r="BW62" i="73"/>
  <c r="BV62" i="73"/>
  <c r="BU62" i="73"/>
  <c r="BT62" i="73"/>
  <c r="BS62" i="73"/>
  <c r="BR62" i="73"/>
  <c r="BQ62" i="73"/>
  <c r="BP62" i="73"/>
  <c r="BO62" i="73"/>
  <c r="BN62" i="73"/>
  <c r="BM62" i="73"/>
  <c r="BY61" i="73"/>
  <c r="BX61" i="73"/>
  <c r="BW61" i="73"/>
  <c r="BV61" i="73"/>
  <c r="BU61" i="73"/>
  <c r="BT61" i="73"/>
  <c r="BS61" i="73"/>
  <c r="BR61" i="73"/>
  <c r="BQ61" i="73"/>
  <c r="BP61" i="73"/>
  <c r="BO61" i="73"/>
  <c r="BN61" i="73"/>
  <c r="BM61" i="73"/>
  <c r="BY60" i="73"/>
  <c r="BX60" i="73"/>
  <c r="BW60" i="73"/>
  <c r="BV60" i="73"/>
  <c r="BU60" i="73"/>
  <c r="BT60" i="73"/>
  <c r="BS60" i="73"/>
  <c r="BR60" i="73"/>
  <c r="BQ60" i="73"/>
  <c r="BP60" i="73"/>
  <c r="BO60" i="73"/>
  <c r="BN60" i="73"/>
  <c r="BM60" i="73"/>
  <c r="BY59" i="73"/>
  <c r="BX59" i="73"/>
  <c r="BW59" i="73"/>
  <c r="BV59" i="73"/>
  <c r="BU59" i="73"/>
  <c r="BT59" i="73"/>
  <c r="BS59" i="73"/>
  <c r="BR59" i="73"/>
  <c r="BQ59" i="73"/>
  <c r="BP59" i="73"/>
  <c r="BO59" i="73"/>
  <c r="BN59" i="73"/>
  <c r="BM59" i="73"/>
  <c r="BY58" i="73"/>
  <c r="BX58" i="73"/>
  <c r="BW58" i="73"/>
  <c r="BV58" i="73"/>
  <c r="BU58" i="73"/>
  <c r="BT58" i="73"/>
  <c r="BS58" i="73"/>
  <c r="BR58" i="73"/>
  <c r="BQ58" i="73"/>
  <c r="BP58" i="73"/>
  <c r="BO58" i="73"/>
  <c r="BN58" i="73"/>
  <c r="BM58" i="73"/>
  <c r="BW57" i="73"/>
  <c r="BV57" i="73"/>
  <c r="BU57" i="73"/>
  <c r="BT57" i="73"/>
  <c r="BS57" i="73"/>
  <c r="BR57" i="73"/>
  <c r="BQ57" i="73"/>
  <c r="BP57" i="73"/>
  <c r="BO57" i="73"/>
  <c r="BN57" i="73"/>
  <c r="BM57" i="73"/>
  <c r="AU56" i="73"/>
  <c r="AU65" i="73" s="1"/>
  <c r="AT56" i="73"/>
  <c r="AT65" i="73" s="1"/>
  <c r="AS56" i="73"/>
  <c r="AS65" i="73" s="1"/>
  <c r="AR56" i="73"/>
  <c r="AR65" i="73" s="1"/>
  <c r="AQ56" i="73"/>
  <c r="AQ65" i="73" s="1"/>
  <c r="AP56" i="73"/>
  <c r="AP65" i="73" s="1"/>
  <c r="AO56" i="73"/>
  <c r="AO65" i="73" s="1"/>
  <c r="AN56" i="73"/>
  <c r="AN65" i="73" s="1"/>
  <c r="AM56" i="73"/>
  <c r="AM65" i="73" s="1"/>
  <c r="AL56" i="73"/>
  <c r="AL65" i="73" s="1"/>
  <c r="AK56" i="73"/>
  <c r="AK65" i="73" s="1"/>
  <c r="AJ56" i="73"/>
  <c r="AJ65" i="73" s="1"/>
  <c r="AI56" i="73"/>
  <c r="AI65" i="73" s="1"/>
  <c r="AH56" i="73"/>
  <c r="AH65" i="73" s="1"/>
  <c r="AG56" i="73"/>
  <c r="AG176" i="73" s="1"/>
  <c r="AF56" i="73"/>
  <c r="AF176" i="73" s="1"/>
  <c r="AE56" i="73"/>
  <c r="AE65" i="73" s="1"/>
  <c r="AD56" i="73"/>
  <c r="AD176" i="73" s="1"/>
  <c r="AD185" i="73" s="1"/>
  <c r="AC56" i="73"/>
  <c r="AC65" i="73" s="1"/>
  <c r="AB56" i="73"/>
  <c r="AB176" i="73" s="1"/>
  <c r="AA56" i="73"/>
  <c r="Z56" i="73"/>
  <c r="Z176" i="73" s="1"/>
  <c r="Z185" i="73" s="1"/>
  <c r="Y56" i="73"/>
  <c r="Y176" i="73" s="1"/>
  <c r="X56" i="73"/>
  <c r="X176" i="73" s="1"/>
  <c r="W56" i="73"/>
  <c r="W176" i="73" s="1"/>
  <c r="W185" i="73" s="1"/>
  <c r="V56" i="73"/>
  <c r="V65" i="73" s="1"/>
  <c r="U56" i="73"/>
  <c r="U176" i="73" s="1"/>
  <c r="T56" i="73"/>
  <c r="T176" i="73" s="1"/>
  <c r="S56" i="73"/>
  <c r="R56" i="73"/>
  <c r="R65" i="73" s="1"/>
  <c r="Q56" i="73"/>
  <c r="Q65" i="73" s="1"/>
  <c r="P56" i="73"/>
  <c r="P65" i="73" s="1"/>
  <c r="O56" i="73"/>
  <c r="O65" i="73" s="1"/>
  <c r="N56" i="73"/>
  <c r="N65" i="73" s="1"/>
  <c r="M56" i="73"/>
  <c r="M65" i="73" s="1"/>
  <c r="L56" i="73"/>
  <c r="L65" i="73" s="1"/>
  <c r="K56" i="73"/>
  <c r="K65" i="73" s="1"/>
  <c r="J56" i="73"/>
  <c r="J65" i="73" s="1"/>
  <c r="I56" i="73"/>
  <c r="I65" i="73" s="1"/>
  <c r="H56" i="73"/>
  <c r="H65" i="73" s="1"/>
  <c r="G56" i="73"/>
  <c r="G65" i="73" s="1"/>
  <c r="F56" i="73"/>
  <c r="F65" i="73" s="1"/>
  <c r="E56" i="73"/>
  <c r="E176" i="73" s="1"/>
  <c r="D56" i="73"/>
  <c r="D176" i="73" s="1"/>
  <c r="AU53" i="73"/>
  <c r="AU153" i="73" s="1"/>
  <c r="AU158" i="73" s="1"/>
  <c r="AT53" i="73"/>
  <c r="AT153" i="73" s="1"/>
  <c r="AT158" i="73" s="1"/>
  <c r="AS53" i="73"/>
  <c r="AS153" i="73" s="1"/>
  <c r="AS158" i="73" s="1"/>
  <c r="AQ53" i="73"/>
  <c r="AQ153" i="73" s="1"/>
  <c r="AQ158" i="73" s="1"/>
  <c r="AP53" i="73"/>
  <c r="AP153" i="73" s="1"/>
  <c r="AP158" i="73" s="1"/>
  <c r="AO53" i="73"/>
  <c r="AO153" i="73" s="1"/>
  <c r="AO158" i="73" s="1"/>
  <c r="AN53" i="73"/>
  <c r="AN153" i="73" s="1"/>
  <c r="AN158" i="73" s="1"/>
  <c r="AM53" i="73"/>
  <c r="AM153" i="73" s="1"/>
  <c r="AM158" i="73" s="1"/>
  <c r="AL53" i="73"/>
  <c r="AL153" i="73" s="1"/>
  <c r="AL158" i="73" s="1"/>
  <c r="AK53" i="73"/>
  <c r="AK153" i="73" s="1"/>
  <c r="AK158" i="73" s="1"/>
  <c r="AJ53" i="73"/>
  <c r="AJ153" i="73" s="1"/>
  <c r="AJ158" i="73" s="1"/>
  <c r="AI53" i="73"/>
  <c r="AI153" i="73" s="1"/>
  <c r="AI158" i="73" s="1"/>
  <c r="AH53" i="73"/>
  <c r="AH153" i="73" s="1"/>
  <c r="AH158" i="73" s="1"/>
  <c r="AG53" i="73"/>
  <c r="AG153" i="73" s="1"/>
  <c r="AG158" i="73" s="1"/>
  <c r="AF53" i="73"/>
  <c r="AF153" i="73" s="1"/>
  <c r="AF158" i="73" s="1"/>
  <c r="AE53" i="73"/>
  <c r="AE153" i="73" s="1"/>
  <c r="AE158" i="73" s="1"/>
  <c r="AD53" i="73"/>
  <c r="AD153" i="73" s="1"/>
  <c r="AD158" i="73" s="1"/>
  <c r="AC53" i="73"/>
  <c r="AC153" i="73" s="1"/>
  <c r="AC158" i="73" s="1"/>
  <c r="AB53" i="73"/>
  <c r="AB153" i="73" s="1"/>
  <c r="AB158" i="73" s="1"/>
  <c r="AA53" i="73"/>
  <c r="AA153" i="73" s="1"/>
  <c r="AA158" i="73" s="1"/>
  <c r="Z53" i="73"/>
  <c r="Z153" i="73" s="1"/>
  <c r="Z158" i="73" s="1"/>
  <c r="Y53" i="73"/>
  <c r="Y153" i="73" s="1"/>
  <c r="Y158" i="73" s="1"/>
  <c r="X53" i="73"/>
  <c r="X153" i="73" s="1"/>
  <c r="X158" i="73" s="1"/>
  <c r="W53" i="73"/>
  <c r="W153" i="73" s="1"/>
  <c r="W158" i="73" s="1"/>
  <c r="V53" i="73"/>
  <c r="V153" i="73" s="1"/>
  <c r="V158" i="73" s="1"/>
  <c r="U53" i="73"/>
  <c r="U153" i="73" s="1"/>
  <c r="U158" i="73" s="1"/>
  <c r="T53" i="73"/>
  <c r="T153" i="73" s="1"/>
  <c r="T158" i="73" s="1"/>
  <c r="S53" i="73"/>
  <c r="S153" i="73" s="1"/>
  <c r="S158" i="73" s="1"/>
  <c r="R53" i="73"/>
  <c r="R153" i="73" s="1"/>
  <c r="R158" i="73" s="1"/>
  <c r="Q53" i="73"/>
  <c r="Q153" i="73" s="1"/>
  <c r="Q158" i="73" s="1"/>
  <c r="P53" i="73"/>
  <c r="P153" i="73" s="1"/>
  <c r="P158" i="73" s="1"/>
  <c r="O53" i="73"/>
  <c r="O153" i="73" s="1"/>
  <c r="O158" i="73" s="1"/>
  <c r="N53" i="73"/>
  <c r="N153" i="73" s="1"/>
  <c r="N158" i="73" s="1"/>
  <c r="M53" i="73"/>
  <c r="M153" i="73" s="1"/>
  <c r="M158" i="73" s="1"/>
  <c r="L53" i="73"/>
  <c r="L153" i="73" s="1"/>
  <c r="L158" i="73" s="1"/>
  <c r="K53" i="73"/>
  <c r="K153" i="73" s="1"/>
  <c r="K158" i="73" s="1"/>
  <c r="J53" i="73"/>
  <c r="J153" i="73" s="1"/>
  <c r="J158" i="73" s="1"/>
  <c r="I53" i="73"/>
  <c r="I153" i="73" s="1"/>
  <c r="I158" i="73" s="1"/>
  <c r="H53" i="73"/>
  <c r="H153" i="73" s="1"/>
  <c r="H158" i="73" s="1"/>
  <c r="G53" i="73"/>
  <c r="G153" i="73" s="1"/>
  <c r="G158" i="73" s="1"/>
  <c r="F53" i="73"/>
  <c r="F153" i="73" s="1"/>
  <c r="F158" i="73" s="1"/>
  <c r="E53" i="73"/>
  <c r="E153" i="73" s="1"/>
  <c r="E158" i="73" s="1"/>
  <c r="D53" i="73"/>
  <c r="D153" i="73" s="1"/>
  <c r="D158" i="73" s="1"/>
  <c r="CN52" i="73"/>
  <c r="CM52" i="73"/>
  <c r="CK52" i="73"/>
  <c r="CJ52" i="73"/>
  <c r="CI52" i="73"/>
  <c r="CH52" i="73"/>
  <c r="CG52" i="73"/>
  <c r="CF52" i="73"/>
  <c r="CE52" i="73"/>
  <c r="CD52" i="73"/>
  <c r="CC52" i="73"/>
  <c r="BY52" i="73"/>
  <c r="BX52" i="73"/>
  <c r="BV52" i="73"/>
  <c r="BU52" i="73"/>
  <c r="BT52" i="73"/>
  <c r="BS52" i="73"/>
  <c r="BR52" i="73"/>
  <c r="BQ52" i="73"/>
  <c r="BP52" i="73"/>
  <c r="BO52" i="73"/>
  <c r="BN52" i="73"/>
  <c r="BM52" i="73"/>
  <c r="AR52" i="73"/>
  <c r="CL52" i="73" s="1"/>
  <c r="CN50" i="73"/>
  <c r="CM50" i="73"/>
  <c r="BY50" i="73"/>
  <c r="BX50" i="73"/>
  <c r="BW50" i="73"/>
  <c r="AT47" i="73"/>
  <c r="BW47" i="73" s="1"/>
  <c r="CC43" i="73"/>
  <c r="BM43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AE44" i="73"/>
  <c r="AD44" i="73"/>
  <c r="AC44" i="73"/>
  <c r="AB44" i="73"/>
  <c r="AA44" i="73"/>
  <c r="Z44" i="73"/>
  <c r="Y44" i="73"/>
  <c r="X44" i="73"/>
  <c r="W44" i="73"/>
  <c r="V44" i="73"/>
  <c r="U44" i="73"/>
  <c r="T44" i="73"/>
  <c r="S44" i="73"/>
  <c r="R44" i="73"/>
  <c r="Q44" i="73"/>
  <c r="P44" i="73"/>
  <c r="O44" i="73"/>
  <c r="N44" i="73"/>
  <c r="M44" i="73"/>
  <c r="L44" i="73"/>
  <c r="K44" i="73"/>
  <c r="J44" i="73"/>
  <c r="I44" i="73"/>
  <c r="H44" i="73"/>
  <c r="G44" i="73"/>
  <c r="F44" i="73"/>
  <c r="E44" i="73"/>
  <c r="D44" i="73"/>
  <c r="CL43" i="73"/>
  <c r="CK43" i="73"/>
  <c r="CJ43" i="73"/>
  <c r="CI43" i="73"/>
  <c r="CH43" i="73"/>
  <c r="CG43" i="73"/>
  <c r="CF43" i="73"/>
  <c r="CE43" i="73"/>
  <c r="CD43" i="73"/>
  <c r="BW43" i="73"/>
  <c r="BV43" i="73"/>
  <c r="BU43" i="73"/>
  <c r="BT43" i="73"/>
  <c r="BS43" i="73"/>
  <c r="BR43" i="73"/>
  <c r="BQ43" i="73"/>
  <c r="BP43" i="73"/>
  <c r="BO43" i="73"/>
  <c r="BN43" i="73"/>
  <c r="AU38" i="73"/>
  <c r="AU152" i="73" s="1"/>
  <c r="AU157" i="73" s="1"/>
  <c r="AT38" i="73"/>
  <c r="AT152" i="73" s="1"/>
  <c r="AT157" i="73" s="1"/>
  <c r="AS38" i="73"/>
  <c r="AS152" i="73" s="1"/>
  <c r="AS157" i="73" s="1"/>
  <c r="AQ38" i="73"/>
  <c r="AQ152" i="73" s="1"/>
  <c r="AQ157" i="73" s="1"/>
  <c r="AP38" i="73"/>
  <c r="AP152" i="73" s="1"/>
  <c r="AP157" i="73" s="1"/>
  <c r="AO38" i="73"/>
  <c r="AO152" i="73" s="1"/>
  <c r="AO157" i="73" s="1"/>
  <c r="AN38" i="73"/>
  <c r="AN152" i="73" s="1"/>
  <c r="AN157" i="73" s="1"/>
  <c r="AM38" i="73"/>
  <c r="AM152" i="73" s="1"/>
  <c r="AM157" i="73" s="1"/>
  <c r="AL38" i="73"/>
  <c r="AL152" i="73" s="1"/>
  <c r="AL157" i="73" s="1"/>
  <c r="AK38" i="73"/>
  <c r="AK152" i="73" s="1"/>
  <c r="AK157" i="73" s="1"/>
  <c r="AJ38" i="73"/>
  <c r="AJ152" i="73" s="1"/>
  <c r="AJ157" i="73" s="1"/>
  <c r="AI38" i="73"/>
  <c r="AI152" i="73" s="1"/>
  <c r="AI157" i="73" s="1"/>
  <c r="AH38" i="73"/>
  <c r="AH152" i="73" s="1"/>
  <c r="AH157" i="73" s="1"/>
  <c r="AG38" i="73"/>
  <c r="AG152" i="73" s="1"/>
  <c r="AG157" i="73" s="1"/>
  <c r="AF38" i="73"/>
  <c r="AF152" i="73" s="1"/>
  <c r="AF157" i="73" s="1"/>
  <c r="AE38" i="73"/>
  <c r="AE152" i="73" s="1"/>
  <c r="AE157" i="73" s="1"/>
  <c r="AD38" i="73"/>
  <c r="AD152" i="73" s="1"/>
  <c r="AD157" i="73" s="1"/>
  <c r="AC38" i="73"/>
  <c r="AC152" i="73" s="1"/>
  <c r="AC157" i="73" s="1"/>
  <c r="AB38" i="73"/>
  <c r="AB152" i="73" s="1"/>
  <c r="AB157" i="73" s="1"/>
  <c r="AA38" i="73"/>
  <c r="AA152" i="73" s="1"/>
  <c r="AA157" i="73" s="1"/>
  <c r="Z38" i="73"/>
  <c r="Z152" i="73" s="1"/>
  <c r="Z157" i="73" s="1"/>
  <c r="Y38" i="73"/>
  <c r="Y152" i="73" s="1"/>
  <c r="Y157" i="73" s="1"/>
  <c r="X38" i="73"/>
  <c r="W38" i="73"/>
  <c r="V38" i="73"/>
  <c r="V152" i="73" s="1"/>
  <c r="V157" i="73" s="1"/>
  <c r="U38" i="73"/>
  <c r="U152" i="73" s="1"/>
  <c r="U157" i="73" s="1"/>
  <c r="T38" i="73"/>
  <c r="S38" i="73"/>
  <c r="R38" i="73"/>
  <c r="R152" i="73" s="1"/>
  <c r="R157" i="73" s="1"/>
  <c r="Q38" i="73"/>
  <c r="Q152" i="73" s="1"/>
  <c r="Q157" i="73" s="1"/>
  <c r="P38" i="73"/>
  <c r="O38" i="73"/>
  <c r="N38" i="73"/>
  <c r="N152" i="73" s="1"/>
  <c r="N157" i="73" s="1"/>
  <c r="M38" i="73"/>
  <c r="M152" i="73" s="1"/>
  <c r="M157" i="73" s="1"/>
  <c r="L38" i="73"/>
  <c r="K38" i="73"/>
  <c r="J38" i="73"/>
  <c r="J152" i="73" s="1"/>
  <c r="J157" i="73" s="1"/>
  <c r="I38" i="73"/>
  <c r="I152" i="73" s="1"/>
  <c r="I157" i="73" s="1"/>
  <c r="H38" i="73"/>
  <c r="G38" i="73"/>
  <c r="F38" i="73"/>
  <c r="F152" i="73" s="1"/>
  <c r="F157" i="73" s="1"/>
  <c r="E38" i="73"/>
  <c r="E152" i="73" s="1"/>
  <c r="E157" i="73" s="1"/>
  <c r="D38" i="73"/>
  <c r="CN37" i="73"/>
  <c r="CM37" i="73"/>
  <c r="CK37" i="73"/>
  <c r="CJ37" i="73"/>
  <c r="CI37" i="73"/>
  <c r="CH37" i="73"/>
  <c r="CG37" i="73"/>
  <c r="CF37" i="73"/>
  <c r="CE37" i="73"/>
  <c r="CD37" i="73"/>
  <c r="CC37" i="73"/>
  <c r="BY37" i="73"/>
  <c r="BX37" i="73"/>
  <c r="BV37" i="73"/>
  <c r="BU37" i="73"/>
  <c r="BT37" i="73"/>
  <c r="BS37" i="73"/>
  <c r="BR37" i="73"/>
  <c r="BQ37" i="73"/>
  <c r="BP37" i="73"/>
  <c r="BO37" i="73"/>
  <c r="BN37" i="73"/>
  <c r="BM37" i="73"/>
  <c r="AR37" i="73"/>
  <c r="BW37" i="73" s="1"/>
  <c r="CN35" i="73"/>
  <c r="CM35" i="73"/>
  <c r="BY35" i="73"/>
  <c r="BX35" i="73"/>
  <c r="BW35" i="73"/>
  <c r="AT32" i="73"/>
  <c r="CC28" i="73"/>
  <c r="BM28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AE29" i="73"/>
  <c r="AD29" i="73"/>
  <c r="AC29" i="73"/>
  <c r="AB29" i="73"/>
  <c r="AA29" i="73"/>
  <c r="Z29" i="73"/>
  <c r="Y29" i="73"/>
  <c r="X29" i="73"/>
  <c r="W29" i="73"/>
  <c r="V29" i="73"/>
  <c r="U29" i="73"/>
  <c r="T29" i="73"/>
  <c r="S29" i="73"/>
  <c r="R29" i="73"/>
  <c r="Q29" i="73"/>
  <c r="P29" i="73"/>
  <c r="O29" i="73"/>
  <c r="N29" i="73"/>
  <c r="M29" i="73"/>
  <c r="L29" i="73"/>
  <c r="K29" i="73"/>
  <c r="J29" i="73"/>
  <c r="I29" i="73"/>
  <c r="H29" i="73"/>
  <c r="G29" i="73"/>
  <c r="F29" i="73"/>
  <c r="E29" i="73"/>
  <c r="D29" i="73"/>
  <c r="CL28" i="73"/>
  <c r="CK28" i="73"/>
  <c r="CJ28" i="73"/>
  <c r="CI28" i="73"/>
  <c r="CH28" i="73"/>
  <c r="CG28" i="73"/>
  <c r="CF28" i="73"/>
  <c r="CE28" i="73"/>
  <c r="CD28" i="73"/>
  <c r="BT30" i="73"/>
  <c r="BS30" i="73"/>
  <c r="BW28" i="73"/>
  <c r="BV28" i="73"/>
  <c r="BU28" i="73"/>
  <c r="BT28" i="73"/>
  <c r="BS28" i="73"/>
  <c r="BR28" i="73"/>
  <c r="BQ28" i="73"/>
  <c r="BP28" i="73"/>
  <c r="BO28" i="73"/>
  <c r="BN28" i="73"/>
  <c r="AU20" i="73"/>
  <c r="AT20" i="73"/>
  <c r="AS20" i="73"/>
  <c r="AS68" i="73" s="1"/>
  <c r="AR20" i="73"/>
  <c r="AQ20" i="73"/>
  <c r="AP20" i="73"/>
  <c r="AO20" i="73"/>
  <c r="AO68" i="73" s="1"/>
  <c r="AN20" i="73"/>
  <c r="AM20" i="73"/>
  <c r="AM21" i="73" s="1"/>
  <c r="AL20" i="73"/>
  <c r="AK20" i="73"/>
  <c r="AK68" i="73" s="1"/>
  <c r="AJ20" i="73"/>
  <c r="AI20" i="73"/>
  <c r="AI21" i="73" s="1"/>
  <c r="AG20" i="73"/>
  <c r="AF20" i="73"/>
  <c r="AF21" i="73" s="1"/>
  <c r="AE20" i="73"/>
  <c r="AD20" i="73"/>
  <c r="AD21" i="73" s="1"/>
  <c r="AC20" i="73"/>
  <c r="AB20" i="73"/>
  <c r="Y20" i="73"/>
  <c r="X20" i="73"/>
  <c r="W20" i="73"/>
  <c r="W21" i="73" s="1"/>
  <c r="V20" i="73"/>
  <c r="U20" i="73"/>
  <c r="T20" i="73"/>
  <c r="S20" i="73"/>
  <c r="S21" i="73" s="1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AG18" i="73"/>
  <c r="AG23" i="73" s="1"/>
  <c r="AF18" i="73"/>
  <c r="AF23" i="73" s="1"/>
  <c r="AD18" i="73"/>
  <c r="AD23" i="73" s="1"/>
  <c r="AB18" i="73"/>
  <c r="AB23" i="73" s="1"/>
  <c r="Y18" i="73"/>
  <c r="Y23" i="73" s="1"/>
  <c r="X18" i="73"/>
  <c r="X23" i="73" s="1"/>
  <c r="W18" i="73"/>
  <c r="W23" i="73" s="1"/>
  <c r="U18" i="73"/>
  <c r="U23" i="73" s="1"/>
  <c r="T18" i="73"/>
  <c r="T23" i="73" s="1"/>
  <c r="S18" i="73"/>
  <c r="S23" i="73" s="1"/>
  <c r="E18" i="73"/>
  <c r="E23" i="73" s="1"/>
  <c r="D18" i="73"/>
  <c r="D23" i="73" s="1"/>
  <c r="CN17" i="73"/>
  <c r="CH17" i="73"/>
  <c r="BY17" i="73"/>
  <c r="BX17" i="73"/>
  <c r="BR17" i="73"/>
  <c r="AU17" i="73"/>
  <c r="AT17" i="73"/>
  <c r="AS17" i="73"/>
  <c r="AR17" i="73"/>
  <c r="AR18" i="73" s="1"/>
  <c r="AR23" i="73" s="1"/>
  <c r="AQ17" i="73"/>
  <c r="AP17" i="73"/>
  <c r="AO17" i="73"/>
  <c r="AN17" i="73"/>
  <c r="AM17" i="73"/>
  <c r="AL17" i="73"/>
  <c r="AK17" i="73"/>
  <c r="AK18" i="73" s="1"/>
  <c r="AK23" i="73" s="1"/>
  <c r="AJ17" i="73"/>
  <c r="AJ18" i="73" s="1"/>
  <c r="AJ23" i="73" s="1"/>
  <c r="AI17" i="73"/>
  <c r="AI18" i="73" s="1"/>
  <c r="AI23" i="73" s="1"/>
  <c r="AH17" i="73"/>
  <c r="AE17" i="73"/>
  <c r="AC17" i="73"/>
  <c r="AC18" i="73" s="1"/>
  <c r="AC23" i="73" s="1"/>
  <c r="V17" i="73"/>
  <c r="CG17" i="73" s="1"/>
  <c r="R17" i="73"/>
  <c r="Q17" i="73"/>
  <c r="Q18" i="73" s="1"/>
  <c r="Q23" i="73" s="1"/>
  <c r="P17" i="73"/>
  <c r="P18" i="73" s="1"/>
  <c r="P23" i="73" s="1"/>
  <c r="O17" i="73"/>
  <c r="N17" i="73"/>
  <c r="M17" i="73"/>
  <c r="M18" i="73" s="1"/>
  <c r="M23" i="73" s="1"/>
  <c r="L17" i="73"/>
  <c r="L18" i="73" s="1"/>
  <c r="L23" i="73" s="1"/>
  <c r="K17" i="73"/>
  <c r="K18" i="73" s="1"/>
  <c r="K23" i="73" s="1"/>
  <c r="J17" i="73"/>
  <c r="I17" i="73"/>
  <c r="I18" i="73" s="1"/>
  <c r="I23" i="73" s="1"/>
  <c r="H17" i="73"/>
  <c r="G17" i="73"/>
  <c r="F17" i="73"/>
  <c r="CN15" i="73"/>
  <c r="CM15" i="73"/>
  <c r="BY15" i="73"/>
  <c r="BX15" i="73"/>
  <c r="BW15" i="73"/>
  <c r="CL13" i="73"/>
  <c r="CK13" i="73"/>
  <c r="CI13" i="73"/>
  <c r="CG13" i="73"/>
  <c r="CF13" i="73"/>
  <c r="CE13" i="73"/>
  <c r="CD13" i="73"/>
  <c r="CC13" i="73"/>
  <c r="BW13" i="73"/>
  <c r="BV13" i="73"/>
  <c r="BU13" i="73"/>
  <c r="BS13" i="73"/>
  <c r="BQ13" i="73"/>
  <c r="BP13" i="73"/>
  <c r="BO13" i="73"/>
  <c r="BN13" i="73"/>
  <c r="BM13" i="73"/>
  <c r="AH13" i="73"/>
  <c r="AH20" i="73" s="1"/>
  <c r="AA13" i="73"/>
  <c r="Z13" i="73"/>
  <c r="Z20" i="73" s="1"/>
  <c r="AU11" i="73"/>
  <c r="AT11" i="73"/>
  <c r="AS11" i="73"/>
  <c r="AR11" i="73"/>
  <c r="AQ11" i="73"/>
  <c r="AP11" i="73"/>
  <c r="AO11" i="73"/>
  <c r="AN11" i="73"/>
  <c r="AM11" i="73"/>
  <c r="AL11" i="73"/>
  <c r="AK11" i="73"/>
  <c r="AJ11" i="73"/>
  <c r="AI11" i="73"/>
  <c r="AH11" i="73"/>
  <c r="AG11" i="73"/>
  <c r="AF11" i="73"/>
  <c r="AE11" i="73"/>
  <c r="AD11" i="73"/>
  <c r="AC11" i="73"/>
  <c r="AB11" i="73"/>
  <c r="AA11" i="73"/>
  <c r="Z11" i="73"/>
  <c r="Y11" i="73"/>
  <c r="X11" i="73"/>
  <c r="W11" i="73"/>
  <c r="V11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AU10" i="73"/>
  <c r="AU45" i="73" s="1"/>
  <c r="AT10" i="73"/>
  <c r="AT45" i="73" s="1"/>
  <c r="AS10" i="73"/>
  <c r="AR10" i="73"/>
  <c r="AQ10" i="73"/>
  <c r="AQ45" i="73" s="1"/>
  <c r="AP10" i="73"/>
  <c r="AP45" i="73" s="1"/>
  <c r="AO10" i="73"/>
  <c r="AN10" i="73"/>
  <c r="AM10" i="73"/>
  <c r="AM45" i="73" s="1"/>
  <c r="AL10" i="73"/>
  <c r="AL45" i="73" s="1"/>
  <c r="AK10" i="73"/>
  <c r="AJ10" i="73"/>
  <c r="AI10" i="73"/>
  <c r="AI45" i="73" s="1"/>
  <c r="AH10" i="73"/>
  <c r="AH45" i="73" s="1"/>
  <c r="AG10" i="73"/>
  <c r="AF10" i="73"/>
  <c r="AE10" i="73"/>
  <c r="AE45" i="73" s="1"/>
  <c r="AD10" i="73"/>
  <c r="AD45" i="73" s="1"/>
  <c r="AC10" i="73"/>
  <c r="AB10" i="73"/>
  <c r="AA10" i="73"/>
  <c r="AA45" i="73" s="1"/>
  <c r="Z10" i="73"/>
  <c r="Z45" i="73" s="1"/>
  <c r="Y10" i="73"/>
  <c r="X10" i="73"/>
  <c r="W10" i="73"/>
  <c r="W45" i="73" s="1"/>
  <c r="V10" i="73"/>
  <c r="V45" i="73" s="1"/>
  <c r="U10" i="73"/>
  <c r="T10" i="73"/>
  <c r="S10" i="73"/>
  <c r="S45" i="73" s="1"/>
  <c r="R10" i="73"/>
  <c r="R45" i="73" s="1"/>
  <c r="Q10" i="73"/>
  <c r="P10" i="73"/>
  <c r="O10" i="73"/>
  <c r="O45" i="73" s="1"/>
  <c r="N10" i="73"/>
  <c r="N45" i="73" s="1"/>
  <c r="M10" i="73"/>
  <c r="L10" i="73"/>
  <c r="K10" i="73"/>
  <c r="K45" i="73" s="1"/>
  <c r="J10" i="73"/>
  <c r="J45" i="73" s="1"/>
  <c r="I10" i="73"/>
  <c r="H10" i="73"/>
  <c r="G10" i="73"/>
  <c r="G45" i="73" s="1"/>
  <c r="F10" i="73"/>
  <c r="F45" i="73" s="1"/>
  <c r="E10" i="73"/>
  <c r="CL8" i="73"/>
  <c r="CK8" i="73"/>
  <c r="CJ8" i="73"/>
  <c r="CI8" i="73"/>
  <c r="CH8" i="73"/>
  <c r="CG8" i="73"/>
  <c r="CF8" i="73"/>
  <c r="CE8" i="73"/>
  <c r="CD8" i="73"/>
  <c r="CC8" i="73"/>
  <c r="S176" i="73" l="1"/>
  <c r="S185" i="73" s="1"/>
  <c r="AA176" i="73"/>
  <c r="AA185" i="73" s="1"/>
  <c r="CE56" i="73"/>
  <c r="CE65" i="73" s="1"/>
  <c r="CE89" i="73"/>
  <c r="CE164" i="73" s="1"/>
  <c r="CI56" i="73"/>
  <c r="CI65" i="73" s="1"/>
  <c r="CK74" i="73"/>
  <c r="CK80" i="73" s="1"/>
  <c r="AL68" i="73"/>
  <c r="AL82" i="73" s="1"/>
  <c r="AP68" i="73"/>
  <c r="AT68" i="73"/>
  <c r="AT82" i="73" s="1"/>
  <c r="CH29" i="73"/>
  <c r="BN89" i="73"/>
  <c r="BR89" i="73"/>
  <c r="BR164" i="73" s="1"/>
  <c r="BV89" i="73"/>
  <c r="BV164" i="73" s="1"/>
  <c r="AW101" i="73"/>
  <c r="AW102" i="73" s="1"/>
  <c r="AW116" i="73"/>
  <c r="AW107" i="73"/>
  <c r="AW120" i="73"/>
  <c r="AX120" i="73" s="1"/>
  <c r="CD56" i="73"/>
  <c r="CH56" i="73"/>
  <c r="CH65" i="73" s="1"/>
  <c r="CL56" i="73"/>
  <c r="CL65" i="73" s="1"/>
  <c r="CC56" i="73"/>
  <c r="CC65" i="73" s="1"/>
  <c r="CG56" i="73"/>
  <c r="CG65" i="73" s="1"/>
  <c r="CK56" i="73"/>
  <c r="CK65" i="73" s="1"/>
  <c r="CF56" i="73"/>
  <c r="CF65" i="73" s="1"/>
  <c r="BG86" i="73"/>
  <c r="BH86" i="73" s="1"/>
  <c r="BI86" i="73" s="1"/>
  <c r="BJ86" i="73" s="1"/>
  <c r="BK86" i="73" s="1"/>
  <c r="BO53" i="73"/>
  <c r="BO153" i="73" s="1"/>
  <c r="CL74" i="73"/>
  <c r="CL80" i="73" s="1"/>
  <c r="BW89" i="73"/>
  <c r="BW88" i="73" s="1"/>
  <c r="CO115" i="73"/>
  <c r="BZ115" i="73"/>
  <c r="BM56" i="73"/>
  <c r="BM65" i="73" s="1"/>
  <c r="BQ56" i="73"/>
  <c r="BQ65" i="73" s="1"/>
  <c r="BU56" i="73"/>
  <c r="BU65" i="73" s="1"/>
  <c r="CC74" i="73"/>
  <c r="CC80" i="73" s="1"/>
  <c r="CC163" i="73" s="1"/>
  <c r="BX75" i="73"/>
  <c r="BV75" i="73"/>
  <c r="BV74" i="73" s="1"/>
  <c r="BV80" i="73" s="1"/>
  <c r="BV163" i="73" s="1"/>
  <c r="F68" i="73"/>
  <c r="F82" i="73" s="1"/>
  <c r="J68" i="73"/>
  <c r="J69" i="73" s="1"/>
  <c r="N68" i="73"/>
  <c r="N82" i="73" s="1"/>
  <c r="R68" i="73"/>
  <c r="R69" i="73" s="1"/>
  <c r="V68" i="73"/>
  <c r="V82" i="73" s="1"/>
  <c r="BW38" i="73"/>
  <c r="CC20" i="73"/>
  <c r="CE11" i="73"/>
  <c r="CE30" i="73" s="1"/>
  <c r="CI11" i="73"/>
  <c r="CI30" i="73" s="1"/>
  <c r="CL11" i="73"/>
  <c r="CL30" i="73" s="1"/>
  <c r="BN17" i="73"/>
  <c r="CJ17" i="73"/>
  <c r="CJ98" i="73" s="1"/>
  <c r="BV17" i="73"/>
  <c r="G68" i="73"/>
  <c r="G69" i="73" s="1"/>
  <c r="I68" i="73"/>
  <c r="I69" i="73" s="1"/>
  <c r="K68" i="73"/>
  <c r="K69" i="73" s="1"/>
  <c r="M68" i="73"/>
  <c r="O68" i="73"/>
  <c r="O69" i="73" s="1"/>
  <c r="Q68" i="73"/>
  <c r="Q69" i="73" s="1"/>
  <c r="AC68" i="73"/>
  <c r="AC69" i="73" s="1"/>
  <c r="AE68" i="73"/>
  <c r="BN38" i="73"/>
  <c r="BN152" i="73" s="1"/>
  <c r="BR38" i="73"/>
  <c r="BV38" i="73"/>
  <c r="BV152" i="73" s="1"/>
  <c r="BV157" i="73" s="1"/>
  <c r="CD38" i="73"/>
  <c r="CF38" i="73"/>
  <c r="CF39" i="73" s="1"/>
  <c r="CH38" i="73"/>
  <c r="CJ38" i="73"/>
  <c r="CJ39" i="73" s="1"/>
  <c r="CD53" i="73"/>
  <c r="CD153" i="73" s="1"/>
  <c r="CF53" i="73"/>
  <c r="CF153" i="73" s="1"/>
  <c r="CH53" i="73"/>
  <c r="CJ53" i="73"/>
  <c r="P74" i="73"/>
  <c r="P80" i="73" s="1"/>
  <c r="P163" i="73" s="1"/>
  <c r="BM89" i="73"/>
  <c r="BM164" i="73" s="1"/>
  <c r="BQ89" i="73"/>
  <c r="BQ164" i="73" s="1"/>
  <c r="BU89" i="73"/>
  <c r="BU164" i="73" s="1"/>
  <c r="BS17" i="73"/>
  <c r="BS18" i="73" s="1"/>
  <c r="AN18" i="73"/>
  <c r="AN23" i="73" s="1"/>
  <c r="AN24" i="73" s="1"/>
  <c r="G21" i="73"/>
  <c r="R21" i="73"/>
  <c r="AT21" i="73"/>
  <c r="BS53" i="73"/>
  <c r="BS153" i="73" s="1"/>
  <c r="BN56" i="73"/>
  <c r="BR56" i="73"/>
  <c r="BR65" i="73" s="1"/>
  <c r="BV56" i="73"/>
  <c r="BV65" i="73" s="1"/>
  <c r="CH74" i="73"/>
  <c r="CH80" i="73" s="1"/>
  <c r="CH163" i="73" s="1"/>
  <c r="CD89" i="73"/>
  <c r="CD164" i="73" s="1"/>
  <c r="CH89" i="73"/>
  <c r="CL89" i="73"/>
  <c r="CH13" i="73"/>
  <c r="CH18" i="73" s="1"/>
  <c r="CD17" i="73"/>
  <c r="CD18" i="73" s="1"/>
  <c r="CD23" i="73" s="1"/>
  <c r="BP17" i="73"/>
  <c r="BP98" i="73" s="1"/>
  <c r="H18" i="73"/>
  <c r="H23" i="73" s="1"/>
  <c r="H24" i="73" s="1"/>
  <c r="N21" i="73"/>
  <c r="BO38" i="73"/>
  <c r="BO152" i="73" s="1"/>
  <c r="BS38" i="73"/>
  <c r="BS152" i="73" s="1"/>
  <c r="CC38" i="73"/>
  <c r="CC39" i="73" s="1"/>
  <c r="CK38" i="73"/>
  <c r="CK39" i="73" s="1"/>
  <c r="BP53" i="73"/>
  <c r="BP153" i="73" s="1"/>
  <c r="BT53" i="73"/>
  <c r="BT153" i="73" s="1"/>
  <c r="CJ56" i="73"/>
  <c r="CJ65" i="73" s="1"/>
  <c r="CG74" i="73"/>
  <c r="CG80" i="73" s="1"/>
  <c r="CG163" i="73" s="1"/>
  <c r="CJ74" i="73"/>
  <c r="CJ80" i="73" s="1"/>
  <c r="CJ163" i="73" s="1"/>
  <c r="BP89" i="73"/>
  <c r="BP164" i="73" s="1"/>
  <c r="BT89" i="73"/>
  <c r="BT164" i="73" s="1"/>
  <c r="CL53" i="73"/>
  <c r="BQ53" i="73"/>
  <c r="BQ153" i="73" s="1"/>
  <c r="BU53" i="73"/>
  <c r="BU153" i="73" s="1"/>
  <c r="CE53" i="73"/>
  <c r="CE153" i="73" s="1"/>
  <c r="CI53" i="73"/>
  <c r="BM53" i="73"/>
  <c r="BM153" i="73" s="1"/>
  <c r="BR98" i="73"/>
  <c r="CH98" i="73"/>
  <c r="H68" i="73"/>
  <c r="H69" i="73" s="1"/>
  <c r="L68" i="73"/>
  <c r="L69" i="73" s="1"/>
  <c r="P68" i="73"/>
  <c r="AI68" i="73"/>
  <c r="AI82" i="73" s="1"/>
  <c r="AM68" i="73"/>
  <c r="AM82" i="73" s="1"/>
  <c r="AQ68" i="73"/>
  <c r="AQ82" i="73" s="1"/>
  <c r="AU68" i="73"/>
  <c r="AU82" i="73" s="1"/>
  <c r="AU92" i="73" s="1"/>
  <c r="AU96" i="73" s="1"/>
  <c r="BO56" i="73"/>
  <c r="BO65" i="73" s="1"/>
  <c r="BS56" i="73"/>
  <c r="BS65" i="73" s="1"/>
  <c r="BW56" i="73"/>
  <c r="BW65" i="73" s="1"/>
  <c r="AJ68" i="73"/>
  <c r="AJ82" i="73" s="1"/>
  <c r="AN68" i="73"/>
  <c r="AN82" i="73" s="1"/>
  <c r="AR68" i="73"/>
  <c r="AR82" i="73" s="1"/>
  <c r="BP56" i="73"/>
  <c r="BP65" i="73" s="1"/>
  <c r="BT56" i="73"/>
  <c r="BT65" i="73" s="1"/>
  <c r="BS74" i="73"/>
  <c r="BS80" i="73" s="1"/>
  <c r="BS163" i="73" s="1"/>
  <c r="BR74" i="73"/>
  <c r="BR80" i="73" s="1"/>
  <c r="BR163" i="73" s="1"/>
  <c r="CE74" i="73"/>
  <c r="CE80" i="73" s="1"/>
  <c r="CE163" i="73" s="1"/>
  <c r="BP74" i="73"/>
  <c r="BP80" i="73" s="1"/>
  <c r="BP163" i="73" s="1"/>
  <c r="CI74" i="73"/>
  <c r="CI80" i="73" s="1"/>
  <c r="CI163" i="73" s="1"/>
  <c r="AS74" i="73"/>
  <c r="AS80" i="73" s="1"/>
  <c r="AS163" i="73" s="1"/>
  <c r="CI89" i="73"/>
  <c r="CI164" i="73" s="1"/>
  <c r="AX128" i="73"/>
  <c r="AX183" i="73" s="1"/>
  <c r="CN77" i="73"/>
  <c r="BY115" i="73"/>
  <c r="CC21" i="73"/>
  <c r="D149" i="73"/>
  <c r="D24" i="73"/>
  <c r="X149" i="73"/>
  <c r="X24" i="73"/>
  <c r="AH68" i="73"/>
  <c r="AH21" i="73"/>
  <c r="K149" i="73"/>
  <c r="K24" i="73"/>
  <c r="CG98" i="73"/>
  <c r="CG18" i="73"/>
  <c r="CG23" i="73" s="1"/>
  <c r="AI149" i="73"/>
  <c r="AI24" i="73"/>
  <c r="E149" i="73"/>
  <c r="E24" i="73"/>
  <c r="M149" i="73"/>
  <c r="M24" i="73"/>
  <c r="T149" i="73"/>
  <c r="T24" i="73"/>
  <c r="Y149" i="73"/>
  <c r="Y24" i="73"/>
  <c r="AF149" i="73"/>
  <c r="AF24" i="73"/>
  <c r="BN98" i="73"/>
  <c r="BN18" i="73"/>
  <c r="AR149" i="73"/>
  <c r="AR24" i="73"/>
  <c r="P149" i="73"/>
  <c r="P24" i="73"/>
  <c r="U149" i="73"/>
  <c r="U24" i="73"/>
  <c r="AB149" i="73"/>
  <c r="AB24" i="73"/>
  <c r="AG149" i="73"/>
  <c r="AG24" i="73"/>
  <c r="CJ152" i="73"/>
  <c r="CC152" i="73"/>
  <c r="Z21" i="73"/>
  <c r="I149" i="73"/>
  <c r="I24" i="73"/>
  <c r="Q149" i="73"/>
  <c r="Q24" i="73"/>
  <c r="AC149" i="73"/>
  <c r="AC24" i="73"/>
  <c r="AJ149" i="73"/>
  <c r="AJ24" i="73"/>
  <c r="BV98" i="73"/>
  <c r="BV18" i="73"/>
  <c r="L149" i="73"/>
  <c r="L24" i="73"/>
  <c r="AD149" i="73"/>
  <c r="AD24" i="73"/>
  <c r="AK149" i="73"/>
  <c r="AK24" i="73"/>
  <c r="BW152" i="73"/>
  <c r="BW157" i="73" s="1"/>
  <c r="CF148" i="73"/>
  <c r="CF44" i="73"/>
  <c r="CF20" i="73"/>
  <c r="L30" i="73"/>
  <c r="L45" i="73"/>
  <c r="X30" i="73"/>
  <c r="X45" i="73"/>
  <c r="AJ30" i="73"/>
  <c r="AJ45" i="73"/>
  <c r="CG148" i="73"/>
  <c r="E45" i="73"/>
  <c r="E30" i="73"/>
  <c r="M45" i="73"/>
  <c r="M30" i="73"/>
  <c r="Y45" i="73"/>
  <c r="Y30" i="73"/>
  <c r="AG45" i="73"/>
  <c r="AG30" i="73"/>
  <c r="AS45" i="73"/>
  <c r="AS30" i="73"/>
  <c r="G176" i="73"/>
  <c r="G185" i="73" s="1"/>
  <c r="G98" i="73"/>
  <c r="O176" i="73"/>
  <c r="O185" i="73" s="1"/>
  <c r="O98" i="73"/>
  <c r="AM176" i="73"/>
  <c r="AM185" i="73" s="1"/>
  <c r="AM98" i="73"/>
  <c r="CD148" i="73"/>
  <c r="CE148" i="73"/>
  <c r="CE29" i="73"/>
  <c r="CE44" i="73"/>
  <c r="CI148" i="73"/>
  <c r="CI29" i="73"/>
  <c r="CI44" i="73"/>
  <c r="CG11" i="73"/>
  <c r="CG30" i="73" s="1"/>
  <c r="CK11" i="73"/>
  <c r="CK30" i="73" s="1"/>
  <c r="BR13" i="73"/>
  <c r="BR18" i="73" s="1"/>
  <c r="I176" i="73"/>
  <c r="I98" i="73"/>
  <c r="M176" i="73"/>
  <c r="M98" i="73"/>
  <c r="Q176" i="73"/>
  <c r="Q98" i="73"/>
  <c r="AE176" i="73"/>
  <c r="AE185" i="73" s="1"/>
  <c r="AE98" i="73"/>
  <c r="AK176" i="73"/>
  <c r="AK98" i="73"/>
  <c r="AO176" i="73"/>
  <c r="AO98" i="73"/>
  <c r="AO18" i="73"/>
  <c r="AO23" i="73" s="1"/>
  <c r="AS176" i="73"/>
  <c r="AS98" i="73"/>
  <c r="AS18" i="73"/>
  <c r="AS23" i="73" s="1"/>
  <c r="CF17" i="73"/>
  <c r="CF98" i="73" s="1"/>
  <c r="G18" i="73"/>
  <c r="G23" i="73" s="1"/>
  <c r="O18" i="73"/>
  <c r="O23" i="73" s="1"/>
  <c r="S149" i="73"/>
  <c r="S24" i="73"/>
  <c r="W149" i="73"/>
  <c r="W24" i="73"/>
  <c r="AA18" i="73"/>
  <c r="AA23" i="73" s="1"/>
  <c r="AE18" i="73"/>
  <c r="AE23" i="73" s="1"/>
  <c r="AM18" i="73"/>
  <c r="AM23" i="73" s="1"/>
  <c r="AA20" i="73"/>
  <c r="AE82" i="73"/>
  <c r="AE69" i="73"/>
  <c r="AI69" i="73"/>
  <c r="F21" i="73"/>
  <c r="K21" i="73"/>
  <c r="P21" i="73"/>
  <c r="V21" i="73"/>
  <c r="AL21" i="73"/>
  <c r="AQ21" i="73"/>
  <c r="CG20" i="73"/>
  <c r="CL20" i="73"/>
  <c r="BN30" i="73"/>
  <c r="CG29" i="73"/>
  <c r="CC29" i="73"/>
  <c r="K30" i="73"/>
  <c r="S30" i="73"/>
  <c r="AA30" i="73"/>
  <c r="AI30" i="73"/>
  <c r="AQ30" i="73"/>
  <c r="G152" i="73"/>
  <c r="G157" i="73" s="1"/>
  <c r="G39" i="73"/>
  <c r="G66" i="73"/>
  <c r="G154" i="73" s="1"/>
  <c r="G155" i="73" s="1"/>
  <c r="K152" i="73"/>
  <c r="K157" i="73" s="1"/>
  <c r="K39" i="73"/>
  <c r="K66" i="73"/>
  <c r="K154" i="73" s="1"/>
  <c r="K155" i="73" s="1"/>
  <c r="O152" i="73"/>
  <c r="O157" i="73" s="1"/>
  <c r="O39" i="73"/>
  <c r="O66" i="73"/>
  <c r="O154" i="73" s="1"/>
  <c r="O155" i="73" s="1"/>
  <c r="S152" i="73"/>
  <c r="S157" i="73" s="1"/>
  <c r="S39" i="73"/>
  <c r="S66" i="73"/>
  <c r="S154" i="73" s="1"/>
  <c r="S155" i="73" s="1"/>
  <c r="W152" i="73"/>
  <c r="W157" i="73" s="1"/>
  <c r="W39" i="73"/>
  <c r="W66" i="73"/>
  <c r="W154" i="73" s="1"/>
  <c r="W155" i="73" s="1"/>
  <c r="CC44" i="73"/>
  <c r="CJ148" i="73"/>
  <c r="CJ44" i="73"/>
  <c r="P30" i="73"/>
  <c r="P45" i="73"/>
  <c r="AF30" i="73"/>
  <c r="AF45" i="73"/>
  <c r="CD11" i="73"/>
  <c r="CD30" i="73" s="1"/>
  <c r="CH11" i="73"/>
  <c r="CH30" i="73" s="1"/>
  <c r="F176" i="73"/>
  <c r="F185" i="73" s="1"/>
  <c r="F98" i="73"/>
  <c r="J176" i="73"/>
  <c r="J185" i="73" s="1"/>
  <c r="J98" i="73"/>
  <c r="N176" i="73"/>
  <c r="N185" i="73" s="1"/>
  <c r="N98" i="73"/>
  <c r="R176" i="73"/>
  <c r="R185" i="73" s="1"/>
  <c r="R98" i="73"/>
  <c r="AH176" i="73"/>
  <c r="AH185" i="73" s="1"/>
  <c r="AH98" i="73"/>
  <c r="AL176" i="73"/>
  <c r="AL185" i="73" s="1"/>
  <c r="AL98" i="73"/>
  <c r="AP176" i="73"/>
  <c r="AP185" i="73" s="1"/>
  <c r="AP98" i="73"/>
  <c r="AT176" i="73"/>
  <c r="AT185" i="73" s="1"/>
  <c r="AT98" i="73"/>
  <c r="BO17" i="73"/>
  <c r="BO98" i="73" s="1"/>
  <c r="BW17" i="73"/>
  <c r="CC17" i="73"/>
  <c r="CK17" i="73"/>
  <c r="AT18" i="73"/>
  <c r="AT23" i="73" s="1"/>
  <c r="L21" i="73"/>
  <c r="AB21" i="73"/>
  <c r="AR21" i="73"/>
  <c r="CD152" i="73"/>
  <c r="CD39" i="73"/>
  <c r="CD66" i="73"/>
  <c r="CD154" i="73" s="1"/>
  <c r="CH152" i="73"/>
  <c r="CH39" i="73"/>
  <c r="F30" i="73"/>
  <c r="N30" i="73"/>
  <c r="V30" i="73"/>
  <c r="AD30" i="73"/>
  <c r="AL30" i="73"/>
  <c r="AT30" i="73"/>
  <c r="D152" i="73"/>
  <c r="D157" i="73" s="1"/>
  <c r="D39" i="73"/>
  <c r="D66" i="73"/>
  <c r="D154" i="73" s="1"/>
  <c r="D155" i="73" s="1"/>
  <c r="H152" i="73"/>
  <c r="H157" i="73" s="1"/>
  <c r="H39" i="73"/>
  <c r="H66" i="73"/>
  <c r="H154" i="73" s="1"/>
  <c r="H155" i="73" s="1"/>
  <c r="L152" i="73"/>
  <c r="L157" i="73" s="1"/>
  <c r="L39" i="73"/>
  <c r="L66" i="73"/>
  <c r="L154" i="73" s="1"/>
  <c r="L155" i="73" s="1"/>
  <c r="P152" i="73"/>
  <c r="P157" i="73" s="1"/>
  <c r="P39" i="73"/>
  <c r="P66" i="73"/>
  <c r="P154" i="73" s="1"/>
  <c r="P155" i="73" s="1"/>
  <c r="T152" i="73"/>
  <c r="T157" i="73" s="1"/>
  <c r="T39" i="73"/>
  <c r="T66" i="73"/>
  <c r="T154" i="73" s="1"/>
  <c r="T155" i="73" s="1"/>
  <c r="X152" i="73"/>
  <c r="X157" i="73" s="1"/>
  <c r="X39" i="73"/>
  <c r="X66" i="73"/>
  <c r="X154" i="73" s="1"/>
  <c r="X155" i="73" s="1"/>
  <c r="CG45" i="73"/>
  <c r="T30" i="73"/>
  <c r="T45" i="73"/>
  <c r="AN30" i="73"/>
  <c r="AN45" i="73"/>
  <c r="CK148" i="73"/>
  <c r="Q45" i="73"/>
  <c r="Q30" i="73"/>
  <c r="AK45" i="73"/>
  <c r="AK30" i="73"/>
  <c r="BT13" i="73"/>
  <c r="V176" i="73"/>
  <c r="V185" i="73" s="1"/>
  <c r="V98" i="73"/>
  <c r="AU176" i="73"/>
  <c r="AU185" i="73" s="1"/>
  <c r="AU98" i="73"/>
  <c r="BT17" i="73"/>
  <c r="BT98" i="73" s="1"/>
  <c r="CL17" i="73"/>
  <c r="AP18" i="73"/>
  <c r="AP23" i="73" s="1"/>
  <c r="AU18" i="73"/>
  <c r="AU23" i="73" s="1"/>
  <c r="M82" i="73"/>
  <c r="M69" i="73"/>
  <c r="AK82" i="73"/>
  <c r="AK69" i="73"/>
  <c r="AO82" i="73"/>
  <c r="AO69" i="73"/>
  <c r="AS69" i="73"/>
  <c r="H21" i="73"/>
  <c r="X21" i="73"/>
  <c r="AN21" i="73"/>
  <c r="CD20" i="73"/>
  <c r="CI20" i="73"/>
  <c r="BP38" i="73"/>
  <c r="BT38" i="73"/>
  <c r="BP30" i="73"/>
  <c r="CK29" i="73"/>
  <c r="G30" i="73"/>
  <c r="O30" i="73"/>
  <c r="W30" i="73"/>
  <c r="AE30" i="73"/>
  <c r="AM30" i="73"/>
  <c r="AU30" i="73"/>
  <c r="CD54" i="73"/>
  <c r="H30" i="73"/>
  <c r="H45" i="73"/>
  <c r="AB30" i="73"/>
  <c r="AB45" i="73"/>
  <c r="AR30" i="73"/>
  <c r="AR45" i="73"/>
  <c r="CC148" i="73"/>
  <c r="I45" i="73"/>
  <c r="I30" i="73"/>
  <c r="U45" i="73"/>
  <c r="U30" i="73"/>
  <c r="AC45" i="73"/>
  <c r="AC30" i="73"/>
  <c r="AO45" i="73"/>
  <c r="AO30" i="73"/>
  <c r="K176" i="73"/>
  <c r="K185" i="73" s="1"/>
  <c r="K98" i="73"/>
  <c r="AI176" i="73"/>
  <c r="AI185" i="73" s="1"/>
  <c r="AI98" i="73"/>
  <c r="AQ176" i="73"/>
  <c r="AQ185" i="73" s="1"/>
  <c r="AQ98" i="73"/>
  <c r="CH148" i="73"/>
  <c r="CH23" i="73"/>
  <c r="CF11" i="73"/>
  <c r="CF45" i="73" s="1"/>
  <c r="CJ11" i="73"/>
  <c r="CJ45" i="73" s="1"/>
  <c r="CJ13" i="73"/>
  <c r="H176" i="73"/>
  <c r="H98" i="73"/>
  <c r="L176" i="73"/>
  <c r="L98" i="73"/>
  <c r="P176" i="73"/>
  <c r="P98" i="73"/>
  <c r="AC176" i="73"/>
  <c r="AC98" i="73"/>
  <c r="AJ176" i="73"/>
  <c r="AJ98" i="73"/>
  <c r="AN176" i="73"/>
  <c r="AN98" i="73"/>
  <c r="AR176" i="73"/>
  <c r="AR98" i="73"/>
  <c r="BM17" i="73"/>
  <c r="BM98" i="73" s="1"/>
  <c r="BQ17" i="73"/>
  <c r="BQ98" i="73" s="1"/>
  <c r="BU17" i="73"/>
  <c r="BU98" i="73" s="1"/>
  <c r="CE17" i="73"/>
  <c r="CE98" i="73" s="1"/>
  <c r="CI17" i="73"/>
  <c r="CI98" i="73" s="1"/>
  <c r="CM17" i="73"/>
  <c r="F18" i="73"/>
  <c r="F23" i="73" s="1"/>
  <c r="J18" i="73"/>
  <c r="J23" i="73" s="1"/>
  <c r="N18" i="73"/>
  <c r="N23" i="73" s="1"/>
  <c r="R18" i="73"/>
  <c r="R23" i="73" s="1"/>
  <c r="V18" i="73"/>
  <c r="V23" i="73" s="1"/>
  <c r="Z18" i="73"/>
  <c r="Z23" i="73" s="1"/>
  <c r="AH18" i="73"/>
  <c r="AH23" i="73" s="1"/>
  <c r="AL18" i="73"/>
  <c r="AL23" i="73" s="1"/>
  <c r="AQ18" i="73"/>
  <c r="AQ23" i="73" s="1"/>
  <c r="F69" i="73"/>
  <c r="N69" i="73"/>
  <c r="V69" i="73"/>
  <c r="AP82" i="73"/>
  <c r="AP69" i="73"/>
  <c r="D21" i="73"/>
  <c r="J21" i="73"/>
  <c r="O21" i="73"/>
  <c r="T21" i="73"/>
  <c r="AE21" i="73"/>
  <c r="AJ21" i="73"/>
  <c r="AP21" i="73"/>
  <c r="AU21" i="73"/>
  <c r="CE20" i="73"/>
  <c r="CK20" i="73"/>
  <c r="BQ38" i="73"/>
  <c r="BU38" i="73"/>
  <c r="BU29" i="73"/>
  <c r="BQ30" i="73"/>
  <c r="CF29" i="73"/>
  <c r="CJ29" i="73"/>
  <c r="CD29" i="73"/>
  <c r="CL29" i="73"/>
  <c r="J30" i="73"/>
  <c r="R30" i="73"/>
  <c r="Z30" i="73"/>
  <c r="AH30" i="73"/>
  <c r="AP30" i="73"/>
  <c r="CL37" i="73"/>
  <c r="AR38" i="73"/>
  <c r="BR152" i="73"/>
  <c r="CG38" i="73"/>
  <c r="E21" i="73"/>
  <c r="I21" i="73"/>
  <c r="M21" i="73"/>
  <c r="Q21" i="73"/>
  <c r="U21" i="73"/>
  <c r="Y21" i="73"/>
  <c r="AC21" i="73"/>
  <c r="AG21" i="73"/>
  <c r="AK21" i="73"/>
  <c r="AO21" i="73"/>
  <c r="AS21" i="73"/>
  <c r="BW29" i="73"/>
  <c r="BO30" i="73"/>
  <c r="BW32" i="73"/>
  <c r="BM38" i="73"/>
  <c r="CE38" i="73"/>
  <c r="CI38" i="73"/>
  <c r="F39" i="73"/>
  <c r="J39" i="73"/>
  <c r="N39" i="73"/>
  <c r="R39" i="73"/>
  <c r="V39" i="73"/>
  <c r="Z39" i="73"/>
  <c r="AD39" i="73"/>
  <c r="AH39" i="73"/>
  <c r="AL39" i="73"/>
  <c r="AP39" i="73"/>
  <c r="AT39" i="73"/>
  <c r="CG44" i="73"/>
  <c r="CK44" i="73"/>
  <c r="CL45" i="73"/>
  <c r="BW52" i="73"/>
  <c r="BW53" i="73" s="1"/>
  <c r="BN53" i="73"/>
  <c r="BR53" i="73"/>
  <c r="BV53" i="73"/>
  <c r="BV66" i="73" s="1"/>
  <c r="BV154" i="73" s="1"/>
  <c r="BV155" i="73" s="1"/>
  <c r="G54" i="73"/>
  <c r="K54" i="73"/>
  <c r="O54" i="73"/>
  <c r="S54" i="73"/>
  <c r="W54" i="73"/>
  <c r="AA54" i="73"/>
  <c r="AE54" i="73"/>
  <c r="AI54" i="73"/>
  <c r="AM54" i="73"/>
  <c r="AQ54" i="73"/>
  <c r="AU54" i="73"/>
  <c r="S65" i="73"/>
  <c r="S68" i="73" s="1"/>
  <c r="W65" i="73"/>
  <c r="W68" i="73" s="1"/>
  <c r="AA65" i="73"/>
  <c r="AA66" i="73"/>
  <c r="AA154" i="73" s="1"/>
  <c r="AA155" i="73" s="1"/>
  <c r="AE66" i="73"/>
  <c r="AE154" i="73" s="1"/>
  <c r="AE155" i="73" s="1"/>
  <c r="AI66" i="73"/>
  <c r="AI154" i="73" s="1"/>
  <c r="AI155" i="73" s="1"/>
  <c r="AM66" i="73"/>
  <c r="AM154" i="73" s="1"/>
  <c r="AM155" i="73" s="1"/>
  <c r="AQ66" i="73"/>
  <c r="AQ154" i="73" s="1"/>
  <c r="AQ155" i="73" s="1"/>
  <c r="AU66" i="73"/>
  <c r="AU154" i="73" s="1"/>
  <c r="AU155" i="73" s="1"/>
  <c r="CD65" i="73"/>
  <c r="BO77" i="73"/>
  <c r="BO74" i="73" s="1"/>
  <c r="BO80" i="73" s="1"/>
  <c r="BO163" i="73" s="1"/>
  <c r="BT77" i="73"/>
  <c r="BT74" i="73" s="1"/>
  <c r="BT80" i="73" s="1"/>
  <c r="BT163" i="73" s="1"/>
  <c r="BX77" i="73"/>
  <c r="CM75" i="73"/>
  <c r="CF77" i="73"/>
  <c r="CF74" i="73" s="1"/>
  <c r="CF80" i="73" s="1"/>
  <c r="CF163" i="73" s="1"/>
  <c r="AA39" i="73"/>
  <c r="AE39" i="73"/>
  <c r="AI39" i="73"/>
  <c r="AM39" i="73"/>
  <c r="AQ39" i="73"/>
  <c r="AU39" i="73"/>
  <c r="CD44" i="73"/>
  <c r="CH44" i="73"/>
  <c r="CL44" i="73"/>
  <c r="CI45" i="73"/>
  <c r="CC53" i="73"/>
  <c r="CG53" i="73"/>
  <c r="CK53" i="73"/>
  <c r="AR53" i="73"/>
  <c r="D54" i="73"/>
  <c r="H54" i="73"/>
  <c r="L54" i="73"/>
  <c r="P54" i="73"/>
  <c r="T54" i="73"/>
  <c r="X54" i="73"/>
  <c r="AB54" i="73"/>
  <c r="AF54" i="73"/>
  <c r="AJ54" i="73"/>
  <c r="AN54" i="73"/>
  <c r="D185" i="73"/>
  <c r="T185" i="73"/>
  <c r="X185" i="73"/>
  <c r="BR176" i="73"/>
  <c r="AB185" i="73"/>
  <c r="AF185" i="73"/>
  <c r="D65" i="73"/>
  <c r="D68" i="73" s="1"/>
  <c r="T65" i="73"/>
  <c r="T68" i="73" s="1"/>
  <c r="X65" i="73"/>
  <c r="X68" i="73" s="1"/>
  <c r="AB65" i="73"/>
  <c r="AB68" i="73" s="1"/>
  <c r="AF65" i="73"/>
  <c r="AF68" i="73" s="1"/>
  <c r="AB66" i="73"/>
  <c r="AB154" i="73" s="1"/>
  <c r="AB155" i="73" s="1"/>
  <c r="AF66" i="73"/>
  <c r="AF154" i="73" s="1"/>
  <c r="AF155" i="73" s="1"/>
  <c r="AJ66" i="73"/>
  <c r="AJ154" i="73" s="1"/>
  <c r="AJ155" i="73" s="1"/>
  <c r="AN66" i="73"/>
  <c r="AN154" i="73" s="1"/>
  <c r="AN155" i="73" s="1"/>
  <c r="CD77" i="73"/>
  <c r="CD74" i="73" s="1"/>
  <c r="CD80" i="73" s="1"/>
  <c r="CD163" i="73" s="1"/>
  <c r="BN77" i="73"/>
  <c r="BN74" i="73" s="1"/>
  <c r="BN80" i="73" s="1"/>
  <c r="BN163" i="73" s="1"/>
  <c r="AU129" i="73"/>
  <c r="AU164" i="73" s="1"/>
  <c r="BW79" i="73"/>
  <c r="BW74" i="73" s="1"/>
  <c r="BW80" i="73" s="1"/>
  <c r="BW163" i="73" s="1"/>
  <c r="AU80" i="73"/>
  <c r="AU163" i="73" s="1"/>
  <c r="CH164" i="73"/>
  <c r="CL164" i="73"/>
  <c r="AB39" i="73"/>
  <c r="AF39" i="73"/>
  <c r="AJ39" i="73"/>
  <c r="AN39" i="73"/>
  <c r="E54" i="73"/>
  <c r="I54" i="73"/>
  <c r="M54" i="73"/>
  <c r="Q54" i="73"/>
  <c r="U54" i="73"/>
  <c r="Y54" i="73"/>
  <c r="AC54" i="73"/>
  <c r="AG54" i="73"/>
  <c r="AK54" i="73"/>
  <c r="AO54" i="73"/>
  <c r="AS54" i="73"/>
  <c r="E185" i="73"/>
  <c r="U185" i="73"/>
  <c r="Y185" i="73"/>
  <c r="CH176" i="73"/>
  <c r="AG185" i="73"/>
  <c r="E65" i="73"/>
  <c r="E68" i="73" s="1"/>
  <c r="U65" i="73"/>
  <c r="U68" i="73" s="1"/>
  <c r="Y65" i="73"/>
  <c r="Y68" i="73" s="1"/>
  <c r="AG65" i="73"/>
  <c r="AG68" i="73" s="1"/>
  <c r="E66" i="73"/>
  <c r="E154" i="73" s="1"/>
  <c r="E155" i="73" s="1"/>
  <c r="I66" i="73"/>
  <c r="I154" i="73" s="1"/>
  <c r="I155" i="73" s="1"/>
  <c r="M66" i="73"/>
  <c r="M154" i="73" s="1"/>
  <c r="M155" i="73" s="1"/>
  <c r="Q66" i="73"/>
  <c r="Q154" i="73" s="1"/>
  <c r="Q155" i="73" s="1"/>
  <c r="U66" i="73"/>
  <c r="U154" i="73" s="1"/>
  <c r="U155" i="73" s="1"/>
  <c r="Y66" i="73"/>
  <c r="Y154" i="73" s="1"/>
  <c r="Y155" i="73" s="1"/>
  <c r="AC66" i="73"/>
  <c r="AC154" i="73" s="1"/>
  <c r="AC155" i="73" s="1"/>
  <c r="AG66" i="73"/>
  <c r="AG154" i="73" s="1"/>
  <c r="AG155" i="73" s="1"/>
  <c r="AK66" i="73"/>
  <c r="AK154" i="73" s="1"/>
  <c r="AK155" i="73" s="1"/>
  <c r="AO66" i="73"/>
  <c r="AO154" i="73" s="1"/>
  <c r="AO155" i="73" s="1"/>
  <c r="AS66" i="73"/>
  <c r="AS154" i="73" s="1"/>
  <c r="AS155" i="73" s="1"/>
  <c r="BN65" i="73"/>
  <c r="BV29" i="73"/>
  <c r="E39" i="73"/>
  <c r="I39" i="73"/>
  <c r="M39" i="73"/>
  <c r="Q39" i="73"/>
  <c r="U39" i="73"/>
  <c r="Y39" i="73"/>
  <c r="AC39" i="73"/>
  <c r="AG39" i="73"/>
  <c r="AK39" i="73"/>
  <c r="AO39" i="73"/>
  <c r="AS39" i="73"/>
  <c r="F54" i="73"/>
  <c r="J54" i="73"/>
  <c r="N54" i="73"/>
  <c r="R54" i="73"/>
  <c r="V54" i="73"/>
  <c r="Z54" i="73"/>
  <c r="AD54" i="73"/>
  <c r="AH54" i="73"/>
  <c r="AL54" i="73"/>
  <c r="AP54" i="73"/>
  <c r="AT54" i="73"/>
  <c r="CM57" i="73"/>
  <c r="Z65" i="73"/>
  <c r="Z68" i="73" s="1"/>
  <c r="AD65" i="73"/>
  <c r="AD68" i="73" s="1"/>
  <c r="F66" i="73"/>
  <c r="F154" i="73" s="1"/>
  <c r="F155" i="73" s="1"/>
  <c r="J66" i="73"/>
  <c r="J154" i="73" s="1"/>
  <c r="J155" i="73" s="1"/>
  <c r="N66" i="73"/>
  <c r="N154" i="73" s="1"/>
  <c r="N155" i="73" s="1"/>
  <c r="R66" i="73"/>
  <c r="R154" i="73" s="1"/>
  <c r="R155" i="73" s="1"/>
  <c r="V66" i="73"/>
  <c r="V154" i="73" s="1"/>
  <c r="V155" i="73" s="1"/>
  <c r="Z66" i="73"/>
  <c r="Z154" i="73" s="1"/>
  <c r="Z155" i="73" s="1"/>
  <c r="AD66" i="73"/>
  <c r="AD154" i="73" s="1"/>
  <c r="AD155" i="73" s="1"/>
  <c r="AH66" i="73"/>
  <c r="AH154" i="73" s="1"/>
  <c r="AH155" i="73" s="1"/>
  <c r="AL66" i="73"/>
  <c r="AL154" i="73" s="1"/>
  <c r="AL155" i="73" s="1"/>
  <c r="AP66" i="73"/>
  <c r="AP154" i="73" s="1"/>
  <c r="AP155" i="73" s="1"/>
  <c r="AT66" i="73"/>
  <c r="AT154" i="73" s="1"/>
  <c r="AT155" i="73" s="1"/>
  <c r="T74" i="73"/>
  <c r="T80" i="73" s="1"/>
  <c r="T163" i="73" s="1"/>
  <c r="BM74" i="73"/>
  <c r="BM80" i="73" s="1"/>
  <c r="BM163" i="73" s="1"/>
  <c r="BQ74" i="73"/>
  <c r="BQ80" i="73" s="1"/>
  <c r="BQ163" i="73" s="1"/>
  <c r="BU74" i="73"/>
  <c r="BU80" i="73" s="1"/>
  <c r="BU163" i="73" s="1"/>
  <c r="CM79" i="73"/>
  <c r="BN164" i="73"/>
  <c r="CF89" i="73"/>
  <c r="CJ89" i="73"/>
  <c r="BO89" i="73"/>
  <c r="BS89" i="73"/>
  <c r="CC89" i="73"/>
  <c r="CG89" i="73"/>
  <c r="CK89" i="73"/>
  <c r="CE184" i="73"/>
  <c r="BO184" i="73"/>
  <c r="CI175" i="73"/>
  <c r="BS175" i="73"/>
  <c r="CN125" i="73"/>
  <c r="CD175" i="73"/>
  <c r="BN175" i="73"/>
  <c r="BX127" i="73"/>
  <c r="AX129" i="73"/>
  <c r="BO175" i="73"/>
  <c r="CE175" i="73"/>
  <c r="CI184" i="73"/>
  <c r="BS184" i="73"/>
  <c r="BW175" i="73"/>
  <c r="BX126" i="73"/>
  <c r="CD184" i="73"/>
  <c r="BN184" i="73"/>
  <c r="BR175" i="73"/>
  <c r="CH175" i="73"/>
  <c r="CF175" i="73"/>
  <c r="BP175" i="73"/>
  <c r="AP120" i="73"/>
  <c r="CM120" i="73" s="1"/>
  <c r="BV175" i="73"/>
  <c r="CL175" i="73"/>
  <c r="BT175" i="73"/>
  <c r="CJ175" i="73"/>
  <c r="BW184" i="73"/>
  <c r="BX125" i="73"/>
  <c r="CH184" i="73"/>
  <c r="BR184" i="73"/>
  <c r="CF184" i="73"/>
  <c r="BP184" i="73"/>
  <c r="BV184" i="73"/>
  <c r="CL184" i="73"/>
  <c r="CJ184" i="73"/>
  <c r="BT184" i="73"/>
  <c r="BW8" i="73"/>
  <c r="BV8" i="73"/>
  <c r="BU8" i="73"/>
  <c r="BT8" i="73"/>
  <c r="BS8" i="73"/>
  <c r="BR8" i="73"/>
  <c r="BR29" i="73" s="1"/>
  <c r="BQ8" i="73"/>
  <c r="BP8" i="73"/>
  <c r="BP29" i="73" s="1"/>
  <c r="BO8" i="73"/>
  <c r="BN8" i="73"/>
  <c r="BN44" i="73" s="1"/>
  <c r="BM8" i="73"/>
  <c r="BW66" i="73" l="1"/>
  <c r="BW154" i="73" s="1"/>
  <c r="BW155" i="73" s="1"/>
  <c r="CD45" i="73"/>
  <c r="G82" i="73"/>
  <c r="G92" i="73" s="1"/>
  <c r="G96" i="73" s="1"/>
  <c r="CF30" i="73"/>
  <c r="CK45" i="73"/>
  <c r="CH20" i="73"/>
  <c r="AJ69" i="73"/>
  <c r="BP18" i="73"/>
  <c r="BS98" i="73"/>
  <c r="CD98" i="73"/>
  <c r="CI153" i="73"/>
  <c r="CI158" i="73" s="1"/>
  <c r="CF66" i="73"/>
  <c r="CF154" i="73" s="1"/>
  <c r="CF155" i="73" s="1"/>
  <c r="CF54" i="73"/>
  <c r="CL38" i="73"/>
  <c r="CM56" i="73"/>
  <c r="CL163" i="73"/>
  <c r="CK163" i="73"/>
  <c r="CK152" i="73"/>
  <c r="CF158" i="73"/>
  <c r="CC68" i="73"/>
  <c r="CC82" i="73" s="1"/>
  <c r="CN78" i="73"/>
  <c r="BX78" i="73"/>
  <c r="AL69" i="73"/>
  <c r="AN69" i="73"/>
  <c r="Q82" i="73"/>
  <c r="Q86" i="73" s="1"/>
  <c r="I82" i="73"/>
  <c r="R82" i="73"/>
  <c r="R92" i="73" s="1"/>
  <c r="R96" i="73" s="1"/>
  <c r="L82" i="73"/>
  <c r="L92" i="73" s="1"/>
  <c r="L96" i="73" s="1"/>
  <c r="AR69" i="73"/>
  <c r="CH153" i="73"/>
  <c r="CH66" i="73"/>
  <c r="CH154" i="73" s="1"/>
  <c r="CH155" i="73" s="1"/>
  <c r="CH54" i="73"/>
  <c r="CJ66" i="73"/>
  <c r="CJ154" i="73" s="1"/>
  <c r="CJ155" i="73" s="1"/>
  <c r="BU54" i="73"/>
  <c r="AX164" i="73"/>
  <c r="AX166" i="73" s="1"/>
  <c r="AX167" i="73" s="1"/>
  <c r="AX186" i="73"/>
  <c r="AX187" i="73" s="1"/>
  <c r="AX101" i="73"/>
  <c r="AX102" i="73" s="1"/>
  <c r="BT54" i="73"/>
  <c r="BV39" i="73"/>
  <c r="CE45" i="73"/>
  <c r="CH45" i="73"/>
  <c r="J82" i="73"/>
  <c r="J92" i="73" s="1"/>
  <c r="J96" i="73" s="1"/>
  <c r="CJ18" i="73"/>
  <c r="CJ23" i="73" s="1"/>
  <c r="CD158" i="73"/>
  <c r="CF152" i="73"/>
  <c r="CF157" i="73" s="1"/>
  <c r="AS82" i="73"/>
  <c r="CD155" i="73"/>
  <c r="CJ153" i="73"/>
  <c r="CJ158" i="73" s="1"/>
  <c r="O82" i="73"/>
  <c r="O86" i="73" s="1"/>
  <c r="AN149" i="73"/>
  <c r="P82" i="73"/>
  <c r="P86" i="73" s="1"/>
  <c r="AC82" i="73"/>
  <c r="AC92" i="73" s="1"/>
  <c r="AC96" i="73" s="1"/>
  <c r="P69" i="73"/>
  <c r="AT69" i="73"/>
  <c r="AU69" i="73"/>
  <c r="CJ30" i="73"/>
  <c r="BR30" i="73"/>
  <c r="BM176" i="73"/>
  <c r="CI54" i="73"/>
  <c r="CL153" i="73"/>
  <c r="CL54" i="73"/>
  <c r="CD157" i="73"/>
  <c r="BQ176" i="73"/>
  <c r="CJ54" i="73"/>
  <c r="BM54" i="73"/>
  <c r="BQ54" i="73"/>
  <c r="BO66" i="73"/>
  <c r="BO154" i="73" s="1"/>
  <c r="BS66" i="73"/>
  <c r="BS154" i="73" s="1"/>
  <c r="AQ69" i="73"/>
  <c r="K82" i="73"/>
  <c r="K92" i="73" s="1"/>
  <c r="K96" i="73" s="1"/>
  <c r="BB77" i="73"/>
  <c r="BC77" i="73" s="1"/>
  <c r="BD77" i="73" s="1"/>
  <c r="BB78" i="73"/>
  <c r="BC78" i="73" s="1"/>
  <c r="BD78" i="73" s="1"/>
  <c r="H149" i="73"/>
  <c r="CG176" i="73"/>
  <c r="BT176" i="73"/>
  <c r="BS176" i="73"/>
  <c r="CC176" i="73"/>
  <c r="BV120" i="73"/>
  <c r="CL120" i="73"/>
  <c r="CJ176" i="73"/>
  <c r="CE158" i="73"/>
  <c r="CE54" i="73"/>
  <c r="H82" i="73"/>
  <c r="H92" i="73" s="1"/>
  <c r="H96" i="73" s="1"/>
  <c r="AM69" i="73"/>
  <c r="CH185" i="73"/>
  <c r="AW163" i="73"/>
  <c r="BX76" i="73"/>
  <c r="BX74" i="73" s="1"/>
  <c r="BX80" i="73" s="1"/>
  <c r="BX163" i="73" s="1"/>
  <c r="CG185" i="73"/>
  <c r="CN76" i="73"/>
  <c r="BX113" i="73"/>
  <c r="BX116" i="73" s="1"/>
  <c r="BX128" i="73"/>
  <c r="E82" i="73"/>
  <c r="E69" i="73"/>
  <c r="AB82" i="73"/>
  <c r="AB69" i="73"/>
  <c r="AD82" i="73"/>
  <c r="AD69" i="73"/>
  <c r="AG82" i="73"/>
  <c r="AG69" i="73"/>
  <c r="X69" i="73"/>
  <c r="X82" i="73"/>
  <c r="W82" i="73"/>
  <c r="W69" i="73"/>
  <c r="CL152" i="73"/>
  <c r="CL39" i="73"/>
  <c r="CL66" i="73"/>
  <c r="CL154" i="73" s="1"/>
  <c r="CL155" i="73" s="1"/>
  <c r="Z82" i="73"/>
  <c r="Z69" i="73"/>
  <c r="Y82" i="73"/>
  <c r="Y69" i="73"/>
  <c r="T69" i="73"/>
  <c r="T82" i="73"/>
  <c r="S82" i="73"/>
  <c r="S69" i="73"/>
  <c r="U82" i="73"/>
  <c r="U69" i="73"/>
  <c r="AF69" i="73"/>
  <c r="AF82" i="73"/>
  <c r="D69" i="73"/>
  <c r="D82" i="73"/>
  <c r="BO148" i="73"/>
  <c r="BO158" i="73" s="1"/>
  <c r="BO20" i="73"/>
  <c r="BO11" i="73"/>
  <c r="BO45" i="73" s="1"/>
  <c r="BS148" i="73"/>
  <c r="BS158" i="73" s="1"/>
  <c r="BS23" i="73"/>
  <c r="BS11" i="73"/>
  <c r="BS45" i="73" s="1"/>
  <c r="BS20" i="73"/>
  <c r="BW11" i="73"/>
  <c r="BW20" i="73"/>
  <c r="AY128" i="73"/>
  <c r="CF164" i="73"/>
  <c r="BS44" i="73"/>
  <c r="AW191" i="73"/>
  <c r="BS54" i="73"/>
  <c r="BR44" i="73"/>
  <c r="BT185" i="73"/>
  <c r="BR185" i="73"/>
  <c r="BM185" i="73"/>
  <c r="CK153" i="73"/>
  <c r="CK54" i="73"/>
  <c r="BU44" i="73"/>
  <c r="BR153" i="73"/>
  <c r="BR54" i="73"/>
  <c r="BM152" i="73"/>
  <c r="BM66" i="73"/>
  <c r="BM154" i="73" s="1"/>
  <c r="BM39" i="73"/>
  <c r="CK68" i="73"/>
  <c r="CK21" i="73"/>
  <c r="AL149" i="73"/>
  <c r="AL24" i="73"/>
  <c r="AL71" i="73"/>
  <c r="R149" i="73"/>
  <c r="R24" i="73"/>
  <c r="R71" i="73"/>
  <c r="AR185" i="73"/>
  <c r="BW176" i="73"/>
  <c r="AJ185" i="73"/>
  <c r="CJ185" i="73" s="1"/>
  <c r="BU176" i="73"/>
  <c r="P185" i="73"/>
  <c r="BP176" i="73"/>
  <c r="H185" i="73"/>
  <c r="BN176" i="73"/>
  <c r="CH149" i="73"/>
  <c r="CH129" i="55" s="1"/>
  <c r="CH24" i="73"/>
  <c r="BT152" i="73"/>
  <c r="BT66" i="73"/>
  <c r="BT154" i="73" s="1"/>
  <c r="BT39" i="73"/>
  <c r="CI68" i="73"/>
  <c r="CI21" i="73"/>
  <c r="AO86" i="73"/>
  <c r="AO92" i="73"/>
  <c r="AO96" i="73" s="1"/>
  <c r="AP149" i="73"/>
  <c r="AP71" i="73"/>
  <c r="AP24" i="73"/>
  <c r="AN92" i="73"/>
  <c r="AN96" i="73" s="1"/>
  <c r="AN86" i="73"/>
  <c r="CK98" i="73"/>
  <c r="CK18" i="73"/>
  <c r="CK23" i="73" s="1"/>
  <c r="AQ92" i="73"/>
  <c r="AQ96" i="73" s="1"/>
  <c r="AQ86" i="73"/>
  <c r="AI86" i="73"/>
  <c r="AI92" i="73"/>
  <c r="AI96" i="73" s="1"/>
  <c r="AM149" i="73"/>
  <c r="AM71" i="73"/>
  <c r="AM24" i="73"/>
  <c r="W71" i="73"/>
  <c r="S166" i="73"/>
  <c r="S167" i="73" s="1"/>
  <c r="S106" i="73" s="1"/>
  <c r="S160" i="73"/>
  <c r="S161" i="73" s="1"/>
  <c r="S150" i="73"/>
  <c r="AO149" i="73"/>
  <c r="AO71" i="73"/>
  <c r="AO24" i="73"/>
  <c r="AK185" i="73"/>
  <c r="CK176" i="73"/>
  <c r="Q185" i="73"/>
  <c r="CF185" i="73" s="1"/>
  <c r="CF176" i="73"/>
  <c r="I185" i="73"/>
  <c r="CD176" i="73"/>
  <c r="BS39" i="73"/>
  <c r="BO157" i="73"/>
  <c r="AD71" i="73"/>
  <c r="L71" i="73"/>
  <c r="BN39" i="73"/>
  <c r="Q71" i="73"/>
  <c r="I166" i="73"/>
  <c r="I167" i="73" s="1"/>
  <c r="I106" i="73" s="1"/>
  <c r="I160" i="73"/>
  <c r="I161" i="73" s="1"/>
  <c r="I150" i="73"/>
  <c r="CK66" i="73"/>
  <c r="CK154" i="73" s="1"/>
  <c r="CK155" i="73" s="1"/>
  <c r="CC157" i="73"/>
  <c r="U71" i="73"/>
  <c r="P166" i="73"/>
  <c r="P167" i="73" s="1"/>
  <c r="P106" i="73" s="1"/>
  <c r="P160" i="73"/>
  <c r="P161" i="73" s="1"/>
  <c r="P150" i="73"/>
  <c r="AN166" i="73"/>
  <c r="AN167" i="73" s="1"/>
  <c r="AN160" i="73"/>
  <c r="AN161" i="73" s="1"/>
  <c r="AN150" i="73"/>
  <c r="T71" i="73"/>
  <c r="M166" i="73"/>
  <c r="M167" i="73" s="1"/>
  <c r="M106" i="73" s="1"/>
  <c r="M160" i="73"/>
  <c r="M161" i="73" s="1"/>
  <c r="M150" i="73"/>
  <c r="CE18" i="73"/>
  <c r="CE23" i="73" s="1"/>
  <c r="D71" i="73"/>
  <c r="BQ148" i="73"/>
  <c r="BQ158" i="73" s="1"/>
  <c r="BQ29" i="73"/>
  <c r="BQ20" i="73"/>
  <c r="BQ11" i="73"/>
  <c r="BQ45" i="73" s="1"/>
  <c r="BP148" i="73"/>
  <c r="BP23" i="73"/>
  <c r="BP11" i="73"/>
  <c r="BP45" i="73" s="1"/>
  <c r="BP20" i="73"/>
  <c r="BT148" i="73"/>
  <c r="BT158" i="73" s="1"/>
  <c r="BT20" i="73"/>
  <c r="BT11" i="73"/>
  <c r="BT45" i="73" s="1"/>
  <c r="AX116" i="73"/>
  <c r="CK164" i="73"/>
  <c r="BS164" i="73"/>
  <c r="BO44" i="73"/>
  <c r="BO54" i="73"/>
  <c r="CM191" i="73"/>
  <c r="CM192" i="73" s="1"/>
  <c r="CG153" i="73"/>
  <c r="CG158" i="73" s="1"/>
  <c r="CG54" i="73"/>
  <c r="BQ44" i="73"/>
  <c r="BN153" i="73"/>
  <c r="BN54" i="73"/>
  <c r="BT44" i="73"/>
  <c r="BS29" i="73"/>
  <c r="AR152" i="73"/>
  <c r="AR157" i="73" s="1"/>
  <c r="AR39" i="73"/>
  <c r="AR66" i="73"/>
  <c r="BQ152" i="73"/>
  <c r="BQ66" i="73"/>
  <c r="BQ154" i="73" s="1"/>
  <c r="BQ39" i="73"/>
  <c r="CE68" i="73"/>
  <c r="CE21" i="73"/>
  <c r="AP92" i="73"/>
  <c r="AP96" i="73" s="1"/>
  <c r="AP86" i="73"/>
  <c r="AH149" i="73"/>
  <c r="AH24" i="73"/>
  <c r="AH71" i="73"/>
  <c r="N149" i="73"/>
  <c r="N24" i="73"/>
  <c r="N71" i="73"/>
  <c r="CD68" i="73"/>
  <c r="CD21" i="73"/>
  <c r="I86" i="73"/>
  <c r="I92" i="73"/>
  <c r="I96" i="73" s="1"/>
  <c r="CL98" i="73"/>
  <c r="CH157" i="73"/>
  <c r="CC98" i="73"/>
  <c r="CC18" i="73"/>
  <c r="CC23" i="73" s="1"/>
  <c r="CL68" i="73"/>
  <c r="CL21" i="73"/>
  <c r="AE149" i="73"/>
  <c r="AE71" i="73"/>
  <c r="AE24" i="73"/>
  <c r="W166" i="73"/>
  <c r="W167" i="73" s="1"/>
  <c r="W106" i="73" s="1"/>
  <c r="W160" i="73"/>
  <c r="W161" i="73" s="1"/>
  <c r="W150" i="73"/>
  <c r="O149" i="73"/>
  <c r="O71" i="73"/>
  <c r="O24" i="73"/>
  <c r="AS149" i="73"/>
  <c r="AS71" i="73"/>
  <c r="AS24" i="73"/>
  <c r="CG149" i="73"/>
  <c r="CG129" i="55" s="1"/>
  <c r="CG24" i="73"/>
  <c r="CF68" i="73"/>
  <c r="CF21" i="73"/>
  <c r="BW39" i="73"/>
  <c r="BS157" i="73"/>
  <c r="L166" i="73"/>
  <c r="L167" i="73" s="1"/>
  <c r="L106" i="73" s="1"/>
  <c r="L150" i="73"/>
  <c r="L160" i="73"/>
  <c r="L161" i="73" s="1"/>
  <c r="AC71" i="73"/>
  <c r="Q160" i="73"/>
  <c r="Q161" i="73" s="1"/>
  <c r="Q150" i="73"/>
  <c r="Q166" i="73"/>
  <c r="Q167" i="73" s="1"/>
  <c r="Q106" i="73" s="1"/>
  <c r="CK157" i="73"/>
  <c r="AB71" i="73"/>
  <c r="U166" i="73"/>
  <c r="U167" i="73" s="1"/>
  <c r="U106" i="73" s="1"/>
  <c r="U160" i="73"/>
  <c r="U161" i="73" s="1"/>
  <c r="U150" i="73"/>
  <c r="Y71" i="73"/>
  <c r="T166" i="73"/>
  <c r="T167" i="73" s="1"/>
  <c r="T106" i="73" s="1"/>
  <c r="T150" i="73"/>
  <c r="T160" i="73"/>
  <c r="T161" i="73" s="1"/>
  <c r="AI71" i="73"/>
  <c r="X71" i="73"/>
  <c r="D166" i="73"/>
  <c r="D167" i="73" s="1"/>
  <c r="D106" i="73" s="1"/>
  <c r="D150" i="73"/>
  <c r="D160" i="73"/>
  <c r="D161" i="73" s="1"/>
  <c r="CL18" i="73"/>
  <c r="CL23" i="73" s="1"/>
  <c r="BM148" i="73"/>
  <c r="BM158" i="73" s="1"/>
  <c r="BM29" i="73"/>
  <c r="BM20" i="73"/>
  <c r="CG164" i="73"/>
  <c r="BO164" i="73"/>
  <c r="BQ185" i="73"/>
  <c r="CC153" i="73"/>
  <c r="CC158" i="73" s="1"/>
  <c r="CC54" i="73"/>
  <c r="BW153" i="73"/>
  <c r="BW158" i="73" s="1"/>
  <c r="BW54" i="73"/>
  <c r="BP44" i="73"/>
  <c r="CI152" i="73"/>
  <c r="CI157" i="73" s="1"/>
  <c r="CI66" i="73"/>
  <c r="CI154" i="73" s="1"/>
  <c r="CI155" i="73" s="1"/>
  <c r="CI39" i="73"/>
  <c r="BO29" i="73"/>
  <c r="BP54" i="73"/>
  <c r="CG152" i="73"/>
  <c r="CG66" i="73"/>
  <c r="CG154" i="73" s="1"/>
  <c r="CG155" i="73" s="1"/>
  <c r="CG39" i="73"/>
  <c r="V92" i="73"/>
  <c r="V96" i="73" s="1"/>
  <c r="V86" i="73"/>
  <c r="N92" i="73"/>
  <c r="N96" i="73" s="1"/>
  <c r="N86" i="73"/>
  <c r="F92" i="73"/>
  <c r="F96" i="73" s="1"/>
  <c r="F86" i="73"/>
  <c r="Z149" i="73"/>
  <c r="Z24" i="73"/>
  <c r="Z71" i="73"/>
  <c r="J149" i="73"/>
  <c r="J71" i="73"/>
  <c r="J24" i="73"/>
  <c r="AN185" i="73"/>
  <c r="BV176" i="73"/>
  <c r="AC185" i="73"/>
  <c r="CI185" i="73" s="1"/>
  <c r="CI176" i="73"/>
  <c r="L185" i="73"/>
  <c r="BO176" i="73"/>
  <c r="CH158" i="73"/>
  <c r="BT29" i="73"/>
  <c r="BP152" i="73"/>
  <c r="BP157" i="73" s="1"/>
  <c r="BP66" i="73"/>
  <c r="BP154" i="73" s="1"/>
  <c r="BP39" i="73"/>
  <c r="AS92" i="73"/>
  <c r="AS96" i="73" s="1"/>
  <c r="AS86" i="73"/>
  <c r="AK86" i="73"/>
  <c r="AK92" i="73"/>
  <c r="AK96" i="73" s="1"/>
  <c r="BN66" i="73"/>
  <c r="BN154" i="73" s="1"/>
  <c r="CH68" i="73"/>
  <c r="CH21" i="73"/>
  <c r="AJ86" i="73"/>
  <c r="AJ92" i="73"/>
  <c r="AJ96" i="73" s="1"/>
  <c r="BW98" i="73"/>
  <c r="CJ20" i="73"/>
  <c r="CG68" i="73"/>
  <c r="CG21" i="73"/>
  <c r="AM86" i="73"/>
  <c r="AM92" i="73"/>
  <c r="AM96" i="73" s="1"/>
  <c r="AE86" i="73"/>
  <c r="AE92" i="73"/>
  <c r="AE96" i="73" s="1"/>
  <c r="AA149" i="73"/>
  <c r="AA71" i="73"/>
  <c r="AA24" i="73"/>
  <c r="G149" i="73"/>
  <c r="G71" i="73"/>
  <c r="G24" i="73"/>
  <c r="AO185" i="73"/>
  <c r="CL176" i="73"/>
  <c r="M185" i="73"/>
  <c r="CE176" i="73"/>
  <c r="AK71" i="73"/>
  <c r="AD166" i="73"/>
  <c r="AD167" i="73" s="1"/>
  <c r="AD106" i="73" s="1"/>
  <c r="AD160" i="73"/>
  <c r="AD161" i="73" s="1"/>
  <c r="AD150" i="73"/>
  <c r="CI18" i="73"/>
  <c r="CI23" i="73" s="1"/>
  <c r="CF18" i="73"/>
  <c r="CF23" i="73" s="1"/>
  <c r="AJ71" i="73"/>
  <c r="AC166" i="73"/>
  <c r="AC167" i="73" s="1"/>
  <c r="AC106" i="73" s="1"/>
  <c r="AC160" i="73"/>
  <c r="AC161" i="73" s="1"/>
  <c r="AC150" i="73"/>
  <c r="AG71" i="73"/>
  <c r="AB166" i="73"/>
  <c r="AB167" i="73" s="1"/>
  <c r="AB106" i="73" s="1"/>
  <c r="AB150" i="73"/>
  <c r="AB160" i="73"/>
  <c r="AB161" i="73" s="1"/>
  <c r="H71" i="73"/>
  <c r="AR150" i="73"/>
  <c r="AF71" i="73"/>
  <c r="Y166" i="73"/>
  <c r="Y167" i="73" s="1"/>
  <c r="Y106" i="73" s="1"/>
  <c r="Y160" i="73"/>
  <c r="Y161" i="73" s="1"/>
  <c r="Y150" i="73"/>
  <c r="E71" i="73"/>
  <c r="AI166" i="73"/>
  <c r="AI167" i="73" s="1"/>
  <c r="AI106" i="73" s="1"/>
  <c r="AI160" i="73"/>
  <c r="AI161" i="73" s="1"/>
  <c r="AI150" i="73"/>
  <c r="K71" i="73"/>
  <c r="X166" i="73"/>
  <c r="X167" i="73" s="1"/>
  <c r="X106" i="73" s="1"/>
  <c r="X160" i="73"/>
  <c r="X161" i="73" s="1"/>
  <c r="X150" i="73"/>
  <c r="BO18" i="73"/>
  <c r="BO23" i="73" s="1"/>
  <c r="BW18" i="73"/>
  <c r="BW23" i="73" s="1"/>
  <c r="BU148" i="73"/>
  <c r="BU158" i="73" s="1"/>
  <c r="BU20" i="73"/>
  <c r="BU11" i="73"/>
  <c r="BN148" i="73"/>
  <c r="BN20" i="73"/>
  <c r="BN23" i="73"/>
  <c r="BN11" i="73"/>
  <c r="BN45" i="73" s="1"/>
  <c r="BR148" i="73"/>
  <c r="BR157" i="73" s="1"/>
  <c r="BR20" i="73"/>
  <c r="BR39" i="73"/>
  <c r="BR23" i="73"/>
  <c r="BR11" i="73"/>
  <c r="BR45" i="73" s="1"/>
  <c r="BV20" i="73"/>
  <c r="BV23" i="73"/>
  <c r="BV11" i="73"/>
  <c r="CC164" i="73"/>
  <c r="CJ164" i="73"/>
  <c r="BW44" i="73"/>
  <c r="BN29" i="73"/>
  <c r="BV44" i="73"/>
  <c r="CM129" i="73"/>
  <c r="CM101" i="73" s="1"/>
  <c r="BW129" i="73"/>
  <c r="AU186" i="73"/>
  <c r="AU101" i="73"/>
  <c r="AR153" i="73"/>
  <c r="AR158" i="73" s="1"/>
  <c r="AR54" i="73"/>
  <c r="CM74" i="73"/>
  <c r="CM80" i="73" s="1"/>
  <c r="BV153" i="73"/>
  <c r="BV158" i="73" s="1"/>
  <c r="BV54" i="73"/>
  <c r="BM44" i="73"/>
  <c r="CE152" i="73"/>
  <c r="CE66" i="73"/>
  <c r="CE154" i="73" s="1"/>
  <c r="CE155" i="73" s="1"/>
  <c r="CE39" i="73"/>
  <c r="BP158" i="73"/>
  <c r="BR66" i="73"/>
  <c r="BR154" i="73" s="1"/>
  <c r="BU152" i="73"/>
  <c r="BU66" i="73"/>
  <c r="BU154" i="73" s="1"/>
  <c r="BU39" i="73"/>
  <c r="CJ149" i="73"/>
  <c r="CJ129" i="55" s="1"/>
  <c r="CJ24" i="73"/>
  <c r="AT92" i="73"/>
  <c r="AT96" i="73" s="1"/>
  <c r="AT86" i="73"/>
  <c r="AL92" i="73"/>
  <c r="AL96" i="73" s="1"/>
  <c r="AL86" i="73"/>
  <c r="AQ149" i="73"/>
  <c r="AQ71" i="73"/>
  <c r="AQ24" i="73"/>
  <c r="V149" i="73"/>
  <c r="V24" i="73"/>
  <c r="V71" i="73"/>
  <c r="F149" i="73"/>
  <c r="F71" i="73"/>
  <c r="F24" i="73"/>
  <c r="M86" i="73"/>
  <c r="M92" i="73"/>
  <c r="M96" i="73" s="1"/>
  <c r="AU149" i="73"/>
  <c r="AU71" i="73"/>
  <c r="AU24" i="73"/>
  <c r="BT18" i="73"/>
  <c r="BT23" i="73" s="1"/>
  <c r="BN157" i="73"/>
  <c r="AR92" i="73"/>
  <c r="AR96" i="73" s="1"/>
  <c r="AR86" i="73"/>
  <c r="AT149" i="73"/>
  <c r="AT24" i="73"/>
  <c r="AT71" i="73"/>
  <c r="AA68" i="73"/>
  <c r="AA21" i="73"/>
  <c r="G86" i="73"/>
  <c r="S71" i="73"/>
  <c r="AS185" i="73"/>
  <c r="CD149" i="73"/>
  <c r="CD71" i="73"/>
  <c r="CD24" i="73"/>
  <c r="BO39" i="73"/>
  <c r="AK166" i="73"/>
  <c r="AK167" i="73" s="1"/>
  <c r="AK106" i="73" s="1"/>
  <c r="AK160" i="73"/>
  <c r="AK161" i="73" s="1"/>
  <c r="AK150" i="73"/>
  <c r="BU18" i="73"/>
  <c r="BU23" i="73" s="1"/>
  <c r="BQ18" i="73"/>
  <c r="BQ23" i="73" s="1"/>
  <c r="AJ166" i="73"/>
  <c r="AJ167" i="73" s="1"/>
  <c r="AJ106" i="73" s="1"/>
  <c r="AJ150" i="73"/>
  <c r="AJ160" i="73"/>
  <c r="AJ161" i="73" s="1"/>
  <c r="I71" i="73"/>
  <c r="CC66" i="73"/>
  <c r="CC154" i="73" s="1"/>
  <c r="CC155" i="73" s="1"/>
  <c r="CJ157" i="73"/>
  <c r="AG160" i="73"/>
  <c r="AG161" i="73" s="1"/>
  <c r="AG166" i="73"/>
  <c r="AG167" i="73" s="1"/>
  <c r="AG106" i="73" s="1"/>
  <c r="AG150" i="73"/>
  <c r="P71" i="73"/>
  <c r="H166" i="73"/>
  <c r="H167" i="73" s="1"/>
  <c r="H106" i="73" s="1"/>
  <c r="H160" i="73"/>
  <c r="H161" i="73" s="1"/>
  <c r="H150" i="73"/>
  <c r="AN71" i="73"/>
  <c r="AF166" i="73"/>
  <c r="AF167" i="73" s="1"/>
  <c r="AF106" i="73" s="1"/>
  <c r="AF160" i="73"/>
  <c r="AF161" i="73" s="1"/>
  <c r="AF150" i="73"/>
  <c r="M71" i="73"/>
  <c r="E166" i="73"/>
  <c r="E167" i="73" s="1"/>
  <c r="E106" i="73" s="1"/>
  <c r="E160" i="73"/>
  <c r="E161" i="73" s="1"/>
  <c r="E150" i="73"/>
  <c r="K166" i="73"/>
  <c r="K167" i="73" s="1"/>
  <c r="K106" i="73" s="1"/>
  <c r="K160" i="73"/>
  <c r="K161" i="73" s="1"/>
  <c r="K150" i="73"/>
  <c r="AH82" i="73"/>
  <c r="AH69" i="73"/>
  <c r="BM18" i="73"/>
  <c r="BM23" i="73" s="1"/>
  <c r="BT6" i="73"/>
  <c r="BR6" i="73"/>
  <c r="BQ6" i="73"/>
  <c r="BP6" i="73"/>
  <c r="BO6" i="73"/>
  <c r="BN6" i="73"/>
  <c r="BM6" i="73"/>
  <c r="AJ4" i="73"/>
  <c r="AI4" i="73"/>
  <c r="AH4" i="73"/>
  <c r="AG4" i="73"/>
  <c r="AF4" i="73"/>
  <c r="AE4" i="73"/>
  <c r="AD4" i="73"/>
  <c r="AC4" i="73"/>
  <c r="AB4" i="73"/>
  <c r="AA4" i="73"/>
  <c r="Z4" i="73"/>
  <c r="Y4" i="73"/>
  <c r="X4" i="73"/>
  <c r="W4" i="73"/>
  <c r="V4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E4" i="73"/>
  <c r="D4" i="73"/>
  <c r="L86" i="73" l="1"/>
  <c r="CC69" i="73"/>
  <c r="CJ71" i="73"/>
  <c r="Q92" i="73"/>
  <c r="Q96" i="73" s="1"/>
  <c r="CH71" i="73"/>
  <c r="CH72" i="73" s="1"/>
  <c r="BX129" i="73"/>
  <c r="AY101" i="73"/>
  <c r="AY102" i="73" s="1"/>
  <c r="CK158" i="73"/>
  <c r="CL158" i="73"/>
  <c r="CM163" i="73"/>
  <c r="O92" i="73"/>
  <c r="O96" i="73" s="1"/>
  <c r="P92" i="73"/>
  <c r="R86" i="73"/>
  <c r="AC86" i="73"/>
  <c r="J86" i="73"/>
  <c r="AN106" i="73"/>
  <c r="BO155" i="73"/>
  <c r="K86" i="73"/>
  <c r="BP155" i="73"/>
  <c r="BY77" i="73"/>
  <c r="CN114" i="73"/>
  <c r="BS155" i="73"/>
  <c r="CG157" i="73"/>
  <c r="BU155" i="73"/>
  <c r="CE157" i="73"/>
  <c r="CL157" i="73"/>
  <c r="BY78" i="73"/>
  <c r="CL185" i="73"/>
  <c r="CE185" i="73"/>
  <c r="AY116" i="73"/>
  <c r="H86" i="73"/>
  <c r="CO78" i="73"/>
  <c r="BE78" i="73"/>
  <c r="CO77" i="73"/>
  <c r="BE77" i="73"/>
  <c r="BX101" i="73"/>
  <c r="BN185" i="73"/>
  <c r="BU185" i="73"/>
  <c r="CN113" i="73"/>
  <c r="BT149" i="73"/>
  <c r="BT71" i="73"/>
  <c r="BT24" i="73"/>
  <c r="BQ149" i="73"/>
  <c r="BQ71" i="73"/>
  <c r="BQ24" i="73"/>
  <c r="BO149" i="73"/>
  <c r="BO71" i="73"/>
  <c r="BO24" i="73"/>
  <c r="BU149" i="73"/>
  <c r="BU71" i="73"/>
  <c r="BU24" i="73"/>
  <c r="BM149" i="73"/>
  <c r="BM71" i="73"/>
  <c r="BM24" i="73"/>
  <c r="BW149" i="73"/>
  <c r="BW71" i="73"/>
  <c r="BW24" i="73"/>
  <c r="CD166" i="73"/>
  <c r="CD167" i="73" s="1"/>
  <c r="CD160" i="73"/>
  <c r="CD161" i="73" s="1"/>
  <c r="CD150" i="73"/>
  <c r="G182" i="73"/>
  <c r="G187" i="73" s="1"/>
  <c r="G174" i="73"/>
  <c r="G178" i="73" s="1"/>
  <c r="G179" i="73" s="1"/>
  <c r="G104" i="73"/>
  <c r="AT166" i="73"/>
  <c r="AT167" i="73" s="1"/>
  <c r="AT106" i="73" s="1"/>
  <c r="AT160" i="73"/>
  <c r="AT161" i="73" s="1"/>
  <c r="AT150" i="73"/>
  <c r="AR174" i="73"/>
  <c r="AR182" i="73"/>
  <c r="AR104" i="73"/>
  <c r="V83" i="73"/>
  <c r="V72" i="73"/>
  <c r="AQ83" i="73"/>
  <c r="AQ72" i="73"/>
  <c r="CJ166" i="73"/>
  <c r="CJ167" i="73" s="1"/>
  <c r="CJ160" i="73"/>
  <c r="CJ150" i="73"/>
  <c r="BR155" i="73"/>
  <c r="BW186" i="73"/>
  <c r="BV149" i="73"/>
  <c r="BV71" i="73"/>
  <c r="BV24" i="73"/>
  <c r="BN149" i="73"/>
  <c r="BN71" i="73"/>
  <c r="BN24" i="73"/>
  <c r="BU68" i="73"/>
  <c r="BU21" i="73"/>
  <c r="K83" i="73"/>
  <c r="K72" i="73"/>
  <c r="E83" i="73"/>
  <c r="E72" i="73"/>
  <c r="AF83" i="73"/>
  <c r="AF72" i="73"/>
  <c r="H83" i="73"/>
  <c r="H72" i="73"/>
  <c r="AG83" i="73"/>
  <c r="AG72" i="73"/>
  <c r="AJ182" i="73"/>
  <c r="AJ174" i="73"/>
  <c r="AJ104" i="73"/>
  <c r="BN155" i="73"/>
  <c r="AS182" i="73"/>
  <c r="AS174" i="73"/>
  <c r="AS104" i="73"/>
  <c r="AI83" i="73"/>
  <c r="AI72" i="73"/>
  <c r="Y83" i="73"/>
  <c r="Y72" i="73"/>
  <c r="AB83" i="73"/>
  <c r="AB72" i="73"/>
  <c r="CF82" i="73"/>
  <c r="CF69" i="73"/>
  <c r="O83" i="73"/>
  <c r="O72" i="73"/>
  <c r="K182" i="73"/>
  <c r="K187" i="73" s="1"/>
  <c r="K174" i="73"/>
  <c r="K178" i="73" s="1"/>
  <c r="K179" i="73" s="1"/>
  <c r="K104" i="73"/>
  <c r="CC149" i="73"/>
  <c r="CC24" i="73"/>
  <c r="CC71" i="73"/>
  <c r="I182" i="73"/>
  <c r="I174" i="73"/>
  <c r="I104" i="73"/>
  <c r="AC182" i="73"/>
  <c r="AC174" i="73"/>
  <c r="AC104" i="73"/>
  <c r="N83" i="73"/>
  <c r="N72" i="73"/>
  <c r="BQ157" i="73"/>
  <c r="Q83" i="73"/>
  <c r="Q72" i="73"/>
  <c r="AM83" i="73"/>
  <c r="AM72" i="73"/>
  <c r="H174" i="73"/>
  <c r="H182" i="73"/>
  <c r="H104" i="73"/>
  <c r="BT155" i="73"/>
  <c r="CH166" i="73"/>
  <c r="CH167" i="73" s="1"/>
  <c r="CH160" i="73"/>
  <c r="CH150" i="73"/>
  <c r="BP185" i="73"/>
  <c r="BW185" i="73"/>
  <c r="R166" i="73"/>
  <c r="R167" i="73" s="1"/>
  <c r="R106" i="73" s="1"/>
  <c r="R160" i="73"/>
  <c r="R161" i="73" s="1"/>
  <c r="R150" i="73"/>
  <c r="BM155" i="73"/>
  <c r="BW68" i="73"/>
  <c r="BW21" i="73"/>
  <c r="BO68" i="73"/>
  <c r="BO21" i="73"/>
  <c r="D86" i="73"/>
  <c r="D92" i="73"/>
  <c r="D96" i="73" s="1"/>
  <c r="T86" i="73"/>
  <c r="T92" i="73"/>
  <c r="T96" i="73" s="1"/>
  <c r="Z92" i="73"/>
  <c r="Z96" i="73" s="1"/>
  <c r="Z86" i="73"/>
  <c r="M83" i="73"/>
  <c r="M72" i="73"/>
  <c r="AN83" i="73"/>
  <c r="AN72" i="73"/>
  <c r="P72" i="73"/>
  <c r="P83" i="73"/>
  <c r="AA82" i="73"/>
  <c r="AA69" i="73"/>
  <c r="L174" i="73"/>
  <c r="L182" i="73"/>
  <c r="L104" i="73"/>
  <c r="AU83" i="73"/>
  <c r="AU72" i="73"/>
  <c r="AQ166" i="73"/>
  <c r="AQ167" i="73" s="1"/>
  <c r="AQ160" i="73"/>
  <c r="AQ161" i="73" s="1"/>
  <c r="AQ150" i="73"/>
  <c r="AT182" i="73"/>
  <c r="AT187" i="73" s="1"/>
  <c r="AT174" i="73"/>
  <c r="AT178" i="73" s="1"/>
  <c r="AT179" i="73" s="1"/>
  <c r="AT104" i="73"/>
  <c r="BW101" i="73"/>
  <c r="BW164" i="73"/>
  <c r="BV68" i="73"/>
  <c r="BV21" i="73"/>
  <c r="BR68" i="73"/>
  <c r="BR21" i="73"/>
  <c r="BN68" i="73"/>
  <c r="BN21" i="73"/>
  <c r="AJ83" i="73"/>
  <c r="AJ72" i="73"/>
  <c r="AA83" i="73"/>
  <c r="AA72" i="73"/>
  <c r="AM182" i="73"/>
  <c r="AM187" i="73" s="1"/>
  <c r="AM174" i="73"/>
  <c r="AM178" i="73" s="1"/>
  <c r="AM179" i="73" s="1"/>
  <c r="AM104" i="73"/>
  <c r="CG82" i="73"/>
  <c r="CG69" i="73"/>
  <c r="AK182" i="73"/>
  <c r="AK174" i="73"/>
  <c r="AK104" i="73"/>
  <c r="J83" i="73"/>
  <c r="J72" i="73"/>
  <c r="Z166" i="73"/>
  <c r="Z167" i="73" s="1"/>
  <c r="Z106" i="73" s="1"/>
  <c r="Z160" i="73"/>
  <c r="Z161" i="73" s="1"/>
  <c r="Z150" i="73"/>
  <c r="N182" i="73"/>
  <c r="N187" i="73" s="1"/>
  <c r="N174" i="73"/>
  <c r="N178" i="73" s="1"/>
  <c r="N179" i="73" s="1"/>
  <c r="N104" i="73"/>
  <c r="AC83" i="73"/>
  <c r="AC72" i="73"/>
  <c r="AS83" i="73"/>
  <c r="AS72" i="73"/>
  <c r="O166" i="73"/>
  <c r="O167" i="73" s="1"/>
  <c r="O106" i="73" s="1"/>
  <c r="O160" i="73"/>
  <c r="O161" i="73" s="1"/>
  <c r="O150" i="73"/>
  <c r="AH166" i="73"/>
  <c r="AH167" i="73" s="1"/>
  <c r="AH106" i="73" s="1"/>
  <c r="AH160" i="73"/>
  <c r="AH161" i="73" s="1"/>
  <c r="AH150" i="73"/>
  <c r="CE82" i="73"/>
  <c r="CE69" i="73"/>
  <c r="AR154" i="73"/>
  <c r="AR71" i="73"/>
  <c r="BP68" i="73"/>
  <c r="BP21" i="73"/>
  <c r="AO83" i="73"/>
  <c r="AO72" i="73"/>
  <c r="AM166" i="73"/>
  <c r="AM167" i="73" s="1"/>
  <c r="AM160" i="73"/>
  <c r="AM161" i="73" s="1"/>
  <c r="AM150" i="73"/>
  <c r="AQ182" i="73"/>
  <c r="AQ187" i="73" s="1"/>
  <c r="AQ174" i="73"/>
  <c r="AQ178" i="73" s="1"/>
  <c r="AQ179" i="73" s="1"/>
  <c r="AQ104" i="73"/>
  <c r="AN174" i="73"/>
  <c r="AN182" i="73"/>
  <c r="AN104" i="73"/>
  <c r="AP83" i="73"/>
  <c r="AP72" i="73"/>
  <c r="BT157" i="73"/>
  <c r="AL83" i="73"/>
  <c r="AL72" i="73"/>
  <c r="J182" i="73"/>
  <c r="J187" i="73" s="1"/>
  <c r="J174" i="73"/>
  <c r="J178" i="73" s="1"/>
  <c r="J179" i="73" s="1"/>
  <c r="J104" i="73"/>
  <c r="CK82" i="73"/>
  <c r="CK69" i="73"/>
  <c r="BM157" i="73"/>
  <c r="CC185" i="73"/>
  <c r="BA114" i="73"/>
  <c r="BW45" i="73"/>
  <c r="BW30" i="73"/>
  <c r="BS149" i="73"/>
  <c r="BS71" i="73"/>
  <c r="BS24" i="73"/>
  <c r="U86" i="73"/>
  <c r="U92" i="73"/>
  <c r="U96" i="73" s="1"/>
  <c r="W86" i="73"/>
  <c r="W92" i="73"/>
  <c r="W96" i="73" s="1"/>
  <c r="AG86" i="73"/>
  <c r="AG92" i="73"/>
  <c r="AG96" i="73" s="1"/>
  <c r="AB86" i="73"/>
  <c r="AB92" i="73"/>
  <c r="AB96" i="73" s="1"/>
  <c r="AH92" i="73"/>
  <c r="AH96" i="73" s="1"/>
  <c r="AH86" i="73"/>
  <c r="O182" i="73"/>
  <c r="O187" i="73" s="1"/>
  <c r="O174" i="73"/>
  <c r="O178" i="73" s="1"/>
  <c r="O179" i="73" s="1"/>
  <c r="O104" i="73"/>
  <c r="AT83" i="73"/>
  <c r="AT72" i="73"/>
  <c r="AU166" i="73"/>
  <c r="AU167" i="73" s="1"/>
  <c r="AU106" i="73" s="1"/>
  <c r="AU160" i="73"/>
  <c r="AU161" i="73" s="1"/>
  <c r="AU150" i="73"/>
  <c r="F83" i="73"/>
  <c r="F72" i="73"/>
  <c r="V166" i="73"/>
  <c r="V167" i="73" s="1"/>
  <c r="V106" i="73" s="1"/>
  <c r="V160" i="73"/>
  <c r="V161" i="73" s="1"/>
  <c r="V150" i="73"/>
  <c r="AZ101" i="73"/>
  <c r="AZ102" i="73" s="1"/>
  <c r="CN127" i="73"/>
  <c r="CF149" i="73"/>
  <c r="CF129" i="55" s="1"/>
  <c r="CF71" i="73"/>
  <c r="CF24" i="73"/>
  <c r="G83" i="73"/>
  <c r="G72" i="73"/>
  <c r="AA166" i="73"/>
  <c r="AA167" i="73" s="1"/>
  <c r="AA106" i="73" s="1"/>
  <c r="AA160" i="73"/>
  <c r="AA161" i="73" s="1"/>
  <c r="AA150" i="73"/>
  <c r="CJ68" i="73"/>
  <c r="CJ21" i="73"/>
  <c r="J166" i="73"/>
  <c r="J167" i="73" s="1"/>
  <c r="J106" i="73" s="1"/>
  <c r="J160" i="73"/>
  <c r="J161" i="73" s="1"/>
  <c r="J150" i="73"/>
  <c r="BS185" i="73"/>
  <c r="CG71" i="73"/>
  <c r="AS166" i="73"/>
  <c r="AS167" i="73" s="1"/>
  <c r="AS160" i="73"/>
  <c r="AS161" i="73" s="1"/>
  <c r="AS150" i="73"/>
  <c r="AE83" i="73"/>
  <c r="AE72" i="73"/>
  <c r="Q182" i="73"/>
  <c r="N166" i="73"/>
  <c r="N167" i="73" s="1"/>
  <c r="N106" i="73" s="1"/>
  <c r="N160" i="73"/>
  <c r="N161" i="73" s="1"/>
  <c r="N150" i="73"/>
  <c r="BN158" i="73"/>
  <c r="BT68" i="73"/>
  <c r="BT21" i="73"/>
  <c r="D83" i="73"/>
  <c r="D72" i="73"/>
  <c r="U83" i="73"/>
  <c r="U72" i="73"/>
  <c r="L83" i="73"/>
  <c r="L72" i="73"/>
  <c r="AO166" i="73"/>
  <c r="AO167" i="73" s="1"/>
  <c r="AO160" i="73"/>
  <c r="AO161" i="73" s="1"/>
  <c r="CL149" i="73"/>
  <c r="CL129" i="55" s="1"/>
  <c r="AO150" i="73"/>
  <c r="W83" i="73"/>
  <c r="W72" i="73"/>
  <c r="AI182" i="73"/>
  <c r="AI187" i="73" s="1"/>
  <c r="AI174" i="73"/>
  <c r="AI178" i="73" s="1"/>
  <c r="AI179" i="73" s="1"/>
  <c r="AI104" i="73"/>
  <c r="CK149" i="73"/>
  <c r="CK129" i="55" s="1"/>
  <c r="CK24" i="73"/>
  <c r="CK71" i="73"/>
  <c r="AP166" i="73"/>
  <c r="AP167" i="73" s="1"/>
  <c r="AP160" i="73"/>
  <c r="AP161" i="73" s="1"/>
  <c r="AP150" i="73"/>
  <c r="CI82" i="73"/>
  <c r="CI69" i="73"/>
  <c r="R83" i="73"/>
  <c r="R72" i="73"/>
  <c r="AW192" i="73"/>
  <c r="AY183" i="73"/>
  <c r="AF86" i="73"/>
  <c r="AF92" i="73"/>
  <c r="AF96" i="73" s="1"/>
  <c r="CC92" i="73"/>
  <c r="CC104" i="73" s="1"/>
  <c r="CC86" i="73"/>
  <c r="X86" i="73"/>
  <c r="X92" i="73"/>
  <c r="X96" i="73" s="1"/>
  <c r="I83" i="73"/>
  <c r="I72" i="73"/>
  <c r="CD83" i="73"/>
  <c r="CD72" i="73"/>
  <c r="S83" i="73"/>
  <c r="S72" i="73"/>
  <c r="M182" i="73"/>
  <c r="M174" i="73"/>
  <c r="M104" i="73"/>
  <c r="F166" i="73"/>
  <c r="F167" i="73" s="1"/>
  <c r="F106" i="73" s="1"/>
  <c r="F160" i="73"/>
  <c r="F161" i="73" s="1"/>
  <c r="F150" i="73"/>
  <c r="AL182" i="73"/>
  <c r="AL187" i="73" s="1"/>
  <c r="AL174" i="73"/>
  <c r="AL178" i="73" s="1"/>
  <c r="AL179" i="73" s="1"/>
  <c r="AL104" i="73"/>
  <c r="CJ83" i="73"/>
  <c r="CJ72" i="73"/>
  <c r="BU157" i="73"/>
  <c r="BA75" i="73"/>
  <c r="CN75" i="73"/>
  <c r="BV45" i="73"/>
  <c r="BV30" i="73"/>
  <c r="BR149" i="73"/>
  <c r="BR71" i="73"/>
  <c r="BR24" i="73"/>
  <c r="BU45" i="73"/>
  <c r="BU30" i="73"/>
  <c r="CI149" i="73"/>
  <c r="CI129" i="55" s="1"/>
  <c r="CI71" i="73"/>
  <c r="CI24" i="73"/>
  <c r="AK83" i="73"/>
  <c r="AK72" i="73"/>
  <c r="G166" i="73"/>
  <c r="G167" i="73" s="1"/>
  <c r="G106" i="73" s="1"/>
  <c r="G160" i="73"/>
  <c r="G161" i="73" s="1"/>
  <c r="G150" i="73"/>
  <c r="AE182" i="73"/>
  <c r="AE187" i="73" s="1"/>
  <c r="AE174" i="73"/>
  <c r="AE178" i="73" s="1"/>
  <c r="AE179" i="73" s="1"/>
  <c r="AE104" i="73"/>
  <c r="AU86" i="73"/>
  <c r="CH82" i="73"/>
  <c r="CH69" i="73"/>
  <c r="BO185" i="73"/>
  <c r="BV185" i="73"/>
  <c r="Z83" i="73"/>
  <c r="Z72" i="73"/>
  <c r="F182" i="73"/>
  <c r="F187" i="73" s="1"/>
  <c r="F174" i="73"/>
  <c r="F178" i="73" s="1"/>
  <c r="F179" i="73" s="1"/>
  <c r="F104" i="73"/>
  <c r="V182" i="73"/>
  <c r="V187" i="73" s="1"/>
  <c r="V174" i="73"/>
  <c r="V178" i="73" s="1"/>
  <c r="V179" i="73" s="1"/>
  <c r="V104" i="73"/>
  <c r="BM68" i="73"/>
  <c r="BM21" i="73"/>
  <c r="CL71" i="73"/>
  <c r="CL24" i="73"/>
  <c r="X83" i="73"/>
  <c r="X72" i="73"/>
  <c r="CG166" i="73"/>
  <c r="CG167" i="73" s="1"/>
  <c r="CG160" i="73"/>
  <c r="CG150" i="73"/>
  <c r="AE166" i="73"/>
  <c r="AE167" i="73" s="1"/>
  <c r="AE106" i="73" s="1"/>
  <c r="AE160" i="73"/>
  <c r="AE161" i="73" s="1"/>
  <c r="AE150" i="73"/>
  <c r="CL82" i="73"/>
  <c r="CL69" i="73"/>
  <c r="CD82" i="73"/>
  <c r="CD69" i="73"/>
  <c r="AH83" i="73"/>
  <c r="AH72" i="73"/>
  <c r="AP182" i="73"/>
  <c r="AP187" i="73" s="1"/>
  <c r="AP174" i="73"/>
  <c r="AP178" i="73" s="1"/>
  <c r="AP179" i="73" s="1"/>
  <c r="AP104" i="73"/>
  <c r="BQ155" i="73"/>
  <c r="BP149" i="73"/>
  <c r="BP71" i="73"/>
  <c r="BP24" i="73"/>
  <c r="BQ68" i="73"/>
  <c r="BQ21" i="73"/>
  <c r="CE149" i="73"/>
  <c r="CE129" i="55" s="1"/>
  <c r="CE71" i="73"/>
  <c r="CE24" i="73"/>
  <c r="T83" i="73"/>
  <c r="T72" i="73"/>
  <c r="AD83" i="73"/>
  <c r="AD72" i="73"/>
  <c r="CD185" i="73"/>
  <c r="CK185" i="73"/>
  <c r="AO182" i="73"/>
  <c r="AO174" i="73"/>
  <c r="AO104" i="73"/>
  <c r="AL166" i="73"/>
  <c r="AL167" i="73" s="1"/>
  <c r="AL160" i="73"/>
  <c r="AL161" i="73" s="1"/>
  <c r="AL150" i="73"/>
  <c r="R182" i="73"/>
  <c r="R187" i="73" s="1"/>
  <c r="R174" i="73"/>
  <c r="R178" i="73" s="1"/>
  <c r="R179" i="73" s="1"/>
  <c r="R104" i="73"/>
  <c r="BR158" i="73"/>
  <c r="CN126" i="73"/>
  <c r="BS68" i="73"/>
  <c r="BS21" i="73"/>
  <c r="S86" i="73"/>
  <c r="S92" i="73"/>
  <c r="S96" i="73" s="1"/>
  <c r="Y86" i="73"/>
  <c r="Y92" i="73"/>
  <c r="Y96" i="73" s="1"/>
  <c r="AD92" i="73"/>
  <c r="AD96" i="73" s="1"/>
  <c r="AD86" i="73"/>
  <c r="E86" i="73"/>
  <c r="E92" i="73"/>
  <c r="E96" i="73" s="1"/>
  <c r="AU36" i="3"/>
  <c r="AU29" i="3"/>
  <c r="AU17" i="3"/>
  <c r="AU83" i="3"/>
  <c r="AU60" i="3"/>
  <c r="AU59" i="3"/>
  <c r="AU58" i="3"/>
  <c r="AU52" i="3"/>
  <c r="AU43" i="3"/>
  <c r="AU33" i="3"/>
  <c r="AU27" i="2"/>
  <c r="AU29" i="2" s="1"/>
  <c r="AU38" i="2" s="1"/>
  <c r="AU94" i="2"/>
  <c r="AU95" i="2" s="1"/>
  <c r="AU90" i="2"/>
  <c r="AU91" i="2" s="1"/>
  <c r="AU81" i="2"/>
  <c r="AU80" i="2"/>
  <c r="AU76" i="2"/>
  <c r="AU72" i="2"/>
  <c r="AU75" i="2" s="1"/>
  <c r="AU67" i="2"/>
  <c r="AU60" i="2"/>
  <c r="AU65" i="2" s="1"/>
  <c r="AU56" i="2"/>
  <c r="AV56" i="2" s="1"/>
  <c r="AV60" i="2" s="1"/>
  <c r="AV65" i="2" s="1"/>
  <c r="AV68" i="2" s="1"/>
  <c r="AU51" i="2"/>
  <c r="AU44" i="2" s="1"/>
  <c r="AU49" i="2"/>
  <c r="AU14" i="2"/>
  <c r="Q174" i="73" l="1"/>
  <c r="Q104" i="73"/>
  <c r="CH83" i="73"/>
  <c r="CH90" i="73" s="1"/>
  <c r="P182" i="73"/>
  <c r="P96" i="73"/>
  <c r="CG161" i="73"/>
  <c r="CG130" i="55"/>
  <c r="CJ161" i="73"/>
  <c r="CJ130" i="55"/>
  <c r="CH161" i="73"/>
  <c r="CH130" i="55"/>
  <c r="BF77" i="73"/>
  <c r="BG77" i="73" s="1"/>
  <c r="BH77" i="73" s="1"/>
  <c r="BF78" i="73"/>
  <c r="BG78" i="73" s="1"/>
  <c r="BH78" i="73" s="1"/>
  <c r="P174" i="73"/>
  <c r="CE174" i="73" s="1"/>
  <c r="CE178" i="73" s="1"/>
  <c r="P104" i="73"/>
  <c r="AO106" i="73"/>
  <c r="AS106" i="73"/>
  <c r="AM106" i="73"/>
  <c r="AQ106" i="73"/>
  <c r="AP106" i="73"/>
  <c r="AL106" i="73"/>
  <c r="CN116" i="73"/>
  <c r="CN128" i="73"/>
  <c r="BY76" i="73"/>
  <c r="CO76" i="73"/>
  <c r="CN74" i="73"/>
  <c r="CN80" i="73" s="1"/>
  <c r="AU77" i="2"/>
  <c r="BA113" i="73"/>
  <c r="BS82" i="73"/>
  <c r="BS69" i="73"/>
  <c r="CE166" i="73"/>
  <c r="CE167" i="73" s="1"/>
  <c r="CE160" i="73"/>
  <c r="CE150" i="73"/>
  <c r="BP83" i="73"/>
  <c r="BP72" i="73"/>
  <c r="BA74" i="73"/>
  <c r="BA80" i="73" s="1"/>
  <c r="BA163" i="73" s="1"/>
  <c r="BB75" i="73"/>
  <c r="S99" i="73"/>
  <c r="S90" i="73"/>
  <c r="I99" i="73"/>
  <c r="I90" i="73"/>
  <c r="BX183" i="73"/>
  <c r="R99" i="73"/>
  <c r="R90" i="73"/>
  <c r="P187" i="73"/>
  <c r="W99" i="73"/>
  <c r="W90" i="73"/>
  <c r="U99" i="73"/>
  <c r="U90" i="73"/>
  <c r="BT82" i="73"/>
  <c r="BT69" i="73"/>
  <c r="BA129" i="73"/>
  <c r="AT99" i="73"/>
  <c r="AT90" i="73"/>
  <c r="BS83" i="73"/>
  <c r="BS72" i="73"/>
  <c r="BB114" i="73"/>
  <c r="AL99" i="73"/>
  <c r="AL90" i="73"/>
  <c r="BP82" i="73"/>
  <c r="BP69" i="73"/>
  <c r="CE92" i="73"/>
  <c r="CE104" i="73" s="1"/>
  <c r="CE86" i="73"/>
  <c r="AS99" i="73"/>
  <c r="AS90" i="73"/>
  <c r="AK178" i="73"/>
  <c r="AK179" i="73" s="1"/>
  <c r="CK174" i="73"/>
  <c r="CK178" i="73" s="1"/>
  <c r="AA99" i="73"/>
  <c r="AA90" i="73"/>
  <c r="BN82" i="73"/>
  <c r="BN69" i="73"/>
  <c r="BV82" i="73"/>
  <c r="BV69" i="73"/>
  <c r="BO182" i="73"/>
  <c r="BO187" i="73" s="1"/>
  <c r="L187" i="73"/>
  <c r="P99" i="73"/>
  <c r="P90" i="73"/>
  <c r="Z182" i="73"/>
  <c r="Z187" i="73" s="1"/>
  <c r="Z174" i="73"/>
  <c r="Z178" i="73" s="1"/>
  <c r="Z179" i="73" s="1"/>
  <c r="Z104" i="73"/>
  <c r="D182" i="73"/>
  <c r="D174" i="73"/>
  <c r="D104" i="73"/>
  <c r="AY191" i="73"/>
  <c r="BX191" i="73" s="1"/>
  <c r="BX192" i="73" s="1"/>
  <c r="BX57" i="73"/>
  <c r="BN174" i="73"/>
  <c r="BN178" i="73" s="1"/>
  <c r="H178" i="73"/>
  <c r="H179" i="73" s="1"/>
  <c r="Q99" i="73"/>
  <c r="Q90" i="73"/>
  <c r="CD174" i="73"/>
  <c r="CD178" i="73" s="1"/>
  <c r="I178" i="73"/>
  <c r="I179" i="73" s="1"/>
  <c r="CC166" i="73"/>
  <c r="CC167" i="73" s="1"/>
  <c r="CC160" i="73"/>
  <c r="CC161" i="73" s="1"/>
  <c r="CC150" i="73"/>
  <c r="AS187" i="73"/>
  <c r="AJ187" i="73"/>
  <c r="BU182" i="73"/>
  <c r="BU187" i="73" s="1"/>
  <c r="H99" i="73"/>
  <c r="H90" i="73"/>
  <c r="E99" i="73"/>
  <c r="E90" i="73"/>
  <c r="BU82" i="73"/>
  <c r="BU69" i="73"/>
  <c r="AQ99" i="73"/>
  <c r="AQ90" i="73"/>
  <c r="AR187" i="73"/>
  <c r="BW166" i="73"/>
  <c r="BW167" i="73" s="1"/>
  <c r="BW160" i="73"/>
  <c r="BW161" i="73" s="1"/>
  <c r="BW150" i="73"/>
  <c r="BO83" i="73"/>
  <c r="BO72" i="73"/>
  <c r="BQ166" i="73"/>
  <c r="BQ167" i="73" s="1"/>
  <c r="BQ160" i="73"/>
  <c r="BQ161" i="73" s="1"/>
  <c r="BQ150" i="73"/>
  <c r="AO178" i="73"/>
  <c r="AO179" i="73" s="1"/>
  <c r="CL174" i="73"/>
  <c r="CL178" i="73" s="1"/>
  <c r="T99" i="73"/>
  <c r="T90" i="73"/>
  <c r="BP166" i="73"/>
  <c r="BP167" i="73" s="1"/>
  <c r="BP160" i="73"/>
  <c r="BP161" i="73" s="1"/>
  <c r="BP150" i="73"/>
  <c r="AH99" i="73"/>
  <c r="AH90" i="73"/>
  <c r="CL92" i="73"/>
  <c r="CL104" i="73" s="1"/>
  <c r="CL86" i="73"/>
  <c r="X99" i="73"/>
  <c r="X90" i="73"/>
  <c r="BM82" i="73"/>
  <c r="BM69" i="73"/>
  <c r="Z99" i="73"/>
  <c r="Z90" i="73"/>
  <c r="CH92" i="73"/>
  <c r="CH104" i="73" s="1"/>
  <c r="CH86" i="73"/>
  <c r="CI83" i="73"/>
  <c r="CI72" i="73"/>
  <c r="CJ99" i="73"/>
  <c r="CJ90" i="73"/>
  <c r="M178" i="73"/>
  <c r="M179" i="73" s="1"/>
  <c r="X174" i="73"/>
  <c r="X182" i="73"/>
  <c r="X104" i="73"/>
  <c r="AF182" i="73"/>
  <c r="AF174" i="73"/>
  <c r="AF104" i="73"/>
  <c r="CK83" i="73"/>
  <c r="CK72" i="73"/>
  <c r="AE99" i="73"/>
  <c r="AE90" i="73"/>
  <c r="CF83" i="73"/>
  <c r="CF72" i="73"/>
  <c r="CN129" i="73"/>
  <c r="AG182" i="73"/>
  <c r="AG174" i="73"/>
  <c r="AG104" i="73"/>
  <c r="U182" i="73"/>
  <c r="U174" i="73"/>
  <c r="U104" i="73"/>
  <c r="BS166" i="73"/>
  <c r="BS167" i="73" s="1"/>
  <c r="BS160" i="73"/>
  <c r="BS161" i="73" s="1"/>
  <c r="BS150" i="73"/>
  <c r="BV182" i="73"/>
  <c r="BV187" i="73" s="1"/>
  <c r="AN187" i="73"/>
  <c r="AR83" i="73"/>
  <c r="AR72" i="73"/>
  <c r="CK182" i="73"/>
  <c r="CK187" i="73" s="1"/>
  <c r="AK187" i="73"/>
  <c r="L178" i="73"/>
  <c r="L179" i="73" s="1"/>
  <c r="BO174" i="73"/>
  <c r="BO178" i="73" s="1"/>
  <c r="M99" i="73"/>
  <c r="M90" i="73"/>
  <c r="CN118" i="73"/>
  <c r="BW82" i="73"/>
  <c r="BW69" i="73"/>
  <c r="AC178" i="73"/>
  <c r="AC179" i="73" s="1"/>
  <c r="CD182" i="73"/>
  <c r="CD187" i="73" s="1"/>
  <c r="I187" i="73"/>
  <c r="O99" i="73"/>
  <c r="O90" i="73"/>
  <c r="AB99" i="73"/>
  <c r="AB90" i="73"/>
  <c r="AI99" i="73"/>
  <c r="AI90" i="73"/>
  <c r="BV83" i="73"/>
  <c r="BV72" i="73"/>
  <c r="AR178" i="73"/>
  <c r="AR179" i="73" s="1"/>
  <c r="BU83" i="73"/>
  <c r="BU72" i="73"/>
  <c r="BO166" i="73"/>
  <c r="BO167" i="73" s="1"/>
  <c r="BO160" i="73"/>
  <c r="BO161" i="73" s="1"/>
  <c r="BO150" i="73"/>
  <c r="S182" i="73"/>
  <c r="S187" i="73" s="1"/>
  <c r="S174" i="73"/>
  <c r="S178" i="73" s="1"/>
  <c r="S179" i="73" s="1"/>
  <c r="S104" i="73"/>
  <c r="AD182" i="73"/>
  <c r="AD187" i="73" s="1"/>
  <c r="AD174" i="73"/>
  <c r="AD178" i="73" s="1"/>
  <c r="AD179" i="73" s="1"/>
  <c r="AD104" i="73"/>
  <c r="CL182" i="73"/>
  <c r="CL187" i="73" s="1"/>
  <c r="AO187" i="73"/>
  <c r="BQ82" i="73"/>
  <c r="BQ69" i="73"/>
  <c r="CM175" i="73"/>
  <c r="CI166" i="73"/>
  <c r="CI167" i="73" s="1"/>
  <c r="CI160" i="73"/>
  <c r="CI150" i="73"/>
  <c r="BR83" i="73"/>
  <c r="BR72" i="73"/>
  <c r="AZ183" i="73"/>
  <c r="CE182" i="73"/>
  <c r="CE187" i="73" s="1"/>
  <c r="M187" i="73"/>
  <c r="CD99" i="73"/>
  <c r="CD90" i="73"/>
  <c r="AW184" i="73"/>
  <c r="AW175" i="73"/>
  <c r="CI92" i="73"/>
  <c r="CI104" i="73" s="1"/>
  <c r="CI86" i="73"/>
  <c r="CL166" i="73"/>
  <c r="CL167" i="73" s="1"/>
  <c r="CL150" i="73"/>
  <c r="CL160" i="73"/>
  <c r="L99" i="73"/>
  <c r="L90" i="73"/>
  <c r="D99" i="73"/>
  <c r="D90" i="73"/>
  <c r="Q178" i="73"/>
  <c r="Q179" i="73" s="1"/>
  <c r="CG83" i="73"/>
  <c r="CG72" i="73"/>
  <c r="CJ82" i="73"/>
  <c r="CJ69" i="73"/>
  <c r="CF166" i="73"/>
  <c r="CF167" i="73" s="1"/>
  <c r="CF160" i="73"/>
  <c r="CF150" i="73"/>
  <c r="AH182" i="73"/>
  <c r="AH187" i="73" s="1"/>
  <c r="AH174" i="73"/>
  <c r="AH178" i="73" s="1"/>
  <c r="AH179" i="73" s="1"/>
  <c r="AH104" i="73"/>
  <c r="BV174" i="73"/>
  <c r="BV178" i="73" s="1"/>
  <c r="AN178" i="73"/>
  <c r="AN179" i="73" s="1"/>
  <c r="AO99" i="73"/>
  <c r="AO90" i="73"/>
  <c r="AR155" i="73"/>
  <c r="AR166" i="73"/>
  <c r="AR167" i="73" s="1"/>
  <c r="AR160" i="73"/>
  <c r="AR161" i="73" s="1"/>
  <c r="AC99" i="73"/>
  <c r="AC90" i="73"/>
  <c r="J99" i="73"/>
  <c r="J90" i="73"/>
  <c r="AJ99" i="73"/>
  <c r="AJ90" i="73"/>
  <c r="BR82" i="73"/>
  <c r="BR69" i="73"/>
  <c r="AU99" i="73"/>
  <c r="AU90" i="73"/>
  <c r="T182" i="73"/>
  <c r="T174" i="73"/>
  <c r="T104" i="73"/>
  <c r="AM99" i="73"/>
  <c r="AM90" i="73"/>
  <c r="AC187" i="73"/>
  <c r="CC83" i="73"/>
  <c r="CC72" i="73"/>
  <c r="AG99" i="73"/>
  <c r="AG90" i="73"/>
  <c r="AF99" i="73"/>
  <c r="AF90" i="73"/>
  <c r="K99" i="73"/>
  <c r="K90" i="73"/>
  <c r="BN83" i="73"/>
  <c r="BN72" i="73"/>
  <c r="BV166" i="73"/>
  <c r="BV167" i="73" s="1"/>
  <c r="BV160" i="73"/>
  <c r="BV161" i="73" s="1"/>
  <c r="BV150" i="73"/>
  <c r="V99" i="73"/>
  <c r="V90" i="73"/>
  <c r="BM83" i="73"/>
  <c r="BM72" i="73"/>
  <c r="BU166" i="73"/>
  <c r="BU167" i="73" s="1"/>
  <c r="BU150" i="73"/>
  <c r="BU160" i="73"/>
  <c r="BU161" i="73" s="1"/>
  <c r="BT83" i="73"/>
  <c r="BT72" i="73"/>
  <c r="E182" i="73"/>
  <c r="E174" i="73"/>
  <c r="E104" i="73"/>
  <c r="Y182" i="73"/>
  <c r="Y174" i="73"/>
  <c r="Y104" i="73"/>
  <c r="AD99" i="73"/>
  <c r="AD90" i="73"/>
  <c r="CE83" i="73"/>
  <c r="CE72" i="73"/>
  <c r="CM184" i="73"/>
  <c r="CD92" i="73"/>
  <c r="CD104" i="73" s="1"/>
  <c r="CD86" i="73"/>
  <c r="CL83" i="73"/>
  <c r="CL72" i="73"/>
  <c r="AU182" i="73"/>
  <c r="AU187" i="73" s="1"/>
  <c r="AU174" i="73"/>
  <c r="AU178" i="73" s="1"/>
  <c r="AU179" i="73" s="1"/>
  <c r="AU104" i="73"/>
  <c r="AK99" i="73"/>
  <c r="AK90" i="73"/>
  <c r="BR160" i="73"/>
  <c r="BR161" i="73" s="1"/>
  <c r="BR166" i="73"/>
  <c r="BR167" i="73" s="1"/>
  <c r="BR150" i="73"/>
  <c r="CK166" i="73"/>
  <c r="CK167" i="73" s="1"/>
  <c r="CK160" i="73"/>
  <c r="CK150" i="73"/>
  <c r="Q187" i="73"/>
  <c r="G99" i="73"/>
  <c r="G90" i="73"/>
  <c r="F99" i="73"/>
  <c r="F90" i="73"/>
  <c r="AB174" i="73"/>
  <c r="AB182" i="73"/>
  <c r="AB104" i="73"/>
  <c r="W182" i="73"/>
  <c r="W187" i="73" s="1"/>
  <c r="W174" i="73"/>
  <c r="W178" i="73" s="1"/>
  <c r="W179" i="73" s="1"/>
  <c r="W104" i="73"/>
  <c r="CK92" i="73"/>
  <c r="CK104" i="73" s="1"/>
  <c r="CK86" i="73"/>
  <c r="AP99" i="73"/>
  <c r="AP90" i="73"/>
  <c r="CG92" i="73"/>
  <c r="CG104" i="73" s="1"/>
  <c r="CG86" i="73"/>
  <c r="AA86" i="73"/>
  <c r="AA92" i="73"/>
  <c r="AA96" i="73" s="1"/>
  <c r="AN99" i="73"/>
  <c r="AN90" i="73"/>
  <c r="BO82" i="73"/>
  <c r="BO69" i="73"/>
  <c r="BN182" i="73"/>
  <c r="BN187" i="73" s="1"/>
  <c r="H187" i="73"/>
  <c r="N99" i="73"/>
  <c r="N90" i="73"/>
  <c r="CF92" i="73"/>
  <c r="CF104" i="73" s="1"/>
  <c r="CF86" i="73"/>
  <c r="Y99" i="73"/>
  <c r="Y90" i="73"/>
  <c r="AS178" i="73"/>
  <c r="AS179" i="73" s="1"/>
  <c r="BU174" i="73"/>
  <c r="BU178" i="73" s="1"/>
  <c r="AJ178" i="73"/>
  <c r="AJ179" i="73" s="1"/>
  <c r="BN166" i="73"/>
  <c r="BN167" i="73" s="1"/>
  <c r="BN160" i="73"/>
  <c r="BN161" i="73" s="1"/>
  <c r="BN150" i="73"/>
  <c r="BA128" i="73"/>
  <c r="BW83" i="73"/>
  <c r="BW72" i="73"/>
  <c r="BM166" i="73"/>
  <c r="BM167" i="73" s="1"/>
  <c r="BM150" i="73"/>
  <c r="BM160" i="73"/>
  <c r="BM161" i="73" s="1"/>
  <c r="BQ83" i="73"/>
  <c r="BQ72" i="73"/>
  <c r="BT166" i="73"/>
  <c r="BT167" i="73" s="1"/>
  <c r="BT160" i="73"/>
  <c r="BT161" i="73" s="1"/>
  <c r="BT150" i="73"/>
  <c r="AU82" i="2"/>
  <c r="AU85" i="2"/>
  <c r="AU20" i="2"/>
  <c r="AU40" i="2" s="1"/>
  <c r="AU68" i="2"/>
  <c r="AU48" i="2"/>
  <c r="CH99" i="73" l="1"/>
  <c r="P178" i="73"/>
  <c r="P179" i="73" s="1"/>
  <c r="AU83" i="2"/>
  <c r="BZ77" i="73"/>
  <c r="CP77" i="73"/>
  <c r="BZ78" i="73"/>
  <c r="CF161" i="73"/>
  <c r="CF130" i="55"/>
  <c r="CE161" i="73"/>
  <c r="CE130" i="55"/>
  <c r="BI77" i="73"/>
  <c r="BJ77" i="73" s="1"/>
  <c r="BK77" i="73" s="1"/>
  <c r="CP78" i="73"/>
  <c r="CK161" i="73"/>
  <c r="CK130" i="55"/>
  <c r="CL161" i="73"/>
  <c r="CL130" i="55"/>
  <c r="CI161" i="73"/>
  <c r="CI130" i="55"/>
  <c r="BI78" i="73"/>
  <c r="BJ78" i="73" s="1"/>
  <c r="BK78" i="73" s="1"/>
  <c r="AR106" i="73"/>
  <c r="CN101" i="73"/>
  <c r="BY125" i="73"/>
  <c r="CO125" i="73"/>
  <c r="BY126" i="73"/>
  <c r="BB128" i="73"/>
  <c r="CO126" i="73"/>
  <c r="BU179" i="73"/>
  <c r="BZ76" i="73"/>
  <c r="CN163" i="73"/>
  <c r="BA116" i="73"/>
  <c r="CF174" i="73"/>
  <c r="CF178" i="73" s="1"/>
  <c r="BP174" i="73"/>
  <c r="BP178" i="73" s="1"/>
  <c r="CI182" i="73"/>
  <c r="CI187" i="73" s="1"/>
  <c r="BV179" i="73"/>
  <c r="CI174" i="73"/>
  <c r="CI178" i="73" s="1"/>
  <c r="CF182" i="73"/>
  <c r="CF187" i="73" s="1"/>
  <c r="BP179" i="73"/>
  <c r="BB113" i="73"/>
  <c r="BB116" i="73" s="1"/>
  <c r="Y107" i="73"/>
  <c r="Y102" i="73"/>
  <c r="BQ99" i="73"/>
  <c r="BQ90" i="73"/>
  <c r="AA182" i="73"/>
  <c r="AA187" i="73" s="1"/>
  <c r="AA174" i="73"/>
  <c r="AA178" i="73" s="1"/>
  <c r="AA179" i="73" s="1"/>
  <c r="AA104" i="73"/>
  <c r="BS182" i="73"/>
  <c r="BS187" i="73" s="1"/>
  <c r="AB187" i="73"/>
  <c r="Y187" i="73"/>
  <c r="BN99" i="73"/>
  <c r="BN90" i="73"/>
  <c r="AF107" i="73"/>
  <c r="AF102" i="73"/>
  <c r="CC99" i="73"/>
  <c r="CC90" i="73"/>
  <c r="AM107" i="73"/>
  <c r="AM102" i="73"/>
  <c r="BR92" i="73"/>
  <c r="BR86" i="73"/>
  <c r="J107" i="73"/>
  <c r="J102" i="73"/>
  <c r="BR99" i="73"/>
  <c r="BR90" i="73"/>
  <c r="BQ92" i="73"/>
  <c r="BQ86" i="73"/>
  <c r="BV99" i="73"/>
  <c r="BV90" i="73"/>
  <c r="AB107" i="73"/>
  <c r="AB102" i="73"/>
  <c r="AE107" i="73"/>
  <c r="AE102" i="73"/>
  <c r="AF178" i="73"/>
  <c r="AF179" i="73" s="1"/>
  <c r="CI179" i="73" s="1"/>
  <c r="BT174" i="73"/>
  <c r="BT178" i="73" s="1"/>
  <c r="X178" i="73"/>
  <c r="X179" i="73" s="1"/>
  <c r="CJ107" i="73"/>
  <c r="CJ102" i="73"/>
  <c r="CJ106" i="73" s="1"/>
  <c r="BM92" i="73"/>
  <c r="BM86" i="73"/>
  <c r="BU92" i="73"/>
  <c r="BU86" i="73"/>
  <c r="H107" i="73"/>
  <c r="H102" i="73"/>
  <c r="CD179" i="73"/>
  <c r="BN179" i="73"/>
  <c r="AT107" i="73"/>
  <c r="AT102" i="73"/>
  <c r="BT92" i="73"/>
  <c r="BT86" i="73"/>
  <c r="W107" i="73"/>
  <c r="W102" i="73"/>
  <c r="R107" i="73"/>
  <c r="R102" i="73"/>
  <c r="I107" i="73"/>
  <c r="I102" i="73"/>
  <c r="BW99" i="73"/>
  <c r="BW90" i="73"/>
  <c r="BA183" i="73"/>
  <c r="BA101" i="73"/>
  <c r="BO92" i="73"/>
  <c r="BO86" i="73"/>
  <c r="AP107" i="73"/>
  <c r="AP102" i="73"/>
  <c r="BS174" i="73"/>
  <c r="BS178" i="73" s="1"/>
  <c r="AB178" i="73"/>
  <c r="AB179" i="73" s="1"/>
  <c r="BS179" i="73" s="1"/>
  <c r="G107" i="73"/>
  <c r="G102" i="73"/>
  <c r="CE99" i="73"/>
  <c r="CE90" i="73"/>
  <c r="CH107" i="73"/>
  <c r="CH102" i="73"/>
  <c r="CH106" i="73" s="1"/>
  <c r="BT99" i="73"/>
  <c r="BT90" i="73"/>
  <c r="CJ92" i="73"/>
  <c r="CJ104" i="73" s="1"/>
  <c r="CJ86" i="73"/>
  <c r="L107" i="73"/>
  <c r="L102" i="73"/>
  <c r="CM176" i="73"/>
  <c r="BU99" i="73"/>
  <c r="BU90" i="73"/>
  <c r="BW174" i="73"/>
  <c r="BW178" i="73" s="1"/>
  <c r="BW92" i="73"/>
  <c r="BW86" i="73"/>
  <c r="M107" i="73"/>
  <c r="M102" i="73"/>
  <c r="CJ174" i="73"/>
  <c r="CJ178" i="73" s="1"/>
  <c r="AG178" i="73"/>
  <c r="AG179" i="73" s="1"/>
  <c r="CJ179" i="73" s="1"/>
  <c r="BT182" i="73"/>
  <c r="BT187" i="73" s="1"/>
  <c r="AF187" i="73"/>
  <c r="CE179" i="73"/>
  <c r="CL179" i="73"/>
  <c r="BW182" i="73"/>
  <c r="BW187" i="73" s="1"/>
  <c r="AZ191" i="73"/>
  <c r="CN191" i="73" s="1"/>
  <c r="CN192" i="73" s="1"/>
  <c r="BM174" i="73"/>
  <c r="BM178" i="73" s="1"/>
  <c r="D178" i="73"/>
  <c r="D179" i="73" s="1"/>
  <c r="BN92" i="73"/>
  <c r="BN86" i="73"/>
  <c r="CK179" i="73"/>
  <c r="AL107" i="73"/>
  <c r="AL102" i="73"/>
  <c r="BB129" i="73"/>
  <c r="BM99" i="73"/>
  <c r="BM90" i="73"/>
  <c r="K107" i="73"/>
  <c r="K102" i="73"/>
  <c r="AG107" i="73"/>
  <c r="AG102" i="73"/>
  <c r="BQ174" i="73"/>
  <c r="BQ178" i="73" s="1"/>
  <c r="T178" i="73"/>
  <c r="T179" i="73" s="1"/>
  <c r="AU107" i="73"/>
  <c r="AU102" i="73"/>
  <c r="AJ107" i="73"/>
  <c r="AJ102" i="73"/>
  <c r="AC107" i="73"/>
  <c r="AC102" i="73"/>
  <c r="CD107" i="73"/>
  <c r="CD102" i="73"/>
  <c r="CD106" i="73" s="1"/>
  <c r="BW179" i="73"/>
  <c r="AI107" i="73"/>
  <c r="AI102" i="73"/>
  <c r="O107" i="73"/>
  <c r="O102" i="73"/>
  <c r="U178" i="73"/>
  <c r="U179" i="73" s="1"/>
  <c r="CG174" i="73"/>
  <c r="CG178" i="73" s="1"/>
  <c r="CJ182" i="73"/>
  <c r="CJ187" i="73" s="1"/>
  <c r="AG187" i="73"/>
  <c r="CF99" i="73"/>
  <c r="CF90" i="73"/>
  <c r="CK99" i="73"/>
  <c r="CK90" i="73"/>
  <c r="CI99" i="73"/>
  <c r="CI90" i="73"/>
  <c r="Z107" i="73"/>
  <c r="Z102" i="73"/>
  <c r="X107" i="73"/>
  <c r="X102" i="73"/>
  <c r="AH107" i="73"/>
  <c r="AH102" i="73"/>
  <c r="E107" i="73"/>
  <c r="E102" i="73"/>
  <c r="BX56" i="73"/>
  <c r="BM182" i="73"/>
  <c r="BM187" i="73" s="1"/>
  <c r="D187" i="73"/>
  <c r="BS99" i="73"/>
  <c r="BS90" i="73"/>
  <c r="U107" i="73"/>
  <c r="U102" i="73"/>
  <c r="BP182" i="73"/>
  <c r="BP187" i="73" s="1"/>
  <c r="CN183" i="73"/>
  <c r="S107" i="73"/>
  <c r="S102" i="73"/>
  <c r="BP99" i="73"/>
  <c r="BP90" i="73"/>
  <c r="N107" i="73"/>
  <c r="N102" i="73"/>
  <c r="AK107" i="73"/>
  <c r="AK102" i="73"/>
  <c r="E178" i="73"/>
  <c r="E179" i="73" s="1"/>
  <c r="CC179" i="73" s="1"/>
  <c r="CC174" i="73"/>
  <c r="CC178" i="73" s="1"/>
  <c r="AN107" i="73"/>
  <c r="AN102" i="73"/>
  <c r="F107" i="73"/>
  <c r="F102" i="73"/>
  <c r="CL99" i="73"/>
  <c r="CL90" i="73"/>
  <c r="AD107" i="73"/>
  <c r="AD102" i="73"/>
  <c r="Y178" i="73"/>
  <c r="Y179" i="73" s="1"/>
  <c r="CC182" i="73"/>
  <c r="CC187" i="73" s="1"/>
  <c r="E187" i="73"/>
  <c r="V107" i="73"/>
  <c r="V102" i="73"/>
  <c r="BQ182" i="73"/>
  <c r="BQ187" i="73" s="1"/>
  <c r="T187" i="73"/>
  <c r="AO107" i="73"/>
  <c r="AO102" i="73"/>
  <c r="CG99" i="73"/>
  <c r="CG90" i="73"/>
  <c r="D107" i="73"/>
  <c r="D102" i="73"/>
  <c r="AW176" i="73"/>
  <c r="BO179" i="73"/>
  <c r="AR99" i="73"/>
  <c r="AR90" i="73"/>
  <c r="CG182" i="73"/>
  <c r="CG187" i="73" s="1"/>
  <c r="U187" i="73"/>
  <c r="X187" i="73"/>
  <c r="T107" i="73"/>
  <c r="T102" i="73"/>
  <c r="BO99" i="73"/>
  <c r="BO90" i="73"/>
  <c r="AQ107" i="73"/>
  <c r="AQ102" i="73"/>
  <c r="Q107" i="73"/>
  <c r="Q102" i="73"/>
  <c r="CN57" i="73"/>
  <c r="AY192" i="73"/>
  <c r="P107" i="73"/>
  <c r="P102" i="73"/>
  <c r="BV92" i="73"/>
  <c r="BV86" i="73"/>
  <c r="AA107" i="73"/>
  <c r="AA102" i="73"/>
  <c r="AS107" i="73"/>
  <c r="AS102" i="73"/>
  <c r="BP92" i="73"/>
  <c r="BP86" i="73"/>
  <c r="BC114" i="73"/>
  <c r="BC75" i="73"/>
  <c r="BB74" i="73"/>
  <c r="BB80" i="73" s="1"/>
  <c r="BB163" i="73" s="1"/>
  <c r="BS92" i="73"/>
  <c r="BS86" i="73"/>
  <c r="AU52" i="2"/>
  <c r="BS104" i="73" l="1"/>
  <c r="BS96" i="73"/>
  <c r="BV104" i="73"/>
  <c r="BV96" i="73"/>
  <c r="BN104" i="73"/>
  <c r="BN96" i="73"/>
  <c r="BQ104" i="73"/>
  <c r="BQ96" i="73"/>
  <c r="BO104" i="73"/>
  <c r="BO96" i="73"/>
  <c r="BT104" i="73"/>
  <c r="BT96" i="73"/>
  <c r="BU104" i="73"/>
  <c r="BU96" i="73"/>
  <c r="BP104" i="73"/>
  <c r="BP96" i="73"/>
  <c r="BR104" i="73"/>
  <c r="BR96" i="73"/>
  <c r="BW104" i="73"/>
  <c r="BW96" i="73"/>
  <c r="BM104" i="73"/>
  <c r="BM96" i="73"/>
  <c r="BR182" i="73"/>
  <c r="BR187" i="73" s="1"/>
  <c r="CA78" i="73"/>
  <c r="CA77" i="73"/>
  <c r="BB183" i="73"/>
  <c r="BB101" i="73"/>
  <c r="BZ126" i="73"/>
  <c r="BY75" i="73"/>
  <c r="BY74" i="73" s="1"/>
  <c r="BY80" i="73" s="1"/>
  <c r="BY163" i="73" s="1"/>
  <c r="BC74" i="73"/>
  <c r="BC80" i="73" s="1"/>
  <c r="BC163" i="73" s="1"/>
  <c r="BD75" i="73"/>
  <c r="BY114" i="73"/>
  <c r="BD114" i="73"/>
  <c r="BC129" i="73"/>
  <c r="BY129" i="73" s="1"/>
  <c r="CH182" i="73"/>
  <c r="CH187" i="73" s="1"/>
  <c r="CG179" i="73"/>
  <c r="BR174" i="73"/>
  <c r="BR178" i="73" s="1"/>
  <c r="CG107" i="73"/>
  <c r="CG102" i="73"/>
  <c r="CG106" i="73" s="1"/>
  <c r="BU107" i="73"/>
  <c r="BU102" i="73"/>
  <c r="BU106" i="73" s="1"/>
  <c r="BV107" i="73"/>
  <c r="BV102" i="73"/>
  <c r="BV106" i="73" s="1"/>
  <c r="BR107" i="73"/>
  <c r="BR102" i="73"/>
  <c r="BR106" i="73" s="1"/>
  <c r="BQ107" i="73"/>
  <c r="BQ102" i="73"/>
  <c r="BQ106" i="73" s="1"/>
  <c r="AY184" i="73"/>
  <c r="BX184" i="73" s="1"/>
  <c r="AY175" i="73"/>
  <c r="BX175" i="73" s="1"/>
  <c r="BO107" i="73"/>
  <c r="BO102" i="73"/>
  <c r="BO106" i="73" s="1"/>
  <c r="AR107" i="73"/>
  <c r="AR102" i="73"/>
  <c r="CH179" i="73"/>
  <c r="BM107" i="73"/>
  <c r="BM102" i="73"/>
  <c r="BM106" i="73" s="1"/>
  <c r="BA191" i="73"/>
  <c r="BB57" i="73"/>
  <c r="BA56" i="73"/>
  <c r="BT107" i="73"/>
  <c r="BT102" i="73"/>
  <c r="BT106" i="73" s="1"/>
  <c r="CE107" i="73"/>
  <c r="CE102" i="73"/>
  <c r="CE106" i="73" s="1"/>
  <c r="BW107" i="73"/>
  <c r="BW102" i="73"/>
  <c r="BW106" i="73" s="1"/>
  <c r="CK107" i="73"/>
  <c r="CK102" i="73"/>
  <c r="CK106" i="73" s="1"/>
  <c r="CN56" i="73"/>
  <c r="CH174" i="73"/>
  <c r="CH178" i="73" s="1"/>
  <c r="CL107" i="73"/>
  <c r="CL102" i="73"/>
  <c r="CL106" i="73" s="1"/>
  <c r="BC128" i="73"/>
  <c r="CI107" i="73"/>
  <c r="CI102" i="73"/>
  <c r="CI106" i="73" s="1"/>
  <c r="CF107" i="73"/>
  <c r="CF102" i="73"/>
  <c r="CF106" i="73" s="1"/>
  <c r="BQ179" i="73"/>
  <c r="BY127" i="73"/>
  <c r="BY128" i="73" s="1"/>
  <c r="BM179" i="73"/>
  <c r="BT179" i="73"/>
  <c r="CF179" i="73"/>
  <c r="CC107" i="73"/>
  <c r="CC102" i="73"/>
  <c r="CC106" i="73" s="1"/>
  <c r="BN107" i="73"/>
  <c r="BN102" i="73"/>
  <c r="BN106" i="73" s="1"/>
  <c r="AZ192" i="73"/>
  <c r="AW185" i="73"/>
  <c r="BP107" i="73"/>
  <c r="BP102" i="73"/>
  <c r="BP106" i="73" s="1"/>
  <c r="BS107" i="73"/>
  <c r="BS102" i="73"/>
  <c r="BS106" i="73" s="1"/>
  <c r="BC113" i="73"/>
  <c r="CM185" i="73"/>
  <c r="BR179" i="73"/>
  <c r="AU46" i="2"/>
  <c r="AU45" i="2" s="1"/>
  <c r="AU47" i="2"/>
  <c r="AU9" i="3"/>
  <c r="AU25" i="3" s="1"/>
  <c r="BZ125" i="73" l="1"/>
  <c r="CO127" i="73"/>
  <c r="CO128" i="73" s="1"/>
  <c r="CO114" i="73"/>
  <c r="BA192" i="73"/>
  <c r="BA184" i="73" s="1"/>
  <c r="CO75" i="73"/>
  <c r="BD129" i="73"/>
  <c r="BD128" i="73"/>
  <c r="BE114" i="73"/>
  <c r="BD72" i="2"/>
  <c r="BD74" i="73"/>
  <c r="BD80" i="73" s="1"/>
  <c r="BD163" i="73" s="1"/>
  <c r="BE75" i="73"/>
  <c r="BY113" i="73"/>
  <c r="BY116" i="73" s="1"/>
  <c r="BD113" i="73"/>
  <c r="CO113" i="73" s="1"/>
  <c r="AZ184" i="73"/>
  <c r="AZ175" i="73"/>
  <c r="CN175" i="73" s="1"/>
  <c r="BC116" i="73"/>
  <c r="BC183" i="73"/>
  <c r="BC101" i="73"/>
  <c r="AY176" i="73"/>
  <c r="AY185" i="73" s="1"/>
  <c r="BX185" i="73" s="1"/>
  <c r="BY101" i="73"/>
  <c r="BB191" i="73"/>
  <c r="BB56" i="73"/>
  <c r="BC57" i="73"/>
  <c r="AU57" i="3"/>
  <c r="AU61" i="3" s="1"/>
  <c r="AU49" i="3"/>
  <c r="CO74" i="73" l="1"/>
  <c r="CO80" i="73" s="1"/>
  <c r="BA175" i="73"/>
  <c r="BA176" i="73" s="1"/>
  <c r="BA185" i="73" s="1"/>
  <c r="BY183" i="73"/>
  <c r="CO72" i="2"/>
  <c r="CO116" i="73"/>
  <c r="BE113" i="73"/>
  <c r="CO118" i="73"/>
  <c r="CO129" i="73"/>
  <c r="CO101" i="73" s="1"/>
  <c r="BY57" i="73"/>
  <c r="BY56" i="73" s="1"/>
  <c r="BD57" i="73"/>
  <c r="CO57" i="73" s="1"/>
  <c r="BF75" i="73"/>
  <c r="BE74" i="73"/>
  <c r="BE80" i="73" s="1"/>
  <c r="BE163" i="73" s="1"/>
  <c r="BD116" i="73"/>
  <c r="BE72" i="2"/>
  <c r="BF114" i="73"/>
  <c r="BD101" i="73"/>
  <c r="BD15" i="3" s="1"/>
  <c r="BD100" i="3" s="1"/>
  <c r="BD183" i="73"/>
  <c r="BE128" i="73"/>
  <c r="BE129" i="73"/>
  <c r="BX176" i="73"/>
  <c r="CN184" i="73"/>
  <c r="BB192" i="73"/>
  <c r="BC191" i="73"/>
  <c r="BC56" i="73"/>
  <c r="AZ176" i="73"/>
  <c r="CN176" i="73" s="1"/>
  <c r="CO163" i="73" l="1"/>
  <c r="BE116" i="73"/>
  <c r="CO183" i="73"/>
  <c r="CO56" i="73"/>
  <c r="BC192" i="73"/>
  <c r="BC184" i="73" s="1"/>
  <c r="BD58" i="3"/>
  <c r="BZ127" i="73"/>
  <c r="BZ128" i="73" s="1"/>
  <c r="BF128" i="73"/>
  <c r="BF129" i="73"/>
  <c r="BE183" i="73"/>
  <c r="BE101" i="73"/>
  <c r="BE15" i="3" s="1"/>
  <c r="BF72" i="2"/>
  <c r="BG114" i="73"/>
  <c r="BH114" i="73" s="1"/>
  <c r="BG75" i="73"/>
  <c r="BF74" i="73"/>
  <c r="BF80" i="73" s="1"/>
  <c r="BF163" i="73" s="1"/>
  <c r="BD191" i="73"/>
  <c r="CO191" i="73" s="1"/>
  <c r="CO192" i="73" s="1"/>
  <c r="BD56" i="73"/>
  <c r="BD32" i="3"/>
  <c r="BD117" i="3" s="1"/>
  <c r="BE57" i="73"/>
  <c r="BF113" i="73"/>
  <c r="BY191" i="73"/>
  <c r="BY192" i="73" s="1"/>
  <c r="BB184" i="73"/>
  <c r="BB175" i="73"/>
  <c r="AZ185" i="73"/>
  <c r="CP114" i="73" l="1"/>
  <c r="CP72" i="2" s="1"/>
  <c r="BH72" i="2"/>
  <c r="BE58" i="3"/>
  <c r="BE100" i="3"/>
  <c r="BG74" i="73"/>
  <c r="BG80" i="73" s="1"/>
  <c r="BG163" i="73" s="1"/>
  <c r="BH75" i="73"/>
  <c r="BI114" i="73"/>
  <c r="BI72" i="2" s="1"/>
  <c r="BZ114" i="73"/>
  <c r="BC175" i="73"/>
  <c r="BC176" i="73" s="1"/>
  <c r="BC185" i="73" s="1"/>
  <c r="BD192" i="73"/>
  <c r="BD175" i="73" s="1"/>
  <c r="BZ75" i="73"/>
  <c r="BZ74" i="73" s="1"/>
  <c r="BZ80" i="73" s="1"/>
  <c r="BZ163" i="73" s="1"/>
  <c r="BG72" i="2"/>
  <c r="BF183" i="73"/>
  <c r="BF101" i="73"/>
  <c r="BF15" i="3" s="1"/>
  <c r="BF58" i="3" s="1"/>
  <c r="BG113" i="73"/>
  <c r="BE32" i="3"/>
  <c r="BE56" i="73"/>
  <c r="BE191" i="73"/>
  <c r="BF57" i="73"/>
  <c r="BF116" i="73"/>
  <c r="BG129" i="73"/>
  <c r="BG128" i="73"/>
  <c r="CN185" i="73"/>
  <c r="BB176" i="73"/>
  <c r="BY184" i="73"/>
  <c r="BZ72" i="2" l="1"/>
  <c r="BE117" i="3"/>
  <c r="CP75" i="73"/>
  <c r="CP74" i="73" s="1"/>
  <c r="CP80" i="73" s="1"/>
  <c r="BZ129" i="73"/>
  <c r="BZ101" i="73" s="1"/>
  <c r="CP129" i="73"/>
  <c r="CP101" i="73" s="1"/>
  <c r="CP118" i="73"/>
  <c r="BF100" i="3"/>
  <c r="BE192" i="73"/>
  <c r="BE175" i="73" s="1"/>
  <c r="CA129" i="73"/>
  <c r="CA101" i="73" s="1"/>
  <c r="BG116" i="73"/>
  <c r="BH113" i="73"/>
  <c r="BJ114" i="73"/>
  <c r="BJ72" i="2" s="1"/>
  <c r="BI75" i="73"/>
  <c r="BH74" i="73"/>
  <c r="BH80" i="73" s="1"/>
  <c r="BH163" i="73" s="1"/>
  <c r="CO175" i="73"/>
  <c r="BY175" i="73"/>
  <c r="BD184" i="73"/>
  <c r="CO184" i="73" s="1"/>
  <c r="BZ113" i="73"/>
  <c r="BZ116" i="73" s="1"/>
  <c r="BD176" i="73"/>
  <c r="CO176" i="73" s="1"/>
  <c r="BG183" i="73"/>
  <c r="CP183" i="73" s="1"/>
  <c r="BG101" i="73"/>
  <c r="BG15" i="3" s="1"/>
  <c r="BG58" i="3" s="1"/>
  <c r="BF32" i="3"/>
  <c r="BF56" i="73"/>
  <c r="BF191" i="73"/>
  <c r="BF192" i="73" s="1"/>
  <c r="BG57" i="73"/>
  <c r="BB185" i="73"/>
  <c r="BY176" i="73"/>
  <c r="BE184" i="73" l="1"/>
  <c r="BF117" i="3"/>
  <c r="CP163" i="73"/>
  <c r="CP15" i="3"/>
  <c r="CP113" i="73"/>
  <c r="CP116" i="73" s="1"/>
  <c r="BG100" i="3"/>
  <c r="BZ100" i="3" s="1"/>
  <c r="BE176" i="73"/>
  <c r="BZ183" i="73"/>
  <c r="CA183" i="73"/>
  <c r="BJ75" i="73"/>
  <c r="BI74" i="73"/>
  <c r="BI80" i="73" s="1"/>
  <c r="BI163" i="73" s="1"/>
  <c r="BK114" i="73"/>
  <c r="BK72" i="2" s="1"/>
  <c r="BI113" i="73"/>
  <c r="BH116" i="73"/>
  <c r="BZ57" i="73"/>
  <c r="BZ56" i="73" s="1"/>
  <c r="BH57" i="73"/>
  <c r="BD185" i="73"/>
  <c r="CO185" i="73" s="1"/>
  <c r="BY185" i="73"/>
  <c r="BZ15" i="3"/>
  <c r="BZ58" i="3" s="1"/>
  <c r="BF184" i="73"/>
  <c r="BF175" i="73"/>
  <c r="BF176" i="73" s="1"/>
  <c r="BF185" i="73" s="1"/>
  <c r="BG32" i="3"/>
  <c r="BZ32" i="3" s="1"/>
  <c r="BG191" i="73"/>
  <c r="BG56" i="73"/>
  <c r="CA114" i="73" l="1"/>
  <c r="CA72" i="2" s="1"/>
  <c r="CP58" i="3"/>
  <c r="CP100" i="3"/>
  <c r="BH32" i="3"/>
  <c r="BH117" i="3" s="1"/>
  <c r="CP57" i="73"/>
  <c r="BG117" i="3"/>
  <c r="BZ117" i="3" s="1"/>
  <c r="BE185" i="73"/>
  <c r="BJ113" i="73"/>
  <c r="BJ116" i="73" s="1"/>
  <c r="BI116" i="73"/>
  <c r="BH191" i="73"/>
  <c r="BH192" i="73" s="1"/>
  <c r="BH56" i="73"/>
  <c r="BI57" i="73"/>
  <c r="BI32" i="3" s="1"/>
  <c r="BJ74" i="73"/>
  <c r="BJ80" i="73" s="1"/>
  <c r="BJ163" i="73" s="1"/>
  <c r="BK75" i="73"/>
  <c r="BK74" i="73" s="1"/>
  <c r="BK80" i="73" s="1"/>
  <c r="BK163" i="73" s="1"/>
  <c r="BG192" i="73"/>
  <c r="BG184" i="73" s="1"/>
  <c r="BZ184" i="73" s="1"/>
  <c r="BZ191" i="73"/>
  <c r="BZ192" i="73" s="1"/>
  <c r="BK113" i="73" l="1"/>
  <c r="BK116" i="73" s="1"/>
  <c r="CP32" i="3"/>
  <c r="CP117" i="3" s="1"/>
  <c r="CP56" i="73"/>
  <c r="BI117" i="3"/>
  <c r="CA75" i="73"/>
  <c r="CA74" i="73" s="1"/>
  <c r="CA80" i="73" s="1"/>
  <c r="CA163" i="73" s="1"/>
  <c r="CP191" i="73"/>
  <c r="CP192" i="73" s="1"/>
  <c r="CA191" i="73"/>
  <c r="CA192" i="73" s="1"/>
  <c r="BI56" i="73"/>
  <c r="BI191" i="73"/>
  <c r="BI192" i="73" s="1"/>
  <c r="BJ57" i="73"/>
  <c r="BJ32" i="3" s="1"/>
  <c r="BH175" i="73"/>
  <c r="BH176" i="73" s="1"/>
  <c r="BH185" i="73" s="1"/>
  <c r="BH184" i="73"/>
  <c r="CP184" i="73" s="1"/>
  <c r="BG175" i="73"/>
  <c r="CA113" i="73" l="1"/>
  <c r="CA116" i="73" s="1"/>
  <c r="CA175" i="73"/>
  <c r="CP175" i="73"/>
  <c r="CA184" i="73"/>
  <c r="BJ117" i="3"/>
  <c r="BI175" i="73"/>
  <c r="BI176" i="73" s="1"/>
  <c r="BI185" i="73" s="1"/>
  <c r="BI184" i="73"/>
  <c r="BJ191" i="73"/>
  <c r="BJ192" i="73" s="1"/>
  <c r="BJ56" i="73"/>
  <c r="BK57" i="73"/>
  <c r="BK32" i="3" s="1"/>
  <c r="CA32" i="3" s="1"/>
  <c r="BG176" i="73"/>
  <c r="BZ175" i="73"/>
  <c r="CA57" i="73" l="1"/>
  <c r="CA56" i="73" s="1"/>
  <c r="BK117" i="3"/>
  <c r="CA117" i="3" s="1"/>
  <c r="CA176" i="73"/>
  <c r="CP176" i="73"/>
  <c r="BJ184" i="73"/>
  <c r="BJ175" i="73"/>
  <c r="BJ176" i="73" s="1"/>
  <c r="BJ185" i="73" s="1"/>
  <c r="BK191" i="73"/>
  <c r="BK192" i="73" s="1"/>
  <c r="BK56" i="73"/>
  <c r="BG185" i="73"/>
  <c r="CP185" i="73" s="1"/>
  <c r="BZ176" i="73"/>
  <c r="BZ185" i="73" l="1"/>
  <c r="CA185" i="73"/>
  <c r="BK175" i="73"/>
  <c r="BK176" i="73" s="1"/>
  <c r="BK185" i="73" s="1"/>
  <c r="BK184" i="73"/>
  <c r="BA31" i="3" l="1"/>
  <c r="BB31" i="3" l="1"/>
  <c r="BC31" i="3" s="1"/>
  <c r="BD31" i="3" s="1"/>
  <c r="BE31" i="3" l="1"/>
  <c r="BF31" i="3" s="1"/>
  <c r="BD116" i="3"/>
  <c r="CO31" i="3"/>
  <c r="CO116" i="3" s="1"/>
  <c r="BE116" i="3" l="1"/>
  <c r="BF116" i="3" s="1"/>
  <c r="BG31" i="3"/>
  <c r="BG116" i="3" l="1"/>
  <c r="BZ116" i="3" s="1"/>
  <c r="BZ31" i="3"/>
  <c r="BH31" i="3"/>
  <c r="BH116" i="3" s="1"/>
  <c r="CP31" i="3" l="1"/>
  <c r="CP116" i="3" s="1"/>
  <c r="BI31" i="3"/>
  <c r="BI116" i="3" s="1"/>
  <c r="BJ31" i="3" l="1"/>
  <c r="BJ116" i="3" s="1"/>
  <c r="BK31" i="3" l="1"/>
  <c r="CA31" i="3" l="1"/>
  <c r="BK116" i="3"/>
  <c r="CA116" i="3" s="1"/>
  <c r="BY288" i="55" l="1"/>
  <c r="BX288" i="55"/>
  <c r="BW288" i="55"/>
  <c r="BV288" i="55"/>
  <c r="BU288" i="55"/>
  <c r="BT288" i="55"/>
  <c r="BS288" i="55"/>
  <c r="BR288" i="55"/>
  <c r="BQ288" i="55"/>
  <c r="BP288" i="55"/>
  <c r="BO288" i="55"/>
  <c r="BN288" i="55"/>
  <c r="BM288" i="55"/>
  <c r="BC288" i="55"/>
  <c r="BB288" i="55"/>
  <c r="BA288" i="55"/>
  <c r="AZ288" i="55"/>
  <c r="AY288" i="55"/>
  <c r="AX288" i="55"/>
  <c r="AW288" i="55"/>
  <c r="AV288" i="55"/>
  <c r="AU288" i="55"/>
  <c r="AT288" i="55"/>
  <c r="AS288" i="55"/>
  <c r="AR288" i="55"/>
  <c r="AQ288" i="55"/>
  <c r="AP288" i="55"/>
  <c r="AO288" i="55"/>
  <c r="AN288" i="55"/>
  <c r="AM288" i="55"/>
  <c r="AL288" i="55"/>
  <c r="AK288" i="55"/>
  <c r="AJ288" i="55"/>
  <c r="AI288" i="55"/>
  <c r="AH288" i="55"/>
  <c r="AG288" i="55"/>
  <c r="AF288" i="55"/>
  <c r="AE288" i="55"/>
  <c r="AD288" i="55"/>
  <c r="AC288" i="55"/>
  <c r="AB288" i="55"/>
  <c r="AA288" i="55"/>
  <c r="Z288" i="55"/>
  <c r="Y288" i="55"/>
  <c r="X288" i="55"/>
  <c r="W288" i="55"/>
  <c r="V288" i="55"/>
  <c r="U288" i="55"/>
  <c r="T288" i="55"/>
  <c r="S288" i="55"/>
  <c r="R288" i="55"/>
  <c r="Q288" i="55"/>
  <c r="P288" i="55"/>
  <c r="O288" i="55"/>
  <c r="N288" i="55"/>
  <c r="M288" i="55"/>
  <c r="L288" i="55"/>
  <c r="K288" i="55"/>
  <c r="J288" i="55"/>
  <c r="I288" i="55"/>
  <c r="H288" i="55"/>
  <c r="G288" i="55"/>
  <c r="F288" i="55"/>
  <c r="E288" i="55"/>
  <c r="D288" i="55"/>
  <c r="B201" i="55"/>
  <c r="B200" i="55"/>
  <c r="B199" i="55"/>
  <c r="B198" i="55"/>
  <c r="B197" i="55"/>
  <c r="B196" i="55"/>
  <c r="BS191" i="55"/>
  <c r="BR191" i="55"/>
  <c r="BQ191" i="55"/>
  <c r="BP191" i="55"/>
  <c r="BO191" i="55"/>
  <c r="AT178" i="55"/>
  <c r="AS178" i="55"/>
  <c r="AS180" i="55" s="1"/>
  <c r="AR178" i="55"/>
  <c r="AR180" i="55" s="1"/>
  <c r="AQ178" i="55"/>
  <c r="AQ180" i="55" s="1"/>
  <c r="AP178" i="55"/>
  <c r="AP180" i="55" s="1"/>
  <c r="AO178" i="55"/>
  <c r="AO180" i="55" s="1"/>
  <c r="AN178" i="55"/>
  <c r="AN180" i="55" s="1"/>
  <c r="AM178" i="55"/>
  <c r="AM180" i="55" s="1"/>
  <c r="AL178" i="55"/>
  <c r="AL180" i="55" s="1"/>
  <c r="AK178" i="55"/>
  <c r="AK180" i="55" s="1"/>
  <c r="O178" i="55"/>
  <c r="O180" i="55" s="1"/>
  <c r="N178" i="55"/>
  <c r="N180" i="55" s="1"/>
  <c r="M178" i="55"/>
  <c r="M180" i="55" s="1"/>
  <c r="L178" i="55"/>
  <c r="L180" i="55" s="1"/>
  <c r="K178" i="55"/>
  <c r="K180" i="55" s="1"/>
  <c r="J178" i="55"/>
  <c r="J180" i="55" s="1"/>
  <c r="B177" i="55"/>
  <c r="B176" i="55"/>
  <c r="B75" i="55" s="1"/>
  <c r="B81" i="55" s="1"/>
  <c r="B175" i="55"/>
  <c r="B174" i="55"/>
  <c r="B173" i="55"/>
  <c r="AI167" i="55"/>
  <c r="AI177" i="55" s="1"/>
  <c r="AH167" i="55"/>
  <c r="AH177" i="55" s="1"/>
  <c r="AG167" i="55"/>
  <c r="AG176" i="55" s="1"/>
  <c r="AF167" i="55"/>
  <c r="AF177" i="55" s="1"/>
  <c r="AD167" i="55"/>
  <c r="AD177" i="55" s="1"/>
  <c r="AC167" i="55"/>
  <c r="AC176" i="55" s="1"/>
  <c r="AB167" i="55"/>
  <c r="AB176" i="55" s="1"/>
  <c r="Z167" i="55"/>
  <c r="Z176" i="55" s="1"/>
  <c r="Y167" i="55"/>
  <c r="Y176" i="55" s="1"/>
  <c r="X167" i="55"/>
  <c r="X176" i="55" s="1"/>
  <c r="V167" i="55"/>
  <c r="V176" i="55" s="1"/>
  <c r="U167" i="55"/>
  <c r="U176" i="55" s="1"/>
  <c r="T167" i="55"/>
  <c r="T176" i="55" s="1"/>
  <c r="R167" i="55"/>
  <c r="R176" i="55" s="1"/>
  <c r="Q167" i="55"/>
  <c r="Q176" i="55" s="1"/>
  <c r="P167" i="55"/>
  <c r="P176" i="55" s="1"/>
  <c r="AE166" i="55"/>
  <c r="CI166" i="55" s="1"/>
  <c r="AE165" i="55"/>
  <c r="BS165" i="55" s="1"/>
  <c r="AE164" i="55"/>
  <c r="CI164" i="55" s="1"/>
  <c r="AE163" i="55"/>
  <c r="CI163" i="55" s="1"/>
  <c r="AE162" i="55"/>
  <c r="CI162" i="55" s="1"/>
  <c r="AA166" i="55"/>
  <c r="AA86" i="55" s="1"/>
  <c r="AA165" i="55"/>
  <c r="CH165" i="55" s="1"/>
  <c r="AA164" i="55"/>
  <c r="AA53" i="55" s="1"/>
  <c r="AA163" i="55"/>
  <c r="AA42" i="55" s="1"/>
  <c r="AA162" i="55"/>
  <c r="W166" i="55"/>
  <c r="CG166" i="55" s="1"/>
  <c r="W165" i="55"/>
  <c r="CG165" i="55" s="1"/>
  <c r="W164" i="55"/>
  <c r="W53" i="55" s="1"/>
  <c r="W163" i="55"/>
  <c r="CG163" i="55" s="1"/>
  <c r="W162" i="55"/>
  <c r="CG162" i="55" s="1"/>
  <c r="S166" i="55"/>
  <c r="S86" i="55" s="1"/>
  <c r="S165" i="55"/>
  <c r="CF165" i="55" s="1"/>
  <c r="S164" i="55"/>
  <c r="S53" i="55" s="1"/>
  <c r="S163" i="55"/>
  <c r="S42" i="55" s="1"/>
  <c r="S162" i="55"/>
  <c r="AJ163" i="55"/>
  <c r="CI165" i="55"/>
  <c r="CG164" i="55"/>
  <c r="CH163" i="55"/>
  <c r="CF163" i="55"/>
  <c r="BQ166" i="55"/>
  <c r="BQ177" i="55" s="1"/>
  <c r="BR165" i="55"/>
  <c r="BP165" i="55"/>
  <c r="BR163" i="55"/>
  <c r="BQ162" i="55"/>
  <c r="CI157" i="55"/>
  <c r="CH157" i="55"/>
  <c r="CG157" i="55"/>
  <c r="CF157" i="55"/>
  <c r="CE157" i="55"/>
  <c r="CI156" i="55"/>
  <c r="CH156" i="55"/>
  <c r="CG156" i="55"/>
  <c r="CF156" i="55"/>
  <c r="CE156" i="55"/>
  <c r="CI155" i="55"/>
  <c r="CH155" i="55"/>
  <c r="CG155" i="55"/>
  <c r="CF155" i="55"/>
  <c r="CE155" i="55"/>
  <c r="CI154" i="55"/>
  <c r="CH154" i="55"/>
  <c r="CG154" i="55"/>
  <c r="CF154" i="55"/>
  <c r="CE154" i="55"/>
  <c r="CI153" i="55"/>
  <c r="CH153" i="55"/>
  <c r="CG153" i="55"/>
  <c r="CF153" i="55"/>
  <c r="CE153" i="55"/>
  <c r="BS157" i="55"/>
  <c r="BR157" i="55"/>
  <c r="BQ157" i="55"/>
  <c r="BP157" i="55"/>
  <c r="BO157" i="55"/>
  <c r="BS156" i="55"/>
  <c r="BR156" i="55"/>
  <c r="BQ156" i="55"/>
  <c r="BP156" i="55"/>
  <c r="BO156" i="55"/>
  <c r="BS155" i="55"/>
  <c r="BR155" i="55"/>
  <c r="BQ155" i="55"/>
  <c r="BP155" i="55"/>
  <c r="BO155" i="55"/>
  <c r="BS154" i="55"/>
  <c r="BR154" i="55"/>
  <c r="BQ154" i="55"/>
  <c r="BP154" i="55"/>
  <c r="BO154" i="55"/>
  <c r="BS153" i="55"/>
  <c r="BR153" i="55"/>
  <c r="BQ153" i="55"/>
  <c r="BP153" i="55"/>
  <c r="BO153" i="55"/>
  <c r="AJ147" i="55"/>
  <c r="AJ148" i="55" s="1"/>
  <c r="BS147" i="55"/>
  <c r="BS148" i="55" s="1"/>
  <c r="BR147" i="55"/>
  <c r="BR148" i="55" s="1"/>
  <c r="AH147" i="55"/>
  <c r="AH148" i="55" s="1"/>
  <c r="AG147" i="55"/>
  <c r="AF147" i="55"/>
  <c r="AF148" i="55" s="1"/>
  <c r="AD147" i="55"/>
  <c r="AD148" i="55" s="1"/>
  <c r="AC147" i="55"/>
  <c r="AB147" i="55"/>
  <c r="AB148" i="55" s="1"/>
  <c r="B147" i="55"/>
  <c r="B145" i="55"/>
  <c r="B144" i="55"/>
  <c r="CI126" i="55"/>
  <c r="CH126" i="55"/>
  <c r="CG126" i="55"/>
  <c r="CF126" i="55"/>
  <c r="CE126" i="55"/>
  <c r="CD126" i="55"/>
  <c r="CE123" i="55"/>
  <c r="CD123" i="55"/>
  <c r="AT123" i="55"/>
  <c r="AS123" i="55"/>
  <c r="AR123" i="55"/>
  <c r="AQ123" i="55"/>
  <c r="AP123" i="55"/>
  <c r="AO123" i="55"/>
  <c r="AN123" i="55"/>
  <c r="AM123" i="55"/>
  <c r="AL123" i="55"/>
  <c r="AK123" i="55"/>
  <c r="AJ123" i="55"/>
  <c r="AI123" i="55"/>
  <c r="AH123" i="55"/>
  <c r="AG123" i="55"/>
  <c r="AF123" i="55"/>
  <c r="AE123" i="55"/>
  <c r="AD123" i="55"/>
  <c r="AC123" i="55"/>
  <c r="AB123" i="55"/>
  <c r="AA123" i="55"/>
  <c r="Z123" i="55"/>
  <c r="Y123" i="55"/>
  <c r="T123" i="55"/>
  <c r="CF123" i="55" s="1"/>
  <c r="CE121" i="55"/>
  <c r="CD121" i="55"/>
  <c r="U122" i="55"/>
  <c r="V122" i="55" s="1"/>
  <c r="AT118" i="55"/>
  <c r="AS118" i="55"/>
  <c r="AR118" i="55"/>
  <c r="AQ118" i="55"/>
  <c r="AP118" i="55"/>
  <c r="AO118" i="55"/>
  <c r="AN118" i="55"/>
  <c r="AM118" i="55"/>
  <c r="AL118" i="55"/>
  <c r="AK118" i="55"/>
  <c r="AJ118" i="55"/>
  <c r="AI118" i="55"/>
  <c r="AH118" i="55"/>
  <c r="AG118" i="55"/>
  <c r="AF118" i="55"/>
  <c r="AE118" i="55"/>
  <c r="AD118" i="55"/>
  <c r="AC118" i="55"/>
  <c r="AB118" i="55"/>
  <c r="AA118" i="55"/>
  <c r="Z118" i="55"/>
  <c r="Y118" i="55"/>
  <c r="X118" i="55"/>
  <c r="W118" i="55"/>
  <c r="V118" i="55"/>
  <c r="U118" i="55"/>
  <c r="T118" i="55"/>
  <c r="CF118" i="55" s="1"/>
  <c r="AQ113" i="55"/>
  <c r="AP113" i="55"/>
  <c r="AN113" i="55"/>
  <c r="AM113" i="55"/>
  <c r="AL113" i="55"/>
  <c r="AT108" i="55"/>
  <c r="AT35" i="55" s="1"/>
  <c r="AS108" i="55"/>
  <c r="AS13" i="55" s="1"/>
  <c r="AR108" i="55"/>
  <c r="AR35" i="55" s="1"/>
  <c r="AQ108" i="55"/>
  <c r="AQ158" i="55" s="1"/>
  <c r="AP108" i="55"/>
  <c r="AP158" i="55" s="1"/>
  <c r="AT156" i="55" s="1"/>
  <c r="AO108" i="55"/>
  <c r="AO24" i="55" s="1"/>
  <c r="AN108" i="55"/>
  <c r="AN158" i="55" s="1"/>
  <c r="AN155" i="55" s="1"/>
  <c r="AM108" i="55"/>
  <c r="AM158" i="55" s="1"/>
  <c r="AL108" i="55"/>
  <c r="AL158" i="55" s="1"/>
  <c r="B103" i="55"/>
  <c r="AI97" i="55"/>
  <c r="AH97" i="55"/>
  <c r="AG97" i="55"/>
  <c r="AF97" i="55"/>
  <c r="AE97" i="55"/>
  <c r="AD97" i="55"/>
  <c r="AC97" i="55"/>
  <c r="AB97" i="55"/>
  <c r="AA97" i="55"/>
  <c r="Z97" i="55"/>
  <c r="Y97" i="55"/>
  <c r="X97" i="55"/>
  <c r="W97" i="55"/>
  <c r="V97" i="55"/>
  <c r="U97" i="55"/>
  <c r="T97" i="55"/>
  <c r="S97" i="55"/>
  <c r="R97" i="55"/>
  <c r="Q97" i="55"/>
  <c r="P97" i="55"/>
  <c r="O97" i="55"/>
  <c r="N97" i="55"/>
  <c r="M97" i="55"/>
  <c r="L97" i="55"/>
  <c r="B92" i="55"/>
  <c r="AE86" i="55"/>
  <c r="AD86" i="55"/>
  <c r="AC86" i="55"/>
  <c r="AB86" i="55"/>
  <c r="Z86" i="55"/>
  <c r="Y86" i="55"/>
  <c r="X86" i="55"/>
  <c r="W86" i="55"/>
  <c r="V86" i="55"/>
  <c r="U86" i="55"/>
  <c r="T86" i="55"/>
  <c r="R86" i="55"/>
  <c r="Q86" i="55"/>
  <c r="P86" i="55"/>
  <c r="B86" i="55"/>
  <c r="AT79" i="55"/>
  <c r="AS79" i="55"/>
  <c r="AR79" i="55"/>
  <c r="AQ79" i="55"/>
  <c r="AP79" i="55"/>
  <c r="AO79" i="55"/>
  <c r="AN79" i="55"/>
  <c r="AM79" i="55"/>
  <c r="AL79" i="55"/>
  <c r="AT78" i="55"/>
  <c r="AS78" i="55"/>
  <c r="AR78" i="55"/>
  <c r="AQ78" i="55"/>
  <c r="AP78" i="55"/>
  <c r="AT76" i="55"/>
  <c r="AS76" i="55"/>
  <c r="AR76" i="55"/>
  <c r="AQ76" i="55"/>
  <c r="AP76" i="55"/>
  <c r="AO76" i="55"/>
  <c r="AN76" i="55"/>
  <c r="AM76" i="55"/>
  <c r="CL75" i="55"/>
  <c r="BV75" i="55"/>
  <c r="AI75" i="55"/>
  <c r="AH75" i="55"/>
  <c r="AG75" i="55"/>
  <c r="AF75" i="55"/>
  <c r="AE75" i="55"/>
  <c r="AD75" i="55"/>
  <c r="AC75" i="55"/>
  <c r="AB75" i="55"/>
  <c r="AA75" i="55"/>
  <c r="Z75" i="55"/>
  <c r="Y75" i="55"/>
  <c r="X75" i="55"/>
  <c r="W75" i="55"/>
  <c r="V75" i="55"/>
  <c r="U75" i="55"/>
  <c r="T75" i="55"/>
  <c r="S75" i="55"/>
  <c r="R75" i="55"/>
  <c r="Q75" i="55"/>
  <c r="P75" i="55"/>
  <c r="O75" i="55"/>
  <c r="N75" i="55"/>
  <c r="M75" i="55"/>
  <c r="L75" i="55"/>
  <c r="CD75" i="55" s="1"/>
  <c r="BY70" i="55"/>
  <c r="BZ72" i="55" s="1"/>
  <c r="BX70" i="55"/>
  <c r="BX72" i="55" s="1"/>
  <c r="B70" i="55"/>
  <c r="AJ67" i="55"/>
  <c r="AI67" i="55"/>
  <c r="AH67" i="55"/>
  <c r="AG67" i="55"/>
  <c r="AF67" i="55"/>
  <c r="AE67" i="55"/>
  <c r="AD67" i="55"/>
  <c r="AC67" i="55"/>
  <c r="AB67" i="55"/>
  <c r="AA67" i="55"/>
  <c r="Z67" i="55"/>
  <c r="Y67" i="55"/>
  <c r="X67" i="55"/>
  <c r="W67" i="55"/>
  <c r="V67" i="55"/>
  <c r="U67" i="55"/>
  <c r="T67" i="55"/>
  <c r="S67" i="55"/>
  <c r="R67" i="55"/>
  <c r="Q67" i="55"/>
  <c r="P67" i="55"/>
  <c r="AJ65" i="55"/>
  <c r="AI65" i="55"/>
  <c r="AH65" i="55"/>
  <c r="AG65" i="55"/>
  <c r="AF65" i="55"/>
  <c r="AE65" i="55"/>
  <c r="AD65" i="55"/>
  <c r="AC65" i="55"/>
  <c r="AB65" i="55"/>
  <c r="AA65" i="55"/>
  <c r="Z65" i="55"/>
  <c r="Y65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CJ64" i="55"/>
  <c r="CI64" i="55"/>
  <c r="CH64" i="55"/>
  <c r="CG64" i="55"/>
  <c r="CF64" i="55"/>
  <c r="CE64" i="55"/>
  <c r="CD64" i="55"/>
  <c r="BY64" i="55"/>
  <c r="BZ67" i="55" s="1"/>
  <c r="BX64" i="55"/>
  <c r="BT64" i="55"/>
  <c r="BS64" i="55"/>
  <c r="BR64" i="55"/>
  <c r="BQ64" i="55"/>
  <c r="BP64" i="55"/>
  <c r="BO64" i="55"/>
  <c r="AK64" i="55"/>
  <c r="CK64" i="55" s="1"/>
  <c r="BY59" i="55"/>
  <c r="BZ61" i="55" s="1"/>
  <c r="BX59" i="55"/>
  <c r="B59" i="55"/>
  <c r="AJ53" i="55"/>
  <c r="BU53" i="55" s="1"/>
  <c r="BY53" i="55"/>
  <c r="BZ56" i="55" s="1"/>
  <c r="BX53" i="55"/>
  <c r="AI53" i="55"/>
  <c r="AD53" i="55"/>
  <c r="AC53" i="55"/>
  <c r="AB53" i="55"/>
  <c r="Z53" i="55"/>
  <c r="Y53" i="55"/>
  <c r="X53" i="55"/>
  <c r="V53" i="55"/>
  <c r="U53" i="55"/>
  <c r="T53" i="55"/>
  <c r="R53" i="55"/>
  <c r="Q53" i="55"/>
  <c r="P53" i="55"/>
  <c r="B53" i="55"/>
  <c r="BY48" i="55"/>
  <c r="BZ50" i="55" s="1"/>
  <c r="BX48" i="55"/>
  <c r="B48" i="55"/>
  <c r="BY42" i="55"/>
  <c r="BZ45" i="55" s="1"/>
  <c r="BX42" i="55"/>
  <c r="BX45" i="55" s="1"/>
  <c r="AT42" i="55"/>
  <c r="AS42" i="55"/>
  <c r="AS46" i="55" s="1"/>
  <c r="AP42" i="55"/>
  <c r="AO42" i="55"/>
  <c r="AO46" i="55" s="1"/>
  <c r="AL42" i="55"/>
  <c r="AJ42" i="55"/>
  <c r="AI42" i="55"/>
  <c r="AH42" i="55"/>
  <c r="AH31" i="55" s="1"/>
  <c r="AG42" i="55"/>
  <c r="AG31" i="55" s="1"/>
  <c r="AF42" i="55"/>
  <c r="AF31" i="55" s="1"/>
  <c r="AD42" i="55"/>
  <c r="AC42" i="55"/>
  <c r="AB42" i="55"/>
  <c r="Z42" i="55"/>
  <c r="Z31" i="55" s="1"/>
  <c r="Y42" i="55"/>
  <c r="Y31" i="55" s="1"/>
  <c r="X42" i="55"/>
  <c r="X31" i="55" s="1"/>
  <c r="V42" i="55"/>
  <c r="U42" i="55"/>
  <c r="T42" i="55"/>
  <c r="R42" i="55"/>
  <c r="Q42" i="55"/>
  <c r="Q31" i="55" s="1"/>
  <c r="P42" i="55"/>
  <c r="B42" i="55"/>
  <c r="B37" i="55"/>
  <c r="AS35" i="55"/>
  <c r="AO35" i="55"/>
  <c r="AT34" i="55"/>
  <c r="AS34" i="55"/>
  <c r="AR34" i="55"/>
  <c r="AQ34" i="55"/>
  <c r="AP34" i="55"/>
  <c r="AT32" i="55"/>
  <c r="AS32" i="55"/>
  <c r="AR32" i="55"/>
  <c r="AQ32" i="55"/>
  <c r="AP32" i="55"/>
  <c r="AO32" i="55"/>
  <c r="AN32" i="55"/>
  <c r="AM32" i="55"/>
  <c r="CL31" i="55"/>
  <c r="BV31" i="55"/>
  <c r="AT24" i="55"/>
  <c r="AR24" i="55"/>
  <c r="AP24" i="55"/>
  <c r="AN24" i="55"/>
  <c r="AL24" i="55"/>
  <c r="AT23" i="55"/>
  <c r="AS23" i="55"/>
  <c r="AR23" i="55"/>
  <c r="AQ23" i="55"/>
  <c r="AP23" i="55"/>
  <c r="AT21" i="55"/>
  <c r="AS21" i="55"/>
  <c r="AR21" i="55"/>
  <c r="AQ21" i="55"/>
  <c r="AP21" i="55"/>
  <c r="AO21" i="55"/>
  <c r="AN21" i="55"/>
  <c r="AM21" i="55"/>
  <c r="CL20" i="55"/>
  <c r="BV20" i="55"/>
  <c r="AI20" i="55"/>
  <c r="AH20" i="55"/>
  <c r="AG20" i="55"/>
  <c r="AF20" i="55"/>
  <c r="AE20" i="55"/>
  <c r="AD20" i="55"/>
  <c r="AC20" i="55"/>
  <c r="AB20" i="55"/>
  <c r="AA20" i="55"/>
  <c r="Z20" i="55"/>
  <c r="Y20" i="55"/>
  <c r="X20" i="55"/>
  <c r="W20" i="55"/>
  <c r="V20" i="55"/>
  <c r="U20" i="55"/>
  <c r="T20" i="55"/>
  <c r="S20" i="55"/>
  <c r="R20" i="55"/>
  <c r="Q20" i="55"/>
  <c r="P20" i="55"/>
  <c r="O20" i="55"/>
  <c r="N20" i="55"/>
  <c r="M20" i="55"/>
  <c r="L20" i="55"/>
  <c r="CD20" i="55" s="1"/>
  <c r="B20" i="55"/>
  <c r="B26" i="55" s="1"/>
  <c r="AP15" i="55"/>
  <c r="AO15" i="55"/>
  <c r="AL15" i="55"/>
  <c r="AR13" i="55"/>
  <c r="AO13" i="55"/>
  <c r="AT10" i="55"/>
  <c r="AS10" i="55"/>
  <c r="AR10" i="55"/>
  <c r="AQ10" i="55"/>
  <c r="AP10" i="55"/>
  <c r="AO10" i="55"/>
  <c r="AN10" i="55"/>
  <c r="AM10" i="55"/>
  <c r="CL9" i="55"/>
  <c r="CK9" i="55"/>
  <c r="CH9" i="55"/>
  <c r="CG9" i="55"/>
  <c r="CF9" i="55"/>
  <c r="CE9" i="55"/>
  <c r="CD9" i="55"/>
  <c r="BV9" i="55"/>
  <c r="BU9" i="55"/>
  <c r="B9" i="55"/>
  <c r="B15" i="55" s="1"/>
  <c r="CN7" i="55"/>
  <c r="CN143" i="55" s="1"/>
  <c r="CM7" i="55"/>
  <c r="CL7" i="55"/>
  <c r="CK7" i="55"/>
  <c r="CJ7" i="55"/>
  <c r="CJ136" i="55" s="1"/>
  <c r="CI7" i="55"/>
  <c r="CH7" i="55"/>
  <c r="CG7" i="55"/>
  <c r="CF7" i="55"/>
  <c r="CE7" i="55"/>
  <c r="CD7" i="55"/>
  <c r="CC7" i="55"/>
  <c r="BY7" i="55"/>
  <c r="BX7" i="55"/>
  <c r="BW7" i="55"/>
  <c r="BV7" i="55"/>
  <c r="BU7" i="55"/>
  <c r="BT7" i="55"/>
  <c r="BS7" i="55"/>
  <c r="BR7" i="55"/>
  <c r="BQ7" i="55"/>
  <c r="BP7" i="55"/>
  <c r="BO7" i="55"/>
  <c r="BN7" i="55"/>
  <c r="BM7" i="55"/>
  <c r="BC7" i="55"/>
  <c r="BB7" i="55"/>
  <c r="BA7" i="55"/>
  <c r="AY7" i="55"/>
  <c r="AX7" i="55"/>
  <c r="AW7" i="55"/>
  <c r="AV7" i="55"/>
  <c r="AU7" i="55"/>
  <c r="AT7" i="55"/>
  <c r="AS7" i="55"/>
  <c r="AR7" i="55"/>
  <c r="AQ7" i="55"/>
  <c r="AP7" i="55"/>
  <c r="AO7" i="55"/>
  <c r="AN7" i="55"/>
  <c r="AM7" i="55"/>
  <c r="AL7" i="55"/>
  <c r="AK7" i="55"/>
  <c r="AJ7" i="55"/>
  <c r="AI7" i="55"/>
  <c r="AH7" i="55"/>
  <c r="AH161" i="55" s="1"/>
  <c r="AH152" i="55" s="1"/>
  <c r="AG7" i="55"/>
  <c r="AF7" i="55"/>
  <c r="AF136" i="55" s="1"/>
  <c r="AE7" i="55"/>
  <c r="AD7" i="55"/>
  <c r="AD143" i="55" s="1"/>
  <c r="AC7" i="55"/>
  <c r="AB7" i="55"/>
  <c r="AA7" i="55"/>
  <c r="Z7" i="55"/>
  <c r="Y7" i="55"/>
  <c r="X7" i="55"/>
  <c r="W7" i="55"/>
  <c r="V7" i="55"/>
  <c r="V143" i="55" s="1"/>
  <c r="U7" i="55"/>
  <c r="T7" i="55"/>
  <c r="S7" i="55"/>
  <c r="R7" i="55"/>
  <c r="Q7" i="55"/>
  <c r="P7" i="55"/>
  <c r="P136" i="55" s="1"/>
  <c r="O7" i="55"/>
  <c r="N7" i="55"/>
  <c r="M7" i="55"/>
  <c r="L7" i="55"/>
  <c r="K7" i="55"/>
  <c r="J7" i="55"/>
  <c r="I7" i="55"/>
  <c r="H7" i="55"/>
  <c r="H136" i="55" s="1"/>
  <c r="G7" i="55"/>
  <c r="F7" i="55"/>
  <c r="E7" i="55"/>
  <c r="D7" i="55"/>
  <c r="BC6" i="55"/>
  <c r="BB6" i="55"/>
  <c r="BA6" i="55"/>
  <c r="AZ6" i="55"/>
  <c r="AY6" i="55"/>
  <c r="AX6" i="55"/>
  <c r="AW6" i="55"/>
  <c r="AV6" i="55"/>
  <c r="AU6" i="55"/>
  <c r="AT6" i="55"/>
  <c r="AS6" i="55"/>
  <c r="AR6" i="55"/>
  <c r="AQ6" i="55"/>
  <c r="AP6" i="55"/>
  <c r="AO6" i="55"/>
  <c r="AN6" i="55"/>
  <c r="AM6" i="55"/>
  <c r="AL6" i="55"/>
  <c r="AK6" i="55"/>
  <c r="AJ6" i="55"/>
  <c r="AI6" i="55"/>
  <c r="AH6" i="55"/>
  <c r="AG6" i="55"/>
  <c r="AF6" i="55"/>
  <c r="AE6" i="55"/>
  <c r="AD6" i="55"/>
  <c r="AC6" i="55"/>
  <c r="AB6" i="55"/>
  <c r="AA6" i="55"/>
  <c r="Z6" i="55"/>
  <c r="Y6" i="55"/>
  <c r="X6" i="55"/>
  <c r="W6" i="55"/>
  <c r="V6" i="55"/>
  <c r="U6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E6" i="55"/>
  <c r="D6" i="55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AH133" i="3"/>
  <c r="AI133" i="3" s="1"/>
  <c r="BT133" i="3" s="1"/>
  <c r="BM132" i="3"/>
  <c r="AZ133" i="3"/>
  <c r="BA133" i="3" s="1"/>
  <c r="BB133" i="3" s="1"/>
  <c r="BC133" i="3" s="1"/>
  <c r="BY133" i="3" s="1"/>
  <c r="AV133" i="3"/>
  <c r="AR133" i="3"/>
  <c r="AS133" i="3" s="1"/>
  <c r="AT133" i="3" s="1"/>
  <c r="AU133" i="3" s="1"/>
  <c r="BW133" i="3" s="1"/>
  <c r="AN133" i="3"/>
  <c r="AO133" i="3" s="1"/>
  <c r="AP133" i="3" s="1"/>
  <c r="AQ133" i="3" s="1"/>
  <c r="BV133" i="3" s="1"/>
  <c r="AL133" i="3"/>
  <c r="AM133" i="3" s="1"/>
  <c r="BU133" i="3" s="1"/>
  <c r="G132" i="3"/>
  <c r="F132" i="3"/>
  <c r="E132" i="3"/>
  <c r="AZ130" i="3"/>
  <c r="BA130" i="3" s="1"/>
  <c r="BB130" i="3" s="1"/>
  <c r="BC130" i="3" s="1"/>
  <c r="BY130" i="3" s="1"/>
  <c r="AV130" i="3"/>
  <c r="AR130" i="3"/>
  <c r="AS130" i="3" s="1"/>
  <c r="AT130" i="3" s="1"/>
  <c r="AU130" i="3" s="1"/>
  <c r="BW130" i="3" s="1"/>
  <c r="AN130" i="3"/>
  <c r="AO130" i="3" s="1"/>
  <c r="AP130" i="3" s="1"/>
  <c r="AQ130" i="3" s="1"/>
  <c r="BV130" i="3" s="1"/>
  <c r="AK130" i="3"/>
  <c r="AL130" i="3" s="1"/>
  <c r="AM130" i="3" s="1"/>
  <c r="BU130" i="3" s="1"/>
  <c r="AJ130" i="3"/>
  <c r="AF130" i="3"/>
  <c r="AG130" i="3" s="1"/>
  <c r="AH130" i="3" s="1"/>
  <c r="AI130" i="3" s="1"/>
  <c r="BT130" i="3" s="1"/>
  <c r="AB130" i="3"/>
  <c r="AC130" i="3" s="1"/>
  <c r="AD130" i="3" s="1"/>
  <c r="AE130" i="3" s="1"/>
  <c r="BS130" i="3" s="1"/>
  <c r="X130" i="3"/>
  <c r="Y130" i="3" s="1"/>
  <c r="Z130" i="3" s="1"/>
  <c r="AA130" i="3" s="1"/>
  <c r="BR130" i="3" s="1"/>
  <c r="T130" i="3"/>
  <c r="U130" i="3" s="1"/>
  <c r="V130" i="3" s="1"/>
  <c r="W130" i="3" s="1"/>
  <c r="BQ130" i="3" s="1"/>
  <c r="P130" i="3"/>
  <c r="Q130" i="3" s="1"/>
  <c r="R130" i="3" s="1"/>
  <c r="S130" i="3" s="1"/>
  <c r="BP130" i="3" s="1"/>
  <c r="L130" i="3"/>
  <c r="M130" i="3" s="1"/>
  <c r="N130" i="3" s="1"/>
  <c r="O130" i="3" s="1"/>
  <c r="BO130" i="3" s="1"/>
  <c r="H130" i="3"/>
  <c r="I130" i="3" s="1"/>
  <c r="J130" i="3" s="1"/>
  <c r="K130" i="3" s="1"/>
  <c r="BN130" i="3" s="1"/>
  <c r="D130" i="3"/>
  <c r="E130" i="3" s="1"/>
  <c r="F130" i="3" s="1"/>
  <c r="G130" i="3" s="1"/>
  <c r="BM130" i="3" s="1"/>
  <c r="AR127" i="3"/>
  <c r="AN127" i="3"/>
  <c r="AO127" i="3" s="1"/>
  <c r="AP127" i="3" s="1"/>
  <c r="AQ127" i="3" s="1"/>
  <c r="BV127" i="3" s="1"/>
  <c r="AF127" i="3"/>
  <c r="AG127" i="3" s="1"/>
  <c r="AH127" i="3" s="1"/>
  <c r="AB127" i="3"/>
  <c r="X127" i="3"/>
  <c r="Y127" i="3" s="1"/>
  <c r="Z127" i="3" s="1"/>
  <c r="AA127" i="3" s="1"/>
  <c r="BR127" i="3" s="1"/>
  <c r="T127" i="3"/>
  <c r="U127" i="3" s="1"/>
  <c r="V127" i="3" s="1"/>
  <c r="W127" i="3" s="1"/>
  <c r="BQ127" i="3" s="1"/>
  <c r="P127" i="3"/>
  <c r="Q127" i="3" s="1"/>
  <c r="R127" i="3" s="1"/>
  <c r="S127" i="3" s="1"/>
  <c r="BP127" i="3" s="1"/>
  <c r="L127" i="3"/>
  <c r="M127" i="3" s="1"/>
  <c r="N127" i="3" s="1"/>
  <c r="O127" i="3" s="1"/>
  <c r="BO127" i="3" s="1"/>
  <c r="H127" i="3"/>
  <c r="I127" i="3" s="1"/>
  <c r="J127" i="3" s="1"/>
  <c r="K127" i="3" s="1"/>
  <c r="BN127" i="3" s="1"/>
  <c r="AR126" i="3"/>
  <c r="AS126" i="3" s="1"/>
  <c r="AT126" i="3" s="1"/>
  <c r="AN126" i="3"/>
  <c r="AO126" i="3" s="1"/>
  <c r="AP126" i="3" s="1"/>
  <c r="AQ126" i="3" s="1"/>
  <c r="BV126" i="3" s="1"/>
  <c r="AJ126" i="3"/>
  <c r="AK126" i="3" s="1"/>
  <c r="AL126" i="3" s="1"/>
  <c r="AM126" i="3" s="1"/>
  <c r="BU126" i="3" s="1"/>
  <c r="AF126" i="3"/>
  <c r="AG126" i="3" s="1"/>
  <c r="AH126" i="3" s="1"/>
  <c r="AI126" i="3" s="1"/>
  <c r="BT126" i="3" s="1"/>
  <c r="AB126" i="3"/>
  <c r="AC126" i="3" s="1"/>
  <c r="AD126" i="3" s="1"/>
  <c r="AE126" i="3" s="1"/>
  <c r="BS126" i="3" s="1"/>
  <c r="X126" i="3"/>
  <c r="Y126" i="3" s="1"/>
  <c r="Z126" i="3" s="1"/>
  <c r="AA126" i="3" s="1"/>
  <c r="BR126" i="3" s="1"/>
  <c r="T126" i="3"/>
  <c r="U126" i="3" s="1"/>
  <c r="V126" i="3" s="1"/>
  <c r="W126" i="3" s="1"/>
  <c r="BQ126" i="3" s="1"/>
  <c r="P126" i="3"/>
  <c r="Q126" i="3" s="1"/>
  <c r="R126" i="3" s="1"/>
  <c r="S126" i="3" s="1"/>
  <c r="BP126" i="3" s="1"/>
  <c r="L126" i="3"/>
  <c r="M126" i="3" s="1"/>
  <c r="N126" i="3" s="1"/>
  <c r="O126" i="3" s="1"/>
  <c r="BO126" i="3" s="1"/>
  <c r="H126" i="3"/>
  <c r="I126" i="3" s="1"/>
  <c r="J126" i="3" s="1"/>
  <c r="K126" i="3" s="1"/>
  <c r="BN126" i="3" s="1"/>
  <c r="D126" i="3"/>
  <c r="E126" i="3" s="1"/>
  <c r="F126" i="3" s="1"/>
  <c r="G126" i="3" s="1"/>
  <c r="BM126" i="3" s="1"/>
  <c r="AR125" i="3"/>
  <c r="AS125" i="3" s="1"/>
  <c r="AT125" i="3" s="1"/>
  <c r="AN125" i="3"/>
  <c r="AO125" i="3" s="1"/>
  <c r="AP125" i="3" s="1"/>
  <c r="AQ125" i="3" s="1"/>
  <c r="BV125" i="3" s="1"/>
  <c r="AJ125" i="3"/>
  <c r="AK125" i="3" s="1"/>
  <c r="AL125" i="3" s="1"/>
  <c r="AM125" i="3" s="1"/>
  <c r="BU125" i="3" s="1"/>
  <c r="AF125" i="3"/>
  <c r="AG125" i="3" s="1"/>
  <c r="AH125" i="3" s="1"/>
  <c r="AI125" i="3" s="1"/>
  <c r="BT125" i="3" s="1"/>
  <c r="AB125" i="3"/>
  <c r="AC125" i="3" s="1"/>
  <c r="AD125" i="3" s="1"/>
  <c r="AE125" i="3" s="1"/>
  <c r="BS125" i="3" s="1"/>
  <c r="X125" i="3"/>
  <c r="Y125" i="3" s="1"/>
  <c r="Z125" i="3" s="1"/>
  <c r="AA125" i="3" s="1"/>
  <c r="BR125" i="3" s="1"/>
  <c r="T125" i="3"/>
  <c r="U125" i="3" s="1"/>
  <c r="V125" i="3" s="1"/>
  <c r="W125" i="3" s="1"/>
  <c r="BQ125" i="3" s="1"/>
  <c r="P125" i="3"/>
  <c r="Q125" i="3" s="1"/>
  <c r="R125" i="3" s="1"/>
  <c r="S125" i="3" s="1"/>
  <c r="BP125" i="3" s="1"/>
  <c r="L125" i="3"/>
  <c r="M125" i="3" s="1"/>
  <c r="N125" i="3" s="1"/>
  <c r="O125" i="3" s="1"/>
  <c r="BO125" i="3" s="1"/>
  <c r="H125" i="3"/>
  <c r="I125" i="3" s="1"/>
  <c r="J125" i="3" s="1"/>
  <c r="K125" i="3" s="1"/>
  <c r="BN125" i="3" s="1"/>
  <c r="D125" i="3"/>
  <c r="E125" i="3" s="1"/>
  <c r="F125" i="3" s="1"/>
  <c r="G125" i="3" s="1"/>
  <c r="BM125" i="3" s="1"/>
  <c r="AZ124" i="3"/>
  <c r="BA124" i="3" s="1"/>
  <c r="BB124" i="3" s="1"/>
  <c r="BC124" i="3" s="1"/>
  <c r="BY124" i="3" s="1"/>
  <c r="AV124" i="3"/>
  <c r="AR124" i="3"/>
  <c r="AS124" i="3" s="1"/>
  <c r="AT124" i="3" s="1"/>
  <c r="AU124" i="3" s="1"/>
  <c r="BW124" i="3" s="1"/>
  <c r="AN124" i="3"/>
  <c r="AO124" i="3" s="1"/>
  <c r="AP124" i="3" s="1"/>
  <c r="AQ124" i="3" s="1"/>
  <c r="BV124" i="3" s="1"/>
  <c r="AJ124" i="3"/>
  <c r="AK124" i="3" s="1"/>
  <c r="AL124" i="3" s="1"/>
  <c r="AM124" i="3" s="1"/>
  <c r="BU124" i="3" s="1"/>
  <c r="AF124" i="3"/>
  <c r="AG124" i="3" s="1"/>
  <c r="AH124" i="3" s="1"/>
  <c r="AI124" i="3" s="1"/>
  <c r="BT124" i="3" s="1"/>
  <c r="AB124" i="3"/>
  <c r="AC124" i="3" s="1"/>
  <c r="AD124" i="3" s="1"/>
  <c r="AE124" i="3" s="1"/>
  <c r="BS124" i="3" s="1"/>
  <c r="X124" i="3"/>
  <c r="Y124" i="3" s="1"/>
  <c r="Z124" i="3" s="1"/>
  <c r="AA124" i="3" s="1"/>
  <c r="BR124" i="3" s="1"/>
  <c r="T124" i="3"/>
  <c r="U124" i="3" s="1"/>
  <c r="V124" i="3" s="1"/>
  <c r="W124" i="3" s="1"/>
  <c r="BQ124" i="3" s="1"/>
  <c r="P124" i="3"/>
  <c r="Q124" i="3" s="1"/>
  <c r="R124" i="3" s="1"/>
  <c r="S124" i="3" s="1"/>
  <c r="BP124" i="3" s="1"/>
  <c r="L124" i="3"/>
  <c r="M124" i="3" s="1"/>
  <c r="N124" i="3" s="1"/>
  <c r="O124" i="3" s="1"/>
  <c r="BO124" i="3" s="1"/>
  <c r="H124" i="3"/>
  <c r="I124" i="3" s="1"/>
  <c r="J124" i="3" s="1"/>
  <c r="K124" i="3" s="1"/>
  <c r="BN124" i="3" s="1"/>
  <c r="D124" i="3"/>
  <c r="E124" i="3" s="1"/>
  <c r="F124" i="3" s="1"/>
  <c r="G124" i="3" s="1"/>
  <c r="BM124" i="3" s="1"/>
  <c r="AZ123" i="3"/>
  <c r="BA123" i="3" s="1"/>
  <c r="BB123" i="3" s="1"/>
  <c r="BC123" i="3" s="1"/>
  <c r="BY123" i="3" s="1"/>
  <c r="AV123" i="3"/>
  <c r="AR123" i="3"/>
  <c r="AS123" i="3" s="1"/>
  <c r="AT123" i="3" s="1"/>
  <c r="AU123" i="3" s="1"/>
  <c r="BW123" i="3" s="1"/>
  <c r="AN123" i="3"/>
  <c r="AO123" i="3" s="1"/>
  <c r="AP123" i="3" s="1"/>
  <c r="AQ123" i="3" s="1"/>
  <c r="BV123" i="3" s="1"/>
  <c r="AJ123" i="3"/>
  <c r="AK123" i="3" s="1"/>
  <c r="AL123" i="3" s="1"/>
  <c r="AM123" i="3" s="1"/>
  <c r="BU123" i="3" s="1"/>
  <c r="AF123" i="3"/>
  <c r="AG123" i="3" s="1"/>
  <c r="AH123" i="3" s="1"/>
  <c r="AI123" i="3" s="1"/>
  <c r="BT123" i="3" s="1"/>
  <c r="AB123" i="3"/>
  <c r="AC123" i="3" s="1"/>
  <c r="AD123" i="3" s="1"/>
  <c r="AE123" i="3" s="1"/>
  <c r="BS123" i="3" s="1"/>
  <c r="X123" i="3"/>
  <c r="Y123" i="3" s="1"/>
  <c r="Z123" i="3" s="1"/>
  <c r="AA123" i="3" s="1"/>
  <c r="BR123" i="3" s="1"/>
  <c r="T123" i="3"/>
  <c r="U123" i="3" s="1"/>
  <c r="V123" i="3" s="1"/>
  <c r="W123" i="3" s="1"/>
  <c r="BQ123" i="3" s="1"/>
  <c r="P123" i="3"/>
  <c r="Q123" i="3" s="1"/>
  <c r="R123" i="3" s="1"/>
  <c r="S123" i="3" s="1"/>
  <c r="BP123" i="3" s="1"/>
  <c r="L123" i="3"/>
  <c r="M123" i="3" s="1"/>
  <c r="N123" i="3" s="1"/>
  <c r="O123" i="3" s="1"/>
  <c r="BO123" i="3" s="1"/>
  <c r="H123" i="3"/>
  <c r="I123" i="3" s="1"/>
  <c r="J123" i="3" s="1"/>
  <c r="K123" i="3" s="1"/>
  <c r="BN123" i="3" s="1"/>
  <c r="D123" i="3"/>
  <c r="E123" i="3" s="1"/>
  <c r="F123" i="3" s="1"/>
  <c r="G123" i="3" s="1"/>
  <c r="BM123" i="3" s="1"/>
  <c r="AR122" i="3"/>
  <c r="AS122" i="3" s="1"/>
  <c r="AT122" i="3" s="1"/>
  <c r="AN122" i="3"/>
  <c r="AO122" i="3" s="1"/>
  <c r="AP122" i="3" s="1"/>
  <c r="AQ122" i="3" s="1"/>
  <c r="BV122" i="3" s="1"/>
  <c r="AJ122" i="3"/>
  <c r="AK122" i="3" s="1"/>
  <c r="AL122" i="3" s="1"/>
  <c r="AM122" i="3" s="1"/>
  <c r="BU122" i="3" s="1"/>
  <c r="AF122" i="3"/>
  <c r="AG122" i="3" s="1"/>
  <c r="AH122" i="3" s="1"/>
  <c r="AI122" i="3" s="1"/>
  <c r="BT122" i="3" s="1"/>
  <c r="AB122" i="3"/>
  <c r="AC122" i="3" s="1"/>
  <c r="AD122" i="3" s="1"/>
  <c r="AE122" i="3" s="1"/>
  <c r="BS122" i="3" s="1"/>
  <c r="X122" i="3"/>
  <c r="Y122" i="3" s="1"/>
  <c r="Z122" i="3" s="1"/>
  <c r="AA122" i="3" s="1"/>
  <c r="BR122" i="3" s="1"/>
  <c r="T122" i="3"/>
  <c r="U122" i="3" s="1"/>
  <c r="V122" i="3" s="1"/>
  <c r="W122" i="3" s="1"/>
  <c r="BQ122" i="3" s="1"/>
  <c r="P122" i="3"/>
  <c r="Q122" i="3" s="1"/>
  <c r="R122" i="3" s="1"/>
  <c r="S122" i="3" s="1"/>
  <c r="BP122" i="3" s="1"/>
  <c r="L122" i="3"/>
  <c r="M122" i="3" s="1"/>
  <c r="N122" i="3" s="1"/>
  <c r="O122" i="3" s="1"/>
  <c r="BO122" i="3" s="1"/>
  <c r="H122" i="3"/>
  <c r="I122" i="3" s="1"/>
  <c r="J122" i="3" s="1"/>
  <c r="K122" i="3" s="1"/>
  <c r="BN122" i="3" s="1"/>
  <c r="D122" i="3"/>
  <c r="E122" i="3" s="1"/>
  <c r="F122" i="3" s="1"/>
  <c r="G122" i="3" s="1"/>
  <c r="BM122" i="3" s="1"/>
  <c r="AR121" i="3"/>
  <c r="AN121" i="3"/>
  <c r="AO121" i="3" s="1"/>
  <c r="AJ121" i="3"/>
  <c r="AK121" i="3" s="1"/>
  <c r="AF121" i="3"/>
  <c r="AG121" i="3" s="1"/>
  <c r="AB121" i="3"/>
  <c r="AC121" i="3" s="1"/>
  <c r="AD121" i="3" s="1"/>
  <c r="X121" i="3"/>
  <c r="Y121" i="3" s="1"/>
  <c r="T121" i="3"/>
  <c r="U121" i="3" s="1"/>
  <c r="P121" i="3"/>
  <c r="L121" i="3"/>
  <c r="H121" i="3"/>
  <c r="AN117" i="3"/>
  <c r="AO117" i="3" s="1"/>
  <c r="AP117" i="3" s="1"/>
  <c r="AQ117" i="3" s="1"/>
  <c r="BV117" i="3" s="1"/>
  <c r="AJ117" i="3"/>
  <c r="AK117" i="3" s="1"/>
  <c r="AL117" i="3" s="1"/>
  <c r="AM117" i="3" s="1"/>
  <c r="BU117" i="3" s="1"/>
  <c r="AF117" i="3"/>
  <c r="AG117" i="3" s="1"/>
  <c r="AH117" i="3" s="1"/>
  <c r="AI117" i="3" s="1"/>
  <c r="BT117" i="3" s="1"/>
  <c r="AB117" i="3"/>
  <c r="AC117" i="3" s="1"/>
  <c r="AD117" i="3" s="1"/>
  <c r="AE117" i="3" s="1"/>
  <c r="BS117" i="3" s="1"/>
  <c r="X117" i="3"/>
  <c r="Y117" i="3" s="1"/>
  <c r="Z117" i="3" s="1"/>
  <c r="AA117" i="3" s="1"/>
  <c r="BR117" i="3" s="1"/>
  <c r="T117" i="3"/>
  <c r="U117" i="3" s="1"/>
  <c r="V117" i="3" s="1"/>
  <c r="W117" i="3" s="1"/>
  <c r="BQ117" i="3" s="1"/>
  <c r="P117" i="3"/>
  <c r="Q117" i="3" s="1"/>
  <c r="R117" i="3" s="1"/>
  <c r="S117" i="3" s="1"/>
  <c r="BP117" i="3" s="1"/>
  <c r="L117" i="3"/>
  <c r="M117" i="3" s="1"/>
  <c r="N117" i="3" s="1"/>
  <c r="O117" i="3" s="1"/>
  <c r="BO117" i="3" s="1"/>
  <c r="H117" i="3"/>
  <c r="I117" i="3" s="1"/>
  <c r="J117" i="3" s="1"/>
  <c r="K117" i="3" s="1"/>
  <c r="BN117" i="3" s="1"/>
  <c r="D117" i="3"/>
  <c r="E117" i="3" s="1"/>
  <c r="AZ116" i="3"/>
  <c r="BA116" i="3" s="1"/>
  <c r="BB116" i="3" s="1"/>
  <c r="BC116" i="3" s="1"/>
  <c r="BY116" i="3" s="1"/>
  <c r="AV116" i="3"/>
  <c r="AR116" i="3"/>
  <c r="AS116" i="3" s="1"/>
  <c r="AT116" i="3" s="1"/>
  <c r="AU116" i="3" s="1"/>
  <c r="BW116" i="3" s="1"/>
  <c r="AN116" i="3"/>
  <c r="AO116" i="3" s="1"/>
  <c r="AP116" i="3" s="1"/>
  <c r="AQ116" i="3" s="1"/>
  <c r="BV116" i="3" s="1"/>
  <c r="AJ116" i="3"/>
  <c r="AK116" i="3" s="1"/>
  <c r="AL116" i="3" s="1"/>
  <c r="AM116" i="3" s="1"/>
  <c r="BU116" i="3" s="1"/>
  <c r="AF116" i="3"/>
  <c r="AG116" i="3" s="1"/>
  <c r="AH116" i="3" s="1"/>
  <c r="AI116" i="3" s="1"/>
  <c r="BT116" i="3" s="1"/>
  <c r="AB116" i="3"/>
  <c r="AC116" i="3" s="1"/>
  <c r="AD116" i="3" s="1"/>
  <c r="AE116" i="3" s="1"/>
  <c r="BS116" i="3" s="1"/>
  <c r="X116" i="3"/>
  <c r="Y116" i="3" s="1"/>
  <c r="Z116" i="3" s="1"/>
  <c r="AA116" i="3" s="1"/>
  <c r="BR116" i="3" s="1"/>
  <c r="T116" i="3"/>
  <c r="U116" i="3" s="1"/>
  <c r="V116" i="3" s="1"/>
  <c r="W116" i="3" s="1"/>
  <c r="BQ116" i="3" s="1"/>
  <c r="P116" i="3"/>
  <c r="Q116" i="3" s="1"/>
  <c r="R116" i="3" s="1"/>
  <c r="S116" i="3" s="1"/>
  <c r="BP116" i="3" s="1"/>
  <c r="L116" i="3"/>
  <c r="M116" i="3" s="1"/>
  <c r="N116" i="3" s="1"/>
  <c r="O116" i="3" s="1"/>
  <c r="BO116" i="3" s="1"/>
  <c r="H116" i="3"/>
  <c r="I116" i="3" s="1"/>
  <c r="J116" i="3" s="1"/>
  <c r="K116" i="3" s="1"/>
  <c r="BN116" i="3" s="1"/>
  <c r="D116" i="3"/>
  <c r="E116" i="3" s="1"/>
  <c r="F116" i="3" s="1"/>
  <c r="G116" i="3" s="1"/>
  <c r="BM116" i="3" s="1"/>
  <c r="AZ115" i="3"/>
  <c r="BA115" i="3" s="1"/>
  <c r="BB115" i="3" s="1"/>
  <c r="BC115" i="3" s="1"/>
  <c r="BY115" i="3" s="1"/>
  <c r="AV115" i="3"/>
  <c r="AR115" i="3"/>
  <c r="AS115" i="3" s="1"/>
  <c r="AT115" i="3" s="1"/>
  <c r="AU115" i="3" s="1"/>
  <c r="BW115" i="3" s="1"/>
  <c r="AN115" i="3"/>
  <c r="AO115" i="3" s="1"/>
  <c r="AP115" i="3" s="1"/>
  <c r="AQ115" i="3" s="1"/>
  <c r="BV115" i="3" s="1"/>
  <c r="AJ115" i="3"/>
  <c r="AK115" i="3" s="1"/>
  <c r="AL115" i="3" s="1"/>
  <c r="AM115" i="3" s="1"/>
  <c r="BU115" i="3" s="1"/>
  <c r="AF115" i="3"/>
  <c r="AG115" i="3" s="1"/>
  <c r="AH115" i="3" s="1"/>
  <c r="AI115" i="3" s="1"/>
  <c r="BT115" i="3" s="1"/>
  <c r="AB115" i="3"/>
  <c r="AC115" i="3" s="1"/>
  <c r="AD115" i="3" s="1"/>
  <c r="AE115" i="3" s="1"/>
  <c r="BS115" i="3" s="1"/>
  <c r="X115" i="3"/>
  <c r="Y115" i="3" s="1"/>
  <c r="Z115" i="3" s="1"/>
  <c r="AA115" i="3" s="1"/>
  <c r="BR115" i="3" s="1"/>
  <c r="T115" i="3"/>
  <c r="U115" i="3" s="1"/>
  <c r="V115" i="3" s="1"/>
  <c r="W115" i="3" s="1"/>
  <c r="BQ115" i="3" s="1"/>
  <c r="P115" i="3"/>
  <c r="Q115" i="3" s="1"/>
  <c r="R115" i="3" s="1"/>
  <c r="S115" i="3" s="1"/>
  <c r="BP115" i="3" s="1"/>
  <c r="L115" i="3"/>
  <c r="M115" i="3" s="1"/>
  <c r="N115" i="3" s="1"/>
  <c r="O115" i="3" s="1"/>
  <c r="BO115" i="3" s="1"/>
  <c r="H115" i="3"/>
  <c r="I115" i="3" s="1"/>
  <c r="J115" i="3" s="1"/>
  <c r="K115" i="3" s="1"/>
  <c r="BN115" i="3" s="1"/>
  <c r="D115" i="3"/>
  <c r="E115" i="3" s="1"/>
  <c r="F115" i="3" s="1"/>
  <c r="G115" i="3" s="1"/>
  <c r="BM115" i="3" s="1"/>
  <c r="AZ114" i="3"/>
  <c r="BA114" i="3" s="1"/>
  <c r="BB114" i="3" s="1"/>
  <c r="BC114" i="3" s="1"/>
  <c r="BY114" i="3" s="1"/>
  <c r="AV114" i="3"/>
  <c r="AR114" i="3"/>
  <c r="AS114" i="3" s="1"/>
  <c r="AT114" i="3" s="1"/>
  <c r="AU114" i="3" s="1"/>
  <c r="BW114" i="3" s="1"/>
  <c r="AN114" i="3"/>
  <c r="AO114" i="3" s="1"/>
  <c r="AP114" i="3" s="1"/>
  <c r="AQ114" i="3" s="1"/>
  <c r="BV114" i="3" s="1"/>
  <c r="AJ114" i="3"/>
  <c r="AK114" i="3" s="1"/>
  <c r="AL114" i="3" s="1"/>
  <c r="AM114" i="3" s="1"/>
  <c r="BU114" i="3" s="1"/>
  <c r="AF114" i="3"/>
  <c r="AG114" i="3" s="1"/>
  <c r="AH114" i="3" s="1"/>
  <c r="AB114" i="3"/>
  <c r="AC114" i="3" s="1"/>
  <c r="AD114" i="3" s="1"/>
  <c r="X114" i="3"/>
  <c r="Y114" i="3" s="1"/>
  <c r="Z114" i="3" s="1"/>
  <c r="AA114" i="3" s="1"/>
  <c r="BR114" i="3" s="1"/>
  <c r="T114" i="3"/>
  <c r="U114" i="3" s="1"/>
  <c r="V114" i="3" s="1"/>
  <c r="W114" i="3" s="1"/>
  <c r="BQ114" i="3" s="1"/>
  <c r="P114" i="3"/>
  <c r="Q114" i="3" s="1"/>
  <c r="R114" i="3" s="1"/>
  <c r="S114" i="3" s="1"/>
  <c r="BP114" i="3" s="1"/>
  <c r="L114" i="3"/>
  <c r="M114" i="3" s="1"/>
  <c r="N114" i="3" s="1"/>
  <c r="O114" i="3" s="1"/>
  <c r="BO114" i="3" s="1"/>
  <c r="H114" i="3"/>
  <c r="I114" i="3" s="1"/>
  <c r="J114" i="3" s="1"/>
  <c r="K114" i="3" s="1"/>
  <c r="BN114" i="3" s="1"/>
  <c r="D114" i="3"/>
  <c r="E114" i="3" s="1"/>
  <c r="F114" i="3" s="1"/>
  <c r="G114" i="3" s="1"/>
  <c r="BM114" i="3" s="1"/>
  <c r="AR113" i="3"/>
  <c r="AS113" i="3" s="1"/>
  <c r="AN113" i="3"/>
  <c r="AO113" i="3" s="1"/>
  <c r="AP113" i="3" s="1"/>
  <c r="AQ113" i="3" s="1"/>
  <c r="BV113" i="3" s="1"/>
  <c r="AJ113" i="3"/>
  <c r="AK113" i="3" s="1"/>
  <c r="AF113" i="3"/>
  <c r="AF118" i="3" s="1"/>
  <c r="AB113" i="3"/>
  <c r="X113" i="3"/>
  <c r="X118" i="3" s="1"/>
  <c r="T113" i="3"/>
  <c r="P113" i="3"/>
  <c r="Q113" i="3" s="1"/>
  <c r="R113" i="3" s="1"/>
  <c r="S113" i="3" s="1"/>
  <c r="BP113" i="3" s="1"/>
  <c r="L113" i="3"/>
  <c r="M113" i="3" s="1"/>
  <c r="H113" i="3"/>
  <c r="I113" i="3" s="1"/>
  <c r="J113" i="3" s="1"/>
  <c r="K113" i="3" s="1"/>
  <c r="BN113" i="3" s="1"/>
  <c r="AR109" i="3"/>
  <c r="AS109" i="3" s="1"/>
  <c r="AT109" i="3" s="1"/>
  <c r="AN109" i="3"/>
  <c r="AO109" i="3" s="1"/>
  <c r="AP109" i="3" s="1"/>
  <c r="AQ109" i="3" s="1"/>
  <c r="BV109" i="3" s="1"/>
  <c r="AJ109" i="3"/>
  <c r="AK109" i="3" s="1"/>
  <c r="AL109" i="3" s="1"/>
  <c r="AM109" i="3" s="1"/>
  <c r="BU109" i="3" s="1"/>
  <c r="AF109" i="3"/>
  <c r="AG109" i="3" s="1"/>
  <c r="AH109" i="3" s="1"/>
  <c r="AI109" i="3" s="1"/>
  <c r="BT109" i="3" s="1"/>
  <c r="AB109" i="3"/>
  <c r="AC109" i="3" s="1"/>
  <c r="AD109" i="3" s="1"/>
  <c r="AE109" i="3" s="1"/>
  <c r="BS109" i="3" s="1"/>
  <c r="X109" i="3"/>
  <c r="Y109" i="3" s="1"/>
  <c r="Z109" i="3" s="1"/>
  <c r="AA109" i="3" s="1"/>
  <c r="BR109" i="3" s="1"/>
  <c r="T109" i="3"/>
  <c r="U109" i="3" s="1"/>
  <c r="V109" i="3" s="1"/>
  <c r="W109" i="3" s="1"/>
  <c r="BQ109" i="3" s="1"/>
  <c r="P109" i="3"/>
  <c r="Q109" i="3" s="1"/>
  <c r="R109" i="3" s="1"/>
  <c r="S109" i="3" s="1"/>
  <c r="BP109" i="3" s="1"/>
  <c r="L109" i="3"/>
  <c r="M109" i="3" s="1"/>
  <c r="N109" i="3" s="1"/>
  <c r="O109" i="3" s="1"/>
  <c r="BO109" i="3" s="1"/>
  <c r="H109" i="3"/>
  <c r="I109" i="3" s="1"/>
  <c r="J109" i="3" s="1"/>
  <c r="K109" i="3" s="1"/>
  <c r="BN109" i="3" s="1"/>
  <c r="D109" i="3"/>
  <c r="E109" i="3" s="1"/>
  <c r="F109" i="3" s="1"/>
  <c r="G109" i="3" s="1"/>
  <c r="BM109" i="3" s="1"/>
  <c r="AR108" i="3"/>
  <c r="AS108" i="3" s="1"/>
  <c r="AT108" i="3" s="1"/>
  <c r="AN108" i="3"/>
  <c r="AO108" i="3" s="1"/>
  <c r="AP108" i="3" s="1"/>
  <c r="AQ108" i="3" s="1"/>
  <c r="BV108" i="3" s="1"/>
  <c r="AF108" i="3"/>
  <c r="AG108" i="3" s="1"/>
  <c r="AH108" i="3" s="1"/>
  <c r="AI108" i="3" s="1"/>
  <c r="BT108" i="3" s="1"/>
  <c r="AB108" i="3"/>
  <c r="AC108" i="3" s="1"/>
  <c r="AD108" i="3" s="1"/>
  <c r="AE108" i="3" s="1"/>
  <c r="BS108" i="3" s="1"/>
  <c r="X108" i="3"/>
  <c r="Y108" i="3" s="1"/>
  <c r="Z108" i="3" s="1"/>
  <c r="AA108" i="3" s="1"/>
  <c r="BR108" i="3" s="1"/>
  <c r="T108" i="3"/>
  <c r="U108" i="3" s="1"/>
  <c r="V108" i="3" s="1"/>
  <c r="W108" i="3" s="1"/>
  <c r="BQ108" i="3" s="1"/>
  <c r="P108" i="3"/>
  <c r="Q108" i="3" s="1"/>
  <c r="R108" i="3" s="1"/>
  <c r="S108" i="3" s="1"/>
  <c r="BP108" i="3" s="1"/>
  <c r="L108" i="3"/>
  <c r="M108" i="3" s="1"/>
  <c r="N108" i="3" s="1"/>
  <c r="O108" i="3" s="1"/>
  <c r="BO108" i="3" s="1"/>
  <c r="H108" i="3"/>
  <c r="I108" i="3" s="1"/>
  <c r="J108" i="3" s="1"/>
  <c r="K108" i="3" s="1"/>
  <c r="BN108" i="3" s="1"/>
  <c r="D108" i="3"/>
  <c r="E108" i="3" s="1"/>
  <c r="F108" i="3" s="1"/>
  <c r="G108" i="3" s="1"/>
  <c r="BM108" i="3" s="1"/>
  <c r="AR107" i="3"/>
  <c r="AS107" i="3" s="1"/>
  <c r="AT107" i="3" s="1"/>
  <c r="AN107" i="3"/>
  <c r="AO107" i="3" s="1"/>
  <c r="AP107" i="3" s="1"/>
  <c r="AQ107" i="3" s="1"/>
  <c r="BV107" i="3" s="1"/>
  <c r="AJ107" i="3"/>
  <c r="AK107" i="3" s="1"/>
  <c r="AL107" i="3" s="1"/>
  <c r="AM107" i="3" s="1"/>
  <c r="BU107" i="3" s="1"/>
  <c r="AF107" i="3"/>
  <c r="AG107" i="3" s="1"/>
  <c r="AH107" i="3" s="1"/>
  <c r="AI107" i="3" s="1"/>
  <c r="BT107" i="3" s="1"/>
  <c r="AB107" i="3"/>
  <c r="AC107" i="3" s="1"/>
  <c r="AD107" i="3" s="1"/>
  <c r="AE107" i="3" s="1"/>
  <c r="BS107" i="3" s="1"/>
  <c r="X107" i="3"/>
  <c r="Y107" i="3" s="1"/>
  <c r="Z107" i="3" s="1"/>
  <c r="AA107" i="3" s="1"/>
  <c r="BR107" i="3" s="1"/>
  <c r="T107" i="3"/>
  <c r="U107" i="3" s="1"/>
  <c r="V107" i="3" s="1"/>
  <c r="W107" i="3" s="1"/>
  <c r="BQ107" i="3" s="1"/>
  <c r="P107" i="3"/>
  <c r="Q107" i="3" s="1"/>
  <c r="R107" i="3" s="1"/>
  <c r="S107" i="3" s="1"/>
  <c r="BP107" i="3" s="1"/>
  <c r="L107" i="3"/>
  <c r="M107" i="3" s="1"/>
  <c r="N107" i="3" s="1"/>
  <c r="O107" i="3" s="1"/>
  <c r="BO107" i="3" s="1"/>
  <c r="H107" i="3"/>
  <c r="I107" i="3" s="1"/>
  <c r="J107" i="3" s="1"/>
  <c r="K107" i="3" s="1"/>
  <c r="BN107" i="3" s="1"/>
  <c r="D107" i="3"/>
  <c r="E107" i="3" s="1"/>
  <c r="F107" i="3" s="1"/>
  <c r="G107" i="3" s="1"/>
  <c r="BM107" i="3" s="1"/>
  <c r="AR106" i="3"/>
  <c r="AS106" i="3" s="1"/>
  <c r="AT106" i="3" s="1"/>
  <c r="AN106" i="3"/>
  <c r="AO106" i="3" s="1"/>
  <c r="AP106" i="3" s="1"/>
  <c r="AQ106" i="3" s="1"/>
  <c r="BV106" i="3" s="1"/>
  <c r="AJ106" i="3"/>
  <c r="AK106" i="3" s="1"/>
  <c r="AL106" i="3" s="1"/>
  <c r="AM106" i="3" s="1"/>
  <c r="BU106" i="3" s="1"/>
  <c r="AF106" i="3"/>
  <c r="AG106" i="3" s="1"/>
  <c r="AH106" i="3" s="1"/>
  <c r="AI106" i="3" s="1"/>
  <c r="BT106" i="3" s="1"/>
  <c r="AB106" i="3"/>
  <c r="AC106" i="3" s="1"/>
  <c r="AD106" i="3" s="1"/>
  <c r="AE106" i="3" s="1"/>
  <c r="BS106" i="3" s="1"/>
  <c r="X106" i="3"/>
  <c r="Y106" i="3" s="1"/>
  <c r="Z106" i="3" s="1"/>
  <c r="AA106" i="3" s="1"/>
  <c r="BR106" i="3" s="1"/>
  <c r="T106" i="3"/>
  <c r="U106" i="3" s="1"/>
  <c r="V106" i="3" s="1"/>
  <c r="W106" i="3" s="1"/>
  <c r="BQ106" i="3" s="1"/>
  <c r="P106" i="3"/>
  <c r="Q106" i="3" s="1"/>
  <c r="R106" i="3" s="1"/>
  <c r="S106" i="3" s="1"/>
  <c r="BP106" i="3" s="1"/>
  <c r="L106" i="3"/>
  <c r="M106" i="3" s="1"/>
  <c r="N106" i="3" s="1"/>
  <c r="O106" i="3" s="1"/>
  <c r="BO106" i="3" s="1"/>
  <c r="H106" i="3"/>
  <c r="I106" i="3" s="1"/>
  <c r="J106" i="3" s="1"/>
  <c r="K106" i="3" s="1"/>
  <c r="BN106" i="3" s="1"/>
  <c r="D106" i="3"/>
  <c r="E106" i="3" s="1"/>
  <c r="F106" i="3" s="1"/>
  <c r="G106" i="3" s="1"/>
  <c r="BM106" i="3" s="1"/>
  <c r="AR105" i="3"/>
  <c r="AS105" i="3" s="1"/>
  <c r="AT105" i="3" s="1"/>
  <c r="AN105" i="3"/>
  <c r="AO105" i="3" s="1"/>
  <c r="AP105" i="3" s="1"/>
  <c r="AQ105" i="3" s="1"/>
  <c r="BV105" i="3" s="1"/>
  <c r="AJ105" i="3"/>
  <c r="AK105" i="3" s="1"/>
  <c r="AL105" i="3" s="1"/>
  <c r="AM105" i="3" s="1"/>
  <c r="BU105" i="3" s="1"/>
  <c r="AF105" i="3"/>
  <c r="AG105" i="3" s="1"/>
  <c r="AH105" i="3" s="1"/>
  <c r="AI105" i="3" s="1"/>
  <c r="BT105" i="3" s="1"/>
  <c r="AB105" i="3"/>
  <c r="AC105" i="3" s="1"/>
  <c r="AD105" i="3" s="1"/>
  <c r="AE105" i="3" s="1"/>
  <c r="BS105" i="3" s="1"/>
  <c r="X105" i="3"/>
  <c r="Y105" i="3" s="1"/>
  <c r="Z105" i="3" s="1"/>
  <c r="AA105" i="3" s="1"/>
  <c r="BR105" i="3" s="1"/>
  <c r="T105" i="3"/>
  <c r="U105" i="3" s="1"/>
  <c r="V105" i="3" s="1"/>
  <c r="W105" i="3" s="1"/>
  <c r="BQ105" i="3" s="1"/>
  <c r="P105" i="3"/>
  <c r="Q105" i="3" s="1"/>
  <c r="R105" i="3" s="1"/>
  <c r="S105" i="3" s="1"/>
  <c r="BP105" i="3" s="1"/>
  <c r="L105" i="3"/>
  <c r="M105" i="3" s="1"/>
  <c r="N105" i="3" s="1"/>
  <c r="O105" i="3" s="1"/>
  <c r="BO105" i="3" s="1"/>
  <c r="H105" i="3"/>
  <c r="I105" i="3" s="1"/>
  <c r="J105" i="3" s="1"/>
  <c r="K105" i="3" s="1"/>
  <c r="BN105" i="3" s="1"/>
  <c r="D105" i="3"/>
  <c r="E105" i="3" s="1"/>
  <c r="F105" i="3" s="1"/>
  <c r="G105" i="3" s="1"/>
  <c r="BM105" i="3" s="1"/>
  <c r="AR104" i="3"/>
  <c r="AS104" i="3" s="1"/>
  <c r="AT104" i="3" s="1"/>
  <c r="AN104" i="3"/>
  <c r="AO104" i="3" s="1"/>
  <c r="AP104" i="3" s="1"/>
  <c r="AQ104" i="3" s="1"/>
  <c r="BV104" i="3" s="1"/>
  <c r="AJ104" i="3"/>
  <c r="AK104" i="3" s="1"/>
  <c r="AL104" i="3" s="1"/>
  <c r="AM104" i="3" s="1"/>
  <c r="BU104" i="3" s="1"/>
  <c r="AF104" i="3"/>
  <c r="AG104" i="3" s="1"/>
  <c r="AH104" i="3" s="1"/>
  <c r="AI104" i="3" s="1"/>
  <c r="BT104" i="3" s="1"/>
  <c r="AB104" i="3"/>
  <c r="AC104" i="3" s="1"/>
  <c r="AD104" i="3" s="1"/>
  <c r="AE104" i="3" s="1"/>
  <c r="BS104" i="3" s="1"/>
  <c r="X104" i="3"/>
  <c r="Y104" i="3" s="1"/>
  <c r="Z104" i="3" s="1"/>
  <c r="AA104" i="3" s="1"/>
  <c r="BR104" i="3" s="1"/>
  <c r="T104" i="3"/>
  <c r="U104" i="3" s="1"/>
  <c r="V104" i="3" s="1"/>
  <c r="W104" i="3" s="1"/>
  <c r="BQ104" i="3" s="1"/>
  <c r="P104" i="3"/>
  <c r="Q104" i="3" s="1"/>
  <c r="R104" i="3" s="1"/>
  <c r="S104" i="3" s="1"/>
  <c r="BP104" i="3" s="1"/>
  <c r="L104" i="3"/>
  <c r="M104" i="3" s="1"/>
  <c r="N104" i="3" s="1"/>
  <c r="O104" i="3" s="1"/>
  <c r="BO104" i="3" s="1"/>
  <c r="H104" i="3"/>
  <c r="I104" i="3" s="1"/>
  <c r="J104" i="3" s="1"/>
  <c r="K104" i="3" s="1"/>
  <c r="BN104" i="3" s="1"/>
  <c r="D104" i="3"/>
  <c r="E104" i="3" s="1"/>
  <c r="F104" i="3" s="1"/>
  <c r="G104" i="3" s="1"/>
  <c r="BM104" i="3" s="1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AF102" i="3"/>
  <c r="AG102" i="3" s="1"/>
  <c r="AH102" i="3" s="1"/>
  <c r="AB102" i="3"/>
  <c r="AC102" i="3" s="1"/>
  <c r="AD102" i="3" s="1"/>
  <c r="AE102" i="3" s="1"/>
  <c r="BS102" i="3" s="1"/>
  <c r="T102" i="3"/>
  <c r="U102" i="3" s="1"/>
  <c r="V102" i="3" s="1"/>
  <c r="W102" i="3" s="1"/>
  <c r="BQ102" i="3" s="1"/>
  <c r="P102" i="3"/>
  <c r="M102" i="3"/>
  <c r="N102" i="3" s="1"/>
  <c r="O102" i="3" s="1"/>
  <c r="BO102" i="3" s="1"/>
  <c r="L102" i="3"/>
  <c r="I102" i="3"/>
  <c r="H102" i="3"/>
  <c r="D102" i="3"/>
  <c r="E102" i="3" s="1"/>
  <c r="F102" i="3" s="1"/>
  <c r="G102" i="3" s="1"/>
  <c r="BM102" i="3" s="1"/>
  <c r="AZ101" i="3"/>
  <c r="BA101" i="3" s="1"/>
  <c r="BB101" i="3" s="1"/>
  <c r="BC101" i="3" s="1"/>
  <c r="BY101" i="3" s="1"/>
  <c r="AV101" i="3"/>
  <c r="AR101" i="3"/>
  <c r="AS101" i="3" s="1"/>
  <c r="AT101" i="3" s="1"/>
  <c r="AU101" i="3" s="1"/>
  <c r="BW101" i="3" s="1"/>
  <c r="AJ101" i="3"/>
  <c r="AK101" i="3" s="1"/>
  <c r="AF101" i="3"/>
  <c r="AG101" i="3" s="1"/>
  <c r="AB101" i="3"/>
  <c r="X101" i="3"/>
  <c r="Y101" i="3" s="1"/>
  <c r="Z101" i="3" s="1"/>
  <c r="AA101" i="3" s="1"/>
  <c r="BR101" i="3" s="1"/>
  <c r="T101" i="3"/>
  <c r="U101" i="3" s="1"/>
  <c r="V101" i="3" s="1"/>
  <c r="W101" i="3" s="1"/>
  <c r="BQ101" i="3" s="1"/>
  <c r="P101" i="3"/>
  <c r="Q101" i="3" s="1"/>
  <c r="R101" i="3" s="1"/>
  <c r="S101" i="3" s="1"/>
  <c r="BP101" i="3" s="1"/>
  <c r="L101" i="3"/>
  <c r="M101" i="3" s="1"/>
  <c r="N101" i="3" s="1"/>
  <c r="O101" i="3" s="1"/>
  <c r="BO101" i="3" s="1"/>
  <c r="H101" i="3"/>
  <c r="I101" i="3" s="1"/>
  <c r="J101" i="3" s="1"/>
  <c r="K101" i="3" s="1"/>
  <c r="BN101" i="3" s="1"/>
  <c r="D101" i="3"/>
  <c r="E101" i="3" s="1"/>
  <c r="F101" i="3" s="1"/>
  <c r="G101" i="3" s="1"/>
  <c r="BM101" i="3" s="1"/>
  <c r="AR100" i="3"/>
  <c r="AS100" i="3" s="1"/>
  <c r="AT100" i="3" s="1"/>
  <c r="AN100" i="3"/>
  <c r="AO100" i="3" s="1"/>
  <c r="AP100" i="3" s="1"/>
  <c r="AQ100" i="3" s="1"/>
  <c r="BV100" i="3" s="1"/>
  <c r="AJ100" i="3"/>
  <c r="AK100" i="3" s="1"/>
  <c r="AL100" i="3" s="1"/>
  <c r="AM100" i="3" s="1"/>
  <c r="BU100" i="3" s="1"/>
  <c r="AF100" i="3"/>
  <c r="AG100" i="3" s="1"/>
  <c r="AH100" i="3" s="1"/>
  <c r="AI100" i="3" s="1"/>
  <c r="BT100" i="3" s="1"/>
  <c r="AB100" i="3"/>
  <c r="AC100" i="3" s="1"/>
  <c r="AD100" i="3" s="1"/>
  <c r="AE100" i="3" s="1"/>
  <c r="BS100" i="3" s="1"/>
  <c r="X100" i="3"/>
  <c r="Y100" i="3" s="1"/>
  <c r="Z100" i="3" s="1"/>
  <c r="AA100" i="3" s="1"/>
  <c r="BR100" i="3" s="1"/>
  <c r="T100" i="3"/>
  <c r="U100" i="3" s="1"/>
  <c r="V100" i="3" s="1"/>
  <c r="W100" i="3" s="1"/>
  <c r="BQ100" i="3" s="1"/>
  <c r="P100" i="3"/>
  <c r="Q100" i="3" s="1"/>
  <c r="R100" i="3" s="1"/>
  <c r="S100" i="3" s="1"/>
  <c r="BP100" i="3" s="1"/>
  <c r="L100" i="3"/>
  <c r="M100" i="3" s="1"/>
  <c r="N100" i="3" s="1"/>
  <c r="O100" i="3" s="1"/>
  <c r="BO100" i="3" s="1"/>
  <c r="H100" i="3"/>
  <c r="I100" i="3" s="1"/>
  <c r="J100" i="3" s="1"/>
  <c r="K100" i="3" s="1"/>
  <c r="BN100" i="3" s="1"/>
  <c r="D100" i="3"/>
  <c r="E100" i="3" s="1"/>
  <c r="F100" i="3" s="1"/>
  <c r="G100" i="3" s="1"/>
  <c r="BM100" i="3" s="1"/>
  <c r="AZ99" i="3"/>
  <c r="BA99" i="3" s="1"/>
  <c r="BB99" i="3" s="1"/>
  <c r="BC99" i="3" s="1"/>
  <c r="BY99" i="3" s="1"/>
  <c r="AV99" i="3"/>
  <c r="AR99" i="3"/>
  <c r="AS99" i="3" s="1"/>
  <c r="AT99" i="3" s="1"/>
  <c r="AU99" i="3" s="1"/>
  <c r="BW99" i="3" s="1"/>
  <c r="AN99" i="3"/>
  <c r="AO99" i="3" s="1"/>
  <c r="AP99" i="3" s="1"/>
  <c r="AQ99" i="3" s="1"/>
  <c r="BV99" i="3" s="1"/>
  <c r="AJ99" i="3"/>
  <c r="AK99" i="3" s="1"/>
  <c r="AL99" i="3" s="1"/>
  <c r="AM99" i="3" s="1"/>
  <c r="BU99" i="3" s="1"/>
  <c r="AF99" i="3"/>
  <c r="AG99" i="3" s="1"/>
  <c r="AH99" i="3" s="1"/>
  <c r="AI99" i="3" s="1"/>
  <c r="BT99" i="3" s="1"/>
  <c r="AB99" i="3"/>
  <c r="AC99" i="3" s="1"/>
  <c r="AD99" i="3" s="1"/>
  <c r="AE99" i="3" s="1"/>
  <c r="BS99" i="3" s="1"/>
  <c r="X99" i="3"/>
  <c r="Y99" i="3" s="1"/>
  <c r="Z99" i="3" s="1"/>
  <c r="AA99" i="3" s="1"/>
  <c r="BR99" i="3" s="1"/>
  <c r="T99" i="3"/>
  <c r="U99" i="3" s="1"/>
  <c r="V99" i="3" s="1"/>
  <c r="W99" i="3" s="1"/>
  <c r="BQ99" i="3" s="1"/>
  <c r="P99" i="3"/>
  <c r="Q99" i="3" s="1"/>
  <c r="R99" i="3" s="1"/>
  <c r="S99" i="3" s="1"/>
  <c r="BP99" i="3" s="1"/>
  <c r="L99" i="3"/>
  <c r="M99" i="3" s="1"/>
  <c r="N99" i="3" s="1"/>
  <c r="O99" i="3" s="1"/>
  <c r="BO99" i="3" s="1"/>
  <c r="H99" i="3"/>
  <c r="I99" i="3" s="1"/>
  <c r="J99" i="3" s="1"/>
  <c r="K99" i="3" s="1"/>
  <c r="BN99" i="3" s="1"/>
  <c r="D99" i="3"/>
  <c r="E99" i="3" s="1"/>
  <c r="F99" i="3" s="1"/>
  <c r="G99" i="3" s="1"/>
  <c r="BM99" i="3" s="1"/>
  <c r="AZ98" i="3"/>
  <c r="BA98" i="3" s="1"/>
  <c r="BB98" i="3" s="1"/>
  <c r="BC98" i="3" s="1"/>
  <c r="BY98" i="3" s="1"/>
  <c r="AV98" i="3"/>
  <c r="AR98" i="3"/>
  <c r="AS98" i="3" s="1"/>
  <c r="AT98" i="3" s="1"/>
  <c r="AU98" i="3" s="1"/>
  <c r="BW98" i="3" s="1"/>
  <c r="AN98" i="3"/>
  <c r="AO98" i="3" s="1"/>
  <c r="AP98" i="3" s="1"/>
  <c r="AQ98" i="3" s="1"/>
  <c r="BV98" i="3" s="1"/>
  <c r="AJ98" i="3"/>
  <c r="AK98" i="3" s="1"/>
  <c r="AL98" i="3" s="1"/>
  <c r="AM98" i="3" s="1"/>
  <c r="BU98" i="3" s="1"/>
  <c r="AF98" i="3"/>
  <c r="AG98" i="3" s="1"/>
  <c r="AH98" i="3" s="1"/>
  <c r="AI98" i="3" s="1"/>
  <c r="BT98" i="3" s="1"/>
  <c r="AB98" i="3"/>
  <c r="AC98" i="3" s="1"/>
  <c r="AD98" i="3" s="1"/>
  <c r="AE98" i="3" s="1"/>
  <c r="BS98" i="3" s="1"/>
  <c r="X98" i="3"/>
  <c r="Y98" i="3" s="1"/>
  <c r="Z98" i="3" s="1"/>
  <c r="AA98" i="3" s="1"/>
  <c r="BR98" i="3" s="1"/>
  <c r="T98" i="3"/>
  <c r="U98" i="3" s="1"/>
  <c r="V98" i="3" s="1"/>
  <c r="W98" i="3" s="1"/>
  <c r="BQ98" i="3" s="1"/>
  <c r="P98" i="3"/>
  <c r="Q98" i="3" s="1"/>
  <c r="R98" i="3" s="1"/>
  <c r="S98" i="3" s="1"/>
  <c r="BP98" i="3" s="1"/>
  <c r="L98" i="3"/>
  <c r="M98" i="3" s="1"/>
  <c r="N98" i="3" s="1"/>
  <c r="O98" i="3" s="1"/>
  <c r="BO98" i="3" s="1"/>
  <c r="H98" i="3"/>
  <c r="I98" i="3" s="1"/>
  <c r="J98" i="3" s="1"/>
  <c r="K98" i="3" s="1"/>
  <c r="BN98" i="3" s="1"/>
  <c r="D98" i="3"/>
  <c r="E98" i="3" s="1"/>
  <c r="F98" i="3" s="1"/>
  <c r="G98" i="3" s="1"/>
  <c r="BM98" i="3" s="1"/>
  <c r="AR97" i="3"/>
  <c r="AS97" i="3" s="1"/>
  <c r="AT97" i="3" s="1"/>
  <c r="AN97" i="3"/>
  <c r="AO97" i="3" s="1"/>
  <c r="AP97" i="3" s="1"/>
  <c r="AQ97" i="3" s="1"/>
  <c r="BV97" i="3" s="1"/>
  <c r="AJ97" i="3"/>
  <c r="AK97" i="3" s="1"/>
  <c r="AL97" i="3" s="1"/>
  <c r="AM97" i="3" s="1"/>
  <c r="BU97" i="3" s="1"/>
  <c r="AF97" i="3"/>
  <c r="AG97" i="3" s="1"/>
  <c r="AH97" i="3" s="1"/>
  <c r="AI97" i="3" s="1"/>
  <c r="BT97" i="3" s="1"/>
  <c r="AB97" i="3"/>
  <c r="AC97" i="3" s="1"/>
  <c r="AD97" i="3" s="1"/>
  <c r="AE97" i="3" s="1"/>
  <c r="BS97" i="3" s="1"/>
  <c r="X97" i="3"/>
  <c r="Y97" i="3" s="1"/>
  <c r="Z97" i="3" s="1"/>
  <c r="AA97" i="3" s="1"/>
  <c r="BR97" i="3" s="1"/>
  <c r="T97" i="3"/>
  <c r="U97" i="3" s="1"/>
  <c r="V97" i="3" s="1"/>
  <c r="W97" i="3" s="1"/>
  <c r="BQ97" i="3" s="1"/>
  <c r="P97" i="3"/>
  <c r="Q97" i="3" s="1"/>
  <c r="R97" i="3" s="1"/>
  <c r="S97" i="3" s="1"/>
  <c r="BP97" i="3" s="1"/>
  <c r="L97" i="3"/>
  <c r="M97" i="3" s="1"/>
  <c r="N97" i="3" s="1"/>
  <c r="O97" i="3" s="1"/>
  <c r="BO97" i="3" s="1"/>
  <c r="H97" i="3"/>
  <c r="I97" i="3" s="1"/>
  <c r="J97" i="3" s="1"/>
  <c r="K97" i="3" s="1"/>
  <c r="BN97" i="3" s="1"/>
  <c r="D97" i="3"/>
  <c r="E97" i="3" s="1"/>
  <c r="F97" i="3" s="1"/>
  <c r="G97" i="3" s="1"/>
  <c r="BM97" i="3" s="1"/>
  <c r="AR96" i="3"/>
  <c r="AS96" i="3" s="1"/>
  <c r="AT96" i="3" s="1"/>
  <c r="AN96" i="3"/>
  <c r="AO96" i="3" s="1"/>
  <c r="AP96" i="3" s="1"/>
  <c r="AQ96" i="3" s="1"/>
  <c r="BV96" i="3" s="1"/>
  <c r="AJ96" i="3"/>
  <c r="AK96" i="3" s="1"/>
  <c r="AL96" i="3" s="1"/>
  <c r="AM96" i="3" s="1"/>
  <c r="BU96" i="3" s="1"/>
  <c r="AF96" i="3"/>
  <c r="AG96" i="3" s="1"/>
  <c r="AH96" i="3" s="1"/>
  <c r="AI96" i="3" s="1"/>
  <c r="BT96" i="3" s="1"/>
  <c r="AB96" i="3"/>
  <c r="AC96" i="3" s="1"/>
  <c r="AD96" i="3" s="1"/>
  <c r="AE96" i="3" s="1"/>
  <c r="BS96" i="3" s="1"/>
  <c r="T96" i="3"/>
  <c r="P96" i="3"/>
  <c r="Q96" i="3" s="1"/>
  <c r="R96" i="3" s="1"/>
  <c r="S96" i="3" s="1"/>
  <c r="BP96" i="3" s="1"/>
  <c r="L96" i="3"/>
  <c r="M96" i="3" s="1"/>
  <c r="N96" i="3" s="1"/>
  <c r="O96" i="3" s="1"/>
  <c r="BO96" i="3" s="1"/>
  <c r="H96" i="3"/>
  <c r="I96" i="3" s="1"/>
  <c r="J96" i="3" s="1"/>
  <c r="K96" i="3" s="1"/>
  <c r="BN96" i="3" s="1"/>
  <c r="D96" i="3"/>
  <c r="E96" i="3" s="1"/>
  <c r="F96" i="3" s="1"/>
  <c r="G96" i="3" s="1"/>
  <c r="BM96" i="3" s="1"/>
  <c r="AT83" i="3"/>
  <c r="AS83" i="3"/>
  <c r="AR83" i="3"/>
  <c r="AQ83" i="3"/>
  <c r="AP83" i="3"/>
  <c r="AO83" i="3"/>
  <c r="AN83" i="3"/>
  <c r="AM83" i="3"/>
  <c r="AM81" i="3" s="1"/>
  <c r="AM80" i="3" s="1"/>
  <c r="AL83" i="3"/>
  <c r="AK83" i="3"/>
  <c r="AJ83" i="3"/>
  <c r="AI83" i="3"/>
  <c r="AI81" i="3" s="1"/>
  <c r="AI80" i="3" s="1"/>
  <c r="AH83" i="3"/>
  <c r="AG83" i="3"/>
  <c r="AF83" i="3"/>
  <c r="AE83" i="3"/>
  <c r="AE81" i="3" s="1"/>
  <c r="AE80" i="3" s="1"/>
  <c r="AD83" i="3"/>
  <c r="AC83" i="3"/>
  <c r="AB83" i="3"/>
  <c r="AA83" i="3"/>
  <c r="Z83" i="3"/>
  <c r="Y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BQ73" i="3"/>
  <c r="BP73" i="3"/>
  <c r="BO73" i="3"/>
  <c r="BN73" i="3"/>
  <c r="BM73" i="3"/>
  <c r="AM73" i="3"/>
  <c r="AI73" i="3"/>
  <c r="AE73" i="3"/>
  <c r="W70" i="3"/>
  <c r="S70" i="3"/>
  <c r="BC69" i="3"/>
  <c r="BB69" i="3"/>
  <c r="BA69" i="3"/>
  <c r="AM69" i="3"/>
  <c r="AK69" i="3"/>
  <c r="AJ69" i="3"/>
  <c r="AI69" i="3"/>
  <c r="AF69" i="3"/>
  <c r="AE69" i="3"/>
  <c r="AB69" i="3"/>
  <c r="AA69" i="3"/>
  <c r="BU70" i="3"/>
  <c r="BT70" i="3"/>
  <c r="BS70" i="3"/>
  <c r="AM66" i="3"/>
  <c r="AM68" i="3" s="1"/>
  <c r="AL66" i="3"/>
  <c r="AL68" i="3" s="1"/>
  <c r="AK66" i="3"/>
  <c r="AK68" i="3" s="1"/>
  <c r="AJ66" i="3"/>
  <c r="AJ68" i="3" s="1"/>
  <c r="AI66" i="3"/>
  <c r="AI68" i="3" s="1"/>
  <c r="AH66" i="3"/>
  <c r="AH68" i="3" s="1"/>
  <c r="AG66" i="3"/>
  <c r="AG68" i="3" s="1"/>
  <c r="AF66" i="3"/>
  <c r="AF70" i="3" s="1"/>
  <c r="AF81" i="3" s="1"/>
  <c r="AE66" i="3"/>
  <c r="AE68" i="3" s="1"/>
  <c r="AD66" i="3"/>
  <c r="AD68" i="3" s="1"/>
  <c r="AC66" i="3"/>
  <c r="AC68" i="3" s="1"/>
  <c r="AB66" i="3"/>
  <c r="AB68" i="3" s="1"/>
  <c r="AA66" i="3"/>
  <c r="AA68" i="3" s="1"/>
  <c r="Z66" i="3"/>
  <c r="Z68" i="3" s="1"/>
  <c r="Y66" i="3"/>
  <c r="Y68" i="3" s="1"/>
  <c r="X66" i="3"/>
  <c r="W66" i="3"/>
  <c r="W68" i="3" s="1"/>
  <c r="V66" i="3"/>
  <c r="U66" i="3"/>
  <c r="U68" i="3" s="1"/>
  <c r="T66" i="3"/>
  <c r="T68" i="3" s="1"/>
  <c r="S66" i="3"/>
  <c r="S68" i="3" s="1"/>
  <c r="R66" i="3"/>
  <c r="R68" i="3" s="1"/>
  <c r="Q66" i="3"/>
  <c r="Q68" i="3" s="1"/>
  <c r="P66" i="3"/>
  <c r="P68" i="3" s="1"/>
  <c r="O66" i="3"/>
  <c r="O68" i="3" s="1"/>
  <c r="N66" i="3"/>
  <c r="N68" i="3" s="1"/>
  <c r="M66" i="3"/>
  <c r="M68" i="3" s="1"/>
  <c r="L66" i="3"/>
  <c r="L68" i="3" s="1"/>
  <c r="K66" i="3"/>
  <c r="K68" i="3" s="1"/>
  <c r="J66" i="3"/>
  <c r="J68" i="3" s="1"/>
  <c r="I66" i="3"/>
  <c r="I68" i="3" s="1"/>
  <c r="H66" i="3"/>
  <c r="H68" i="3" s="1"/>
  <c r="G66" i="3"/>
  <c r="G68" i="3" s="1"/>
  <c r="F66" i="3"/>
  <c r="F68" i="3" s="1"/>
  <c r="E66" i="3"/>
  <c r="E68" i="3" s="1"/>
  <c r="AT60" i="3"/>
  <c r="AS60" i="3"/>
  <c r="AR60" i="3"/>
  <c r="AQ60" i="3"/>
  <c r="AP60" i="3"/>
  <c r="AO60" i="3"/>
  <c r="AN60" i="3"/>
  <c r="AM60" i="3"/>
  <c r="AL60" i="3"/>
  <c r="AK60" i="3"/>
  <c r="AJ60" i="3"/>
  <c r="AT59" i="3"/>
  <c r="AS59" i="3"/>
  <c r="AR59" i="3"/>
  <c r="AQ59" i="3"/>
  <c r="AP59" i="3"/>
  <c r="AO59" i="3"/>
  <c r="AN59" i="3"/>
  <c r="AM59" i="3"/>
  <c r="AL59" i="3"/>
  <c r="AT58" i="3"/>
  <c r="AS58" i="3"/>
  <c r="AR58" i="3"/>
  <c r="AQ58" i="3"/>
  <c r="AP58" i="3"/>
  <c r="AO58" i="3"/>
  <c r="AN58" i="3"/>
  <c r="AM58" i="3"/>
  <c r="AL58" i="3"/>
  <c r="AK58" i="3"/>
  <c r="AJ58" i="3"/>
  <c r="B53" i="3"/>
  <c r="B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B50" i="3"/>
  <c r="B49" i="3"/>
  <c r="B48" i="3"/>
  <c r="B47" i="3"/>
  <c r="CN48" i="3"/>
  <c r="CN133" i="3" s="1"/>
  <c r="CM48" i="3"/>
  <c r="CM133" i="3" s="1"/>
  <c r="CL48" i="3"/>
  <c r="CL133" i="3" s="1"/>
  <c r="CK48" i="3"/>
  <c r="CK133" i="3" s="1"/>
  <c r="CJ48" i="3"/>
  <c r="CJ133" i="3" s="1"/>
  <c r="CI48" i="3"/>
  <c r="BY48" i="3"/>
  <c r="BW48" i="3"/>
  <c r="BV48" i="3"/>
  <c r="BU48" i="3"/>
  <c r="BT48" i="3"/>
  <c r="D47" i="3"/>
  <c r="BM47" i="3" s="1"/>
  <c r="CN45" i="3"/>
  <c r="CN130" i="3" s="1"/>
  <c r="CM45" i="3"/>
  <c r="CM130" i="3" s="1"/>
  <c r="CL45" i="3"/>
  <c r="CL130" i="3" s="1"/>
  <c r="CK45" i="3"/>
  <c r="CK130" i="3" s="1"/>
  <c r="CJ45" i="3"/>
  <c r="CJ130" i="3" s="1"/>
  <c r="CI45" i="3"/>
  <c r="CI130" i="3" s="1"/>
  <c r="CH45" i="3"/>
  <c r="CH130" i="3" s="1"/>
  <c r="CG45" i="3"/>
  <c r="CG130" i="3" s="1"/>
  <c r="CF45" i="3"/>
  <c r="CF130" i="3" s="1"/>
  <c r="CE45" i="3"/>
  <c r="CE130" i="3" s="1"/>
  <c r="CD45" i="3"/>
  <c r="CD130" i="3" s="1"/>
  <c r="CC45" i="3"/>
  <c r="CC130" i="3" s="1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45" i="3"/>
  <c r="AT43" i="3"/>
  <c r="AR43" i="3"/>
  <c r="AQ43" i="3"/>
  <c r="AO43" i="3"/>
  <c r="AN43" i="3"/>
  <c r="AK43" i="3"/>
  <c r="AH43" i="3"/>
  <c r="AG43" i="3"/>
  <c r="AF43" i="3"/>
  <c r="AE43" i="3"/>
  <c r="AD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B43" i="3"/>
  <c r="B42" i="3"/>
  <c r="B41" i="3"/>
  <c r="B40" i="3"/>
  <c r="B39" i="3"/>
  <c r="B38" i="3"/>
  <c r="B37" i="3"/>
  <c r="B36" i="3"/>
  <c r="B35" i="3"/>
  <c r="AS42" i="3"/>
  <c r="AM42" i="3"/>
  <c r="AM43" i="3" s="1"/>
  <c r="AL42" i="3"/>
  <c r="AJ42" i="3"/>
  <c r="AJ127" i="3" s="1"/>
  <c r="AK127" i="3" s="1"/>
  <c r="AI42" i="3"/>
  <c r="AI43" i="3" s="1"/>
  <c r="AC42" i="3"/>
  <c r="AC43" i="3" s="1"/>
  <c r="D42" i="3"/>
  <c r="CL42" i="3"/>
  <c r="CL127" i="3" s="1"/>
  <c r="CJ42" i="3"/>
  <c r="CJ127" i="3" s="1"/>
  <c r="CH42" i="3"/>
  <c r="CH127" i="3" s="1"/>
  <c r="CG42" i="3"/>
  <c r="CG127" i="3" s="1"/>
  <c r="CF42" i="3"/>
  <c r="CF127" i="3" s="1"/>
  <c r="CE42" i="3"/>
  <c r="CE127" i="3" s="1"/>
  <c r="CD42" i="3"/>
  <c r="CD127" i="3" s="1"/>
  <c r="CC42" i="3"/>
  <c r="CC127" i="3" s="1"/>
  <c r="CL41" i="3"/>
  <c r="CL126" i="3" s="1"/>
  <c r="CK41" i="3"/>
  <c r="CK126" i="3" s="1"/>
  <c r="CJ41" i="3"/>
  <c r="CJ126" i="3" s="1"/>
  <c r="CI41" i="3"/>
  <c r="CI126" i="3" s="1"/>
  <c r="CH41" i="3"/>
  <c r="CH126" i="3" s="1"/>
  <c r="CG41" i="3"/>
  <c r="CG126" i="3" s="1"/>
  <c r="CF41" i="3"/>
  <c r="CF126" i="3" s="1"/>
  <c r="CE41" i="3"/>
  <c r="CE126" i="3" s="1"/>
  <c r="CD41" i="3"/>
  <c r="CD126" i="3" s="1"/>
  <c r="CC41" i="3"/>
  <c r="CC126" i="3" s="1"/>
  <c r="CL40" i="3"/>
  <c r="CL125" i="3" s="1"/>
  <c r="CK40" i="3"/>
  <c r="CK125" i="3" s="1"/>
  <c r="CJ40" i="3"/>
  <c r="CJ125" i="3" s="1"/>
  <c r="CI40" i="3"/>
  <c r="CI125" i="3" s="1"/>
  <c r="CH40" i="3"/>
  <c r="CH125" i="3" s="1"/>
  <c r="CG40" i="3"/>
  <c r="CG125" i="3" s="1"/>
  <c r="CF40" i="3"/>
  <c r="CF125" i="3" s="1"/>
  <c r="CE40" i="3"/>
  <c r="CE125" i="3" s="1"/>
  <c r="CD40" i="3"/>
  <c r="CD125" i="3" s="1"/>
  <c r="CC40" i="3"/>
  <c r="CC125" i="3" s="1"/>
  <c r="CN39" i="3"/>
  <c r="CN124" i="3" s="1"/>
  <c r="CM39" i="3"/>
  <c r="CM124" i="3" s="1"/>
  <c r="CL39" i="3"/>
  <c r="CL124" i="3" s="1"/>
  <c r="CK39" i="3"/>
  <c r="CK124" i="3" s="1"/>
  <c r="CJ39" i="3"/>
  <c r="CJ124" i="3" s="1"/>
  <c r="CI39" i="3"/>
  <c r="CI124" i="3" s="1"/>
  <c r="CH39" i="3"/>
  <c r="CH124" i="3" s="1"/>
  <c r="CG39" i="3"/>
  <c r="CG124" i="3" s="1"/>
  <c r="CF39" i="3"/>
  <c r="CF124" i="3" s="1"/>
  <c r="CE39" i="3"/>
  <c r="CE124" i="3" s="1"/>
  <c r="CD39" i="3"/>
  <c r="CD124" i="3" s="1"/>
  <c r="CC39" i="3"/>
  <c r="CC124" i="3" s="1"/>
  <c r="CN38" i="3"/>
  <c r="CN123" i="3" s="1"/>
  <c r="CM38" i="3"/>
  <c r="CM123" i="3" s="1"/>
  <c r="CL38" i="3"/>
  <c r="CL123" i="3" s="1"/>
  <c r="CK38" i="3"/>
  <c r="CK123" i="3" s="1"/>
  <c r="CJ38" i="3"/>
  <c r="CJ123" i="3" s="1"/>
  <c r="CI38" i="3"/>
  <c r="CI123" i="3" s="1"/>
  <c r="CH38" i="3"/>
  <c r="CH123" i="3" s="1"/>
  <c r="CG38" i="3"/>
  <c r="CG123" i="3" s="1"/>
  <c r="CF38" i="3"/>
  <c r="CF123" i="3" s="1"/>
  <c r="CE38" i="3"/>
  <c r="CE123" i="3" s="1"/>
  <c r="CD38" i="3"/>
  <c r="CD123" i="3" s="1"/>
  <c r="CC38" i="3"/>
  <c r="CC123" i="3" s="1"/>
  <c r="CL37" i="3"/>
  <c r="CL122" i="3" s="1"/>
  <c r="CK37" i="3"/>
  <c r="CK122" i="3" s="1"/>
  <c r="CJ37" i="3"/>
  <c r="CJ122" i="3" s="1"/>
  <c r="CI37" i="3"/>
  <c r="CI122" i="3" s="1"/>
  <c r="CH37" i="3"/>
  <c r="CH122" i="3" s="1"/>
  <c r="CG37" i="3"/>
  <c r="CG122" i="3" s="1"/>
  <c r="CF37" i="3"/>
  <c r="CF122" i="3" s="1"/>
  <c r="CE37" i="3"/>
  <c r="CE122" i="3" s="1"/>
  <c r="CD37" i="3"/>
  <c r="CD122" i="3" s="1"/>
  <c r="CC37" i="3"/>
  <c r="CC122" i="3" s="1"/>
  <c r="CJ36" i="3"/>
  <c r="CJ121" i="3" s="1"/>
  <c r="CI36" i="3"/>
  <c r="CI121" i="3" s="1"/>
  <c r="CH36" i="3"/>
  <c r="CH121" i="3" s="1"/>
  <c r="CG36" i="3"/>
  <c r="CF36" i="3"/>
  <c r="CF121" i="3" s="1"/>
  <c r="CE36" i="3"/>
  <c r="CD36" i="3"/>
  <c r="CD121" i="3" s="1"/>
  <c r="CC36" i="3"/>
  <c r="CC121" i="3" s="1"/>
  <c r="BV42" i="3"/>
  <c r="BT42" i="3"/>
  <c r="BR42" i="3"/>
  <c r="BQ42" i="3"/>
  <c r="BP42" i="3"/>
  <c r="BO42" i="3"/>
  <c r="BN42" i="3"/>
  <c r="BV41" i="3"/>
  <c r="BU41" i="3"/>
  <c r="BT41" i="3"/>
  <c r="BS41" i="3"/>
  <c r="BR41" i="3"/>
  <c r="BQ41" i="3"/>
  <c r="BP41" i="3"/>
  <c r="BO41" i="3"/>
  <c r="BN41" i="3"/>
  <c r="BM41" i="3"/>
  <c r="BV40" i="3"/>
  <c r="BU40" i="3"/>
  <c r="BT40" i="3"/>
  <c r="BS40" i="3"/>
  <c r="BR40" i="3"/>
  <c r="BQ40" i="3"/>
  <c r="BP40" i="3"/>
  <c r="BO40" i="3"/>
  <c r="BN40" i="3"/>
  <c r="BM40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V37" i="3"/>
  <c r="BU37" i="3"/>
  <c r="BT37" i="3"/>
  <c r="BS37" i="3"/>
  <c r="BR37" i="3"/>
  <c r="BQ37" i="3"/>
  <c r="BP37" i="3"/>
  <c r="BO37" i="3"/>
  <c r="BN37" i="3"/>
  <c r="BM37" i="3"/>
  <c r="BT36" i="3"/>
  <c r="BS36" i="3"/>
  <c r="BR36" i="3"/>
  <c r="BQ36" i="3"/>
  <c r="BP36" i="3"/>
  <c r="BO36" i="3"/>
  <c r="BN36" i="3"/>
  <c r="AS36" i="3"/>
  <c r="AP36" i="3"/>
  <c r="AP43" i="3" s="1"/>
  <c r="AL36" i="3"/>
  <c r="D36" i="3"/>
  <c r="D121" i="3" s="1"/>
  <c r="E121" i="3" s="1"/>
  <c r="AQ33" i="3"/>
  <c r="AP33" i="3"/>
  <c r="AO33" i="3"/>
  <c r="AN33" i="3"/>
  <c r="AM33" i="3"/>
  <c r="AL33" i="3"/>
  <c r="AK33" i="3"/>
  <c r="AJ33" i="3"/>
  <c r="AH33" i="3"/>
  <c r="AG33" i="3"/>
  <c r="AF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E33" i="3"/>
  <c r="B33" i="3"/>
  <c r="B32" i="3"/>
  <c r="B31" i="3"/>
  <c r="B30" i="3"/>
  <c r="B29" i="3"/>
  <c r="B28" i="3"/>
  <c r="B27" i="3"/>
  <c r="AT32" i="3"/>
  <c r="AS32" i="3"/>
  <c r="AS33" i="3" s="1"/>
  <c r="AR32" i="3"/>
  <c r="F32" i="3"/>
  <c r="F33" i="3" s="1"/>
  <c r="AI29" i="3"/>
  <c r="BT29" i="3" s="1"/>
  <c r="AE29" i="3"/>
  <c r="AE33" i="3" s="1"/>
  <c r="CL32" i="3"/>
  <c r="CL117" i="3" s="1"/>
  <c r="CK32" i="3"/>
  <c r="CK117" i="3" s="1"/>
  <c r="CJ32" i="3"/>
  <c r="CJ117" i="3" s="1"/>
  <c r="CI32" i="3"/>
  <c r="CI117" i="3" s="1"/>
  <c r="CH32" i="3"/>
  <c r="CH117" i="3" s="1"/>
  <c r="CG32" i="3"/>
  <c r="CG117" i="3" s="1"/>
  <c r="CF32" i="3"/>
  <c r="CF117" i="3" s="1"/>
  <c r="CE32" i="3"/>
  <c r="CE117" i="3" s="1"/>
  <c r="CD32" i="3"/>
  <c r="CD117" i="3" s="1"/>
  <c r="CC32" i="3"/>
  <c r="CC117" i="3" s="1"/>
  <c r="CN31" i="3"/>
  <c r="CN116" i="3" s="1"/>
  <c r="CM31" i="3"/>
  <c r="CM116" i="3" s="1"/>
  <c r="CL31" i="3"/>
  <c r="CL116" i="3" s="1"/>
  <c r="CK31" i="3"/>
  <c r="CK116" i="3" s="1"/>
  <c r="CJ31" i="3"/>
  <c r="CJ116" i="3" s="1"/>
  <c r="CI31" i="3"/>
  <c r="CI116" i="3" s="1"/>
  <c r="CH31" i="3"/>
  <c r="CH116" i="3" s="1"/>
  <c r="CG31" i="3"/>
  <c r="CG116" i="3" s="1"/>
  <c r="CF31" i="3"/>
  <c r="CF116" i="3" s="1"/>
  <c r="CE31" i="3"/>
  <c r="CE116" i="3" s="1"/>
  <c r="CD31" i="3"/>
  <c r="CD116" i="3" s="1"/>
  <c r="CC31" i="3"/>
  <c r="CC116" i="3" s="1"/>
  <c r="CN30" i="3"/>
  <c r="CN115" i="3" s="1"/>
  <c r="CM30" i="3"/>
  <c r="CM115" i="3" s="1"/>
  <c r="CL30" i="3"/>
  <c r="CL115" i="3" s="1"/>
  <c r="CK30" i="3"/>
  <c r="CK115" i="3" s="1"/>
  <c r="CJ30" i="3"/>
  <c r="CJ115" i="3" s="1"/>
  <c r="CI30" i="3"/>
  <c r="CI115" i="3" s="1"/>
  <c r="CH30" i="3"/>
  <c r="CH115" i="3" s="1"/>
  <c r="CG30" i="3"/>
  <c r="CG115" i="3" s="1"/>
  <c r="CF30" i="3"/>
  <c r="CF115" i="3" s="1"/>
  <c r="CE30" i="3"/>
  <c r="CE115" i="3" s="1"/>
  <c r="CD30" i="3"/>
  <c r="CD115" i="3" s="1"/>
  <c r="CC30" i="3"/>
  <c r="CC115" i="3" s="1"/>
  <c r="CN29" i="3"/>
  <c r="CN114" i="3" s="1"/>
  <c r="CM29" i="3"/>
  <c r="CM114" i="3" s="1"/>
  <c r="CL29" i="3"/>
  <c r="CL114" i="3" s="1"/>
  <c r="CK29" i="3"/>
  <c r="CK114" i="3" s="1"/>
  <c r="CJ29" i="3"/>
  <c r="CJ114" i="3" s="1"/>
  <c r="CI29" i="3"/>
  <c r="CI114" i="3" s="1"/>
  <c r="CH29" i="3"/>
  <c r="CH114" i="3" s="1"/>
  <c r="CG29" i="3"/>
  <c r="CG114" i="3" s="1"/>
  <c r="CF29" i="3"/>
  <c r="CF114" i="3" s="1"/>
  <c r="CE29" i="3"/>
  <c r="CE114" i="3" s="1"/>
  <c r="CD29" i="3"/>
  <c r="CD114" i="3" s="1"/>
  <c r="CC29" i="3"/>
  <c r="CC114" i="3" s="1"/>
  <c r="CL28" i="3"/>
  <c r="CK28" i="3"/>
  <c r="CJ28" i="3"/>
  <c r="CJ60" i="3" s="1"/>
  <c r="CI28" i="3"/>
  <c r="CI113" i="3" s="1"/>
  <c r="CI118" i="3" s="1"/>
  <c r="CH28" i="3"/>
  <c r="CH66" i="3" s="1"/>
  <c r="CG28" i="3"/>
  <c r="CG113" i="3" s="1"/>
  <c r="CG118" i="3" s="1"/>
  <c r="CF28" i="3"/>
  <c r="CF60" i="3" s="1"/>
  <c r="CE28" i="3"/>
  <c r="CE113" i="3" s="1"/>
  <c r="CE118" i="3" s="1"/>
  <c r="CD28" i="3"/>
  <c r="CD66" i="3" s="1"/>
  <c r="CC28" i="3"/>
  <c r="CC113" i="3" s="1"/>
  <c r="CC118" i="3" s="1"/>
  <c r="BV32" i="3"/>
  <c r="BU32" i="3"/>
  <c r="BT32" i="3"/>
  <c r="BS32" i="3"/>
  <c r="BR32" i="3"/>
  <c r="BQ32" i="3"/>
  <c r="BP32" i="3"/>
  <c r="BO32" i="3"/>
  <c r="BN32" i="3"/>
  <c r="BM32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Y29" i="3"/>
  <c r="BX29" i="3"/>
  <c r="BW29" i="3"/>
  <c r="BV29" i="3"/>
  <c r="BU29" i="3"/>
  <c r="BS29" i="3"/>
  <c r="BR29" i="3"/>
  <c r="BQ29" i="3"/>
  <c r="BP29" i="3"/>
  <c r="BO29" i="3"/>
  <c r="BN29" i="3"/>
  <c r="BM29" i="3"/>
  <c r="BV28" i="3"/>
  <c r="BU28" i="3"/>
  <c r="BT28" i="3"/>
  <c r="BS28" i="3"/>
  <c r="BR28" i="3"/>
  <c r="BQ28" i="3"/>
  <c r="BP28" i="3"/>
  <c r="BO28" i="3"/>
  <c r="BN28" i="3"/>
  <c r="D28" i="3"/>
  <c r="D113" i="3" s="1"/>
  <c r="D118" i="3" s="1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AK23" i="3"/>
  <c r="CK23" i="3" s="1"/>
  <c r="CK108" i="3" s="1"/>
  <c r="AJ23" i="3"/>
  <c r="AJ59" i="3" s="1"/>
  <c r="CL24" i="3"/>
  <c r="CL109" i="3" s="1"/>
  <c r="CK24" i="3"/>
  <c r="CK109" i="3" s="1"/>
  <c r="CJ24" i="3"/>
  <c r="CJ109" i="3" s="1"/>
  <c r="CI24" i="3"/>
  <c r="CI109" i="3" s="1"/>
  <c r="CH24" i="3"/>
  <c r="CH109" i="3" s="1"/>
  <c r="CG24" i="3"/>
  <c r="CG109" i="3" s="1"/>
  <c r="CF24" i="3"/>
  <c r="CF109" i="3" s="1"/>
  <c r="CE24" i="3"/>
  <c r="CE109" i="3" s="1"/>
  <c r="CD24" i="3"/>
  <c r="CD109" i="3" s="1"/>
  <c r="CC24" i="3"/>
  <c r="CC109" i="3" s="1"/>
  <c r="CL23" i="3"/>
  <c r="CL108" i="3" s="1"/>
  <c r="CJ23" i="3"/>
  <c r="CJ108" i="3" s="1"/>
  <c r="CI23" i="3"/>
  <c r="CI108" i="3" s="1"/>
  <c r="CH23" i="3"/>
  <c r="CH108" i="3" s="1"/>
  <c r="CG23" i="3"/>
  <c r="CG108" i="3" s="1"/>
  <c r="CF23" i="3"/>
  <c r="CF108" i="3" s="1"/>
  <c r="CE23" i="3"/>
  <c r="CE108" i="3" s="1"/>
  <c r="CD23" i="3"/>
  <c r="CD108" i="3" s="1"/>
  <c r="CC23" i="3"/>
  <c r="CC108" i="3" s="1"/>
  <c r="CL22" i="3"/>
  <c r="CL107" i="3" s="1"/>
  <c r="CK22" i="3"/>
  <c r="CK107" i="3" s="1"/>
  <c r="CJ22" i="3"/>
  <c r="CJ107" i="3" s="1"/>
  <c r="CI22" i="3"/>
  <c r="CI107" i="3" s="1"/>
  <c r="CH22" i="3"/>
  <c r="CH107" i="3" s="1"/>
  <c r="CG22" i="3"/>
  <c r="CG107" i="3" s="1"/>
  <c r="CF22" i="3"/>
  <c r="CF107" i="3" s="1"/>
  <c r="CE22" i="3"/>
  <c r="CE107" i="3" s="1"/>
  <c r="CD22" i="3"/>
  <c r="CD107" i="3" s="1"/>
  <c r="CC22" i="3"/>
  <c r="CC107" i="3" s="1"/>
  <c r="CL21" i="3"/>
  <c r="CL106" i="3" s="1"/>
  <c r="CK21" i="3"/>
  <c r="CK106" i="3" s="1"/>
  <c r="CJ21" i="3"/>
  <c r="CJ106" i="3" s="1"/>
  <c r="CI21" i="3"/>
  <c r="CI106" i="3" s="1"/>
  <c r="CH21" i="3"/>
  <c r="CH106" i="3" s="1"/>
  <c r="CG21" i="3"/>
  <c r="CG106" i="3" s="1"/>
  <c r="CF21" i="3"/>
  <c r="CF106" i="3" s="1"/>
  <c r="CE21" i="3"/>
  <c r="CE106" i="3" s="1"/>
  <c r="CD21" i="3"/>
  <c r="CD106" i="3" s="1"/>
  <c r="CC21" i="3"/>
  <c r="CC106" i="3" s="1"/>
  <c r="CL20" i="3"/>
  <c r="CL105" i="3" s="1"/>
  <c r="CK20" i="3"/>
  <c r="CK105" i="3" s="1"/>
  <c r="CJ20" i="3"/>
  <c r="CJ105" i="3" s="1"/>
  <c r="CI20" i="3"/>
  <c r="CI105" i="3" s="1"/>
  <c r="CH20" i="3"/>
  <c r="CH105" i="3" s="1"/>
  <c r="CG20" i="3"/>
  <c r="CG105" i="3" s="1"/>
  <c r="CF20" i="3"/>
  <c r="CF105" i="3" s="1"/>
  <c r="CE20" i="3"/>
  <c r="CE105" i="3" s="1"/>
  <c r="CD20" i="3"/>
  <c r="CD105" i="3" s="1"/>
  <c r="CC20" i="3"/>
  <c r="CC105" i="3" s="1"/>
  <c r="CL19" i="3"/>
  <c r="CL104" i="3" s="1"/>
  <c r="CK19" i="3"/>
  <c r="CJ19" i="3"/>
  <c r="CJ104" i="3" s="1"/>
  <c r="CI19" i="3"/>
  <c r="CI104" i="3" s="1"/>
  <c r="CH19" i="3"/>
  <c r="CH104" i="3" s="1"/>
  <c r="CG19" i="3"/>
  <c r="CF19" i="3"/>
  <c r="CF104" i="3" s="1"/>
  <c r="CE19" i="3"/>
  <c r="CE104" i="3" s="1"/>
  <c r="CD19" i="3"/>
  <c r="CD104" i="3" s="1"/>
  <c r="CC19" i="3"/>
  <c r="BV24" i="3"/>
  <c r="BU24" i="3"/>
  <c r="BT24" i="3"/>
  <c r="BS24" i="3"/>
  <c r="BR24" i="3"/>
  <c r="BQ24" i="3"/>
  <c r="BP24" i="3"/>
  <c r="BO24" i="3"/>
  <c r="BN24" i="3"/>
  <c r="BM24" i="3"/>
  <c r="BV23" i="3"/>
  <c r="BT23" i="3"/>
  <c r="BS23" i="3"/>
  <c r="BR23" i="3"/>
  <c r="BQ23" i="3"/>
  <c r="BP23" i="3"/>
  <c r="BO23" i="3"/>
  <c r="BN23" i="3"/>
  <c r="BM23" i="3"/>
  <c r="BV22" i="3"/>
  <c r="BU22" i="3"/>
  <c r="BT22" i="3"/>
  <c r="BS22" i="3"/>
  <c r="BR22" i="3"/>
  <c r="BQ22" i="3"/>
  <c r="BP22" i="3"/>
  <c r="BO22" i="3"/>
  <c r="BN22" i="3"/>
  <c r="BM22" i="3"/>
  <c r="BV21" i="3"/>
  <c r="BU21" i="3"/>
  <c r="BT21" i="3"/>
  <c r="BS21" i="3"/>
  <c r="BR21" i="3"/>
  <c r="BQ21" i="3"/>
  <c r="BP21" i="3"/>
  <c r="BO21" i="3"/>
  <c r="BN21" i="3"/>
  <c r="BM21" i="3"/>
  <c r="BV20" i="3"/>
  <c r="BU20" i="3"/>
  <c r="BT20" i="3"/>
  <c r="BS20" i="3"/>
  <c r="BR20" i="3"/>
  <c r="BQ20" i="3"/>
  <c r="BP20" i="3"/>
  <c r="BO20" i="3"/>
  <c r="BN20" i="3"/>
  <c r="BM20" i="3"/>
  <c r="BV19" i="3"/>
  <c r="BU19" i="3"/>
  <c r="BT19" i="3"/>
  <c r="BS19" i="3"/>
  <c r="BR19" i="3"/>
  <c r="BQ19" i="3"/>
  <c r="BP19" i="3"/>
  <c r="BO19" i="3"/>
  <c r="BN19" i="3"/>
  <c r="BM19" i="3"/>
  <c r="AT17" i="3"/>
  <c r="AS17" i="3"/>
  <c r="AR17" i="3"/>
  <c r="AR102" i="3" s="1"/>
  <c r="AQ17" i="3"/>
  <c r="AP17" i="3"/>
  <c r="AO17" i="3"/>
  <c r="AN17" i="3"/>
  <c r="AN102" i="3" s="1"/>
  <c r="AM17" i="3"/>
  <c r="AK17" i="3"/>
  <c r="AJ17" i="3"/>
  <c r="AJ102" i="3" s="1"/>
  <c r="AI17" i="3"/>
  <c r="X17" i="3"/>
  <c r="X102" i="3" s="1"/>
  <c r="Y102" i="3" s="1"/>
  <c r="Z102" i="3" s="1"/>
  <c r="AA102" i="3" s="1"/>
  <c r="BR102" i="3" s="1"/>
  <c r="S17" i="3"/>
  <c r="Q17" i="3"/>
  <c r="Q102" i="3" s="1"/>
  <c r="R102" i="3" s="1"/>
  <c r="K17" i="3"/>
  <c r="J17" i="3"/>
  <c r="AQ16" i="3"/>
  <c r="AP16" i="3"/>
  <c r="AN16" i="3"/>
  <c r="AN101" i="3" s="1"/>
  <c r="AO101" i="3" s="1"/>
  <c r="AM16" i="3"/>
  <c r="BU16" i="3" s="1"/>
  <c r="AL16" i="3"/>
  <c r="AH16" i="3"/>
  <c r="CJ16" i="3" s="1"/>
  <c r="CJ101" i="3" s="1"/>
  <c r="AE16" i="3"/>
  <c r="AD16" i="3"/>
  <c r="CI16" i="3" s="1"/>
  <c r="CI101" i="3" s="1"/>
  <c r="AC16" i="3"/>
  <c r="CI17" i="3"/>
  <c r="CI102" i="3" s="1"/>
  <c r="CH17" i="3"/>
  <c r="CH102" i="3" s="1"/>
  <c r="CG17" i="3"/>
  <c r="CG102" i="3" s="1"/>
  <c r="CE17" i="3"/>
  <c r="CE102" i="3" s="1"/>
  <c r="CC17" i="3"/>
  <c r="CC102" i="3" s="1"/>
  <c r="CN16" i="3"/>
  <c r="CN101" i="3" s="1"/>
  <c r="CM16" i="3"/>
  <c r="CM101" i="3" s="1"/>
  <c r="CH16" i="3"/>
  <c r="CH101" i="3" s="1"/>
  <c r="CG16" i="3"/>
  <c r="CG101" i="3" s="1"/>
  <c r="CF16" i="3"/>
  <c r="CF101" i="3" s="1"/>
  <c r="CE16" i="3"/>
  <c r="CE101" i="3" s="1"/>
  <c r="CD16" i="3"/>
  <c r="CD101" i="3" s="1"/>
  <c r="CC16" i="3"/>
  <c r="CC101" i="3" s="1"/>
  <c r="CL15" i="3"/>
  <c r="CL100" i="3" s="1"/>
  <c r="CK15" i="3"/>
  <c r="CK58" i="3" s="1"/>
  <c r="CJ15" i="3"/>
  <c r="CJ100" i="3" s="1"/>
  <c r="CI15" i="3"/>
  <c r="CH15" i="3"/>
  <c r="CH100" i="3" s="1"/>
  <c r="CG15" i="3"/>
  <c r="CG58" i="3" s="1"/>
  <c r="CF15" i="3"/>
  <c r="CF100" i="3" s="1"/>
  <c r="CE15" i="3"/>
  <c r="CD15" i="3"/>
  <c r="CD100" i="3" s="1"/>
  <c r="CC15" i="3"/>
  <c r="CC58" i="3" s="1"/>
  <c r="CN14" i="3"/>
  <c r="CN99" i="3" s="1"/>
  <c r="CM14" i="3"/>
  <c r="CL14" i="3"/>
  <c r="CK14" i="3"/>
  <c r="CK69" i="3" s="1"/>
  <c r="CJ14" i="3"/>
  <c r="CJ99" i="3" s="1"/>
  <c r="CI14" i="3"/>
  <c r="CH14" i="3"/>
  <c r="CH99" i="3" s="1"/>
  <c r="CG14" i="3"/>
  <c r="CG69" i="3" s="1"/>
  <c r="CF14" i="3"/>
  <c r="CF99" i="3" s="1"/>
  <c r="CE14" i="3"/>
  <c r="CD14" i="3"/>
  <c r="CC14" i="3"/>
  <c r="CC69" i="3" s="1"/>
  <c r="CN13" i="3"/>
  <c r="CN98" i="3" s="1"/>
  <c r="CM13" i="3"/>
  <c r="CM98" i="3" s="1"/>
  <c r="CL13" i="3"/>
  <c r="CL98" i="3" s="1"/>
  <c r="CK13" i="3"/>
  <c r="CK98" i="3" s="1"/>
  <c r="CJ13" i="3"/>
  <c r="CJ98" i="3" s="1"/>
  <c r="CI13" i="3"/>
  <c r="CI98" i="3" s="1"/>
  <c r="CH13" i="3"/>
  <c r="CH98" i="3" s="1"/>
  <c r="CG13" i="3"/>
  <c r="CG98" i="3" s="1"/>
  <c r="CF13" i="3"/>
  <c r="CF98" i="3" s="1"/>
  <c r="CE13" i="3"/>
  <c r="CE98" i="3" s="1"/>
  <c r="CD13" i="3"/>
  <c r="CD98" i="3" s="1"/>
  <c r="CC13" i="3"/>
  <c r="CC98" i="3" s="1"/>
  <c r="CL12" i="3"/>
  <c r="CL97" i="3" s="1"/>
  <c r="CK12" i="3"/>
  <c r="CK97" i="3" s="1"/>
  <c r="CJ12" i="3"/>
  <c r="CJ97" i="3" s="1"/>
  <c r="CI12" i="3"/>
  <c r="CI97" i="3" s="1"/>
  <c r="CH12" i="3"/>
  <c r="CH97" i="3" s="1"/>
  <c r="CG12" i="3"/>
  <c r="CG97" i="3" s="1"/>
  <c r="CF12" i="3"/>
  <c r="CF97" i="3" s="1"/>
  <c r="CE12" i="3"/>
  <c r="CE97" i="3" s="1"/>
  <c r="CD12" i="3"/>
  <c r="CD97" i="3" s="1"/>
  <c r="CC12" i="3"/>
  <c r="CC97" i="3" s="1"/>
  <c r="CL11" i="3"/>
  <c r="CK11" i="3"/>
  <c r="CJ11" i="3"/>
  <c r="CI11" i="3"/>
  <c r="CH11" i="3"/>
  <c r="CF11" i="3"/>
  <c r="CE11" i="3"/>
  <c r="CD11" i="3"/>
  <c r="CD96" i="3" s="1"/>
  <c r="CC11" i="3"/>
  <c r="CC83" i="3" s="1"/>
  <c r="BY18" i="3"/>
  <c r="BX18" i="3"/>
  <c r="BW18" i="3"/>
  <c r="BY16" i="3"/>
  <c r="BX16" i="3"/>
  <c r="BW16" i="3"/>
  <c r="BY14" i="3"/>
  <c r="BY69" i="3" s="1"/>
  <c r="BX14" i="3"/>
  <c r="BX69" i="3" s="1"/>
  <c r="BW14" i="3"/>
  <c r="BW69" i="3" s="1"/>
  <c r="BY13" i="3"/>
  <c r="BX13" i="3"/>
  <c r="BW13" i="3"/>
  <c r="BT17" i="3"/>
  <c r="BS17" i="3"/>
  <c r="BQ17" i="3"/>
  <c r="BO17" i="3"/>
  <c r="BM17" i="3"/>
  <c r="BS16" i="3"/>
  <c r="BR16" i="3"/>
  <c r="BQ16" i="3"/>
  <c r="BP16" i="3"/>
  <c r="BO16" i="3"/>
  <c r="BN16" i="3"/>
  <c r="BM16" i="3"/>
  <c r="BV15" i="3"/>
  <c r="BU15" i="3"/>
  <c r="BT15" i="3"/>
  <c r="BS15" i="3"/>
  <c r="BR15" i="3"/>
  <c r="BQ15" i="3"/>
  <c r="BP15" i="3"/>
  <c r="BO15" i="3"/>
  <c r="BO58" i="3" s="1"/>
  <c r="BN15" i="3"/>
  <c r="BN58" i="3" s="1"/>
  <c r="BM15" i="3"/>
  <c r="BM58" i="3" s="1"/>
  <c r="BV14" i="3"/>
  <c r="BV69" i="3" s="1"/>
  <c r="BU14" i="3"/>
  <c r="BU69" i="3" s="1"/>
  <c r="BT14" i="3"/>
  <c r="BT69" i="3" s="1"/>
  <c r="BS14" i="3"/>
  <c r="BS69" i="3" s="1"/>
  <c r="BR14" i="3"/>
  <c r="BR69" i="3" s="1"/>
  <c r="BQ14" i="3"/>
  <c r="BQ69" i="3" s="1"/>
  <c r="BP14" i="3"/>
  <c r="BP69" i="3" s="1"/>
  <c r="BO14" i="3"/>
  <c r="BO69" i="3" s="1"/>
  <c r="BN14" i="3"/>
  <c r="BN69" i="3" s="1"/>
  <c r="BM14" i="3"/>
  <c r="BM69" i="3" s="1"/>
  <c r="BV13" i="3"/>
  <c r="BU13" i="3"/>
  <c r="BT13" i="3"/>
  <c r="BS13" i="3"/>
  <c r="BR13" i="3"/>
  <c r="BQ13" i="3"/>
  <c r="BP13" i="3"/>
  <c r="BO13" i="3"/>
  <c r="BN13" i="3"/>
  <c r="BM13" i="3"/>
  <c r="BV12" i="3"/>
  <c r="BU12" i="3"/>
  <c r="BT12" i="3"/>
  <c r="BS12" i="3"/>
  <c r="BR12" i="3"/>
  <c r="BQ12" i="3"/>
  <c r="BP12" i="3"/>
  <c r="BO12" i="3"/>
  <c r="BN12" i="3"/>
  <c r="BM12" i="3"/>
  <c r="BV11" i="3"/>
  <c r="BU11" i="3"/>
  <c r="BT11" i="3"/>
  <c r="BS11" i="3"/>
  <c r="BP11" i="3"/>
  <c r="BO11" i="3"/>
  <c r="BO83" i="3" s="1"/>
  <c r="BN11" i="3"/>
  <c r="BN83" i="3" s="1"/>
  <c r="BM11" i="3"/>
  <c r="BM83" i="3" s="1"/>
  <c r="BM81" i="3" s="1"/>
  <c r="BM80" i="3" s="1"/>
  <c r="BW12" i="3"/>
  <c r="X11" i="3"/>
  <c r="W11" i="3"/>
  <c r="V11" i="3"/>
  <c r="U11" i="3"/>
  <c r="BY117" i="2"/>
  <c r="BY153" i="3" s="1"/>
  <c r="BY289" i="55" s="1"/>
  <c r="BX117" i="2"/>
  <c r="BX153" i="3" s="1"/>
  <c r="BX289" i="55" s="1"/>
  <c r="BW117" i="2"/>
  <c r="BW153" i="3" s="1"/>
  <c r="BW289" i="55" s="1"/>
  <c r="BV117" i="2"/>
  <c r="BV153" i="3" s="1"/>
  <c r="BV289" i="55" s="1"/>
  <c r="BU117" i="2"/>
  <c r="BU153" i="3" s="1"/>
  <c r="BU289" i="55" s="1"/>
  <c r="BT117" i="2"/>
  <c r="BT153" i="3" s="1"/>
  <c r="BT289" i="55" s="1"/>
  <c r="BS117" i="2"/>
  <c r="BS153" i="3" s="1"/>
  <c r="BS289" i="55" s="1"/>
  <c r="BR117" i="2"/>
  <c r="BR153" i="3" s="1"/>
  <c r="BR289" i="55" s="1"/>
  <c r="BQ117" i="2"/>
  <c r="BQ153" i="3" s="1"/>
  <c r="BQ289" i="55" s="1"/>
  <c r="BP117" i="2"/>
  <c r="BP153" i="3" s="1"/>
  <c r="BP289" i="55" s="1"/>
  <c r="BO117" i="2"/>
  <c r="BO153" i="3" s="1"/>
  <c r="BO289" i="55" s="1"/>
  <c r="BN117" i="2"/>
  <c r="BN153" i="3" s="1"/>
  <c r="BN289" i="55" s="1"/>
  <c r="BM117" i="2"/>
  <c r="BM153" i="3" s="1"/>
  <c r="BM289" i="55" s="1"/>
  <c r="BC117" i="2"/>
  <c r="BC153" i="3" s="1"/>
  <c r="BC289" i="55" s="1"/>
  <c r="BB117" i="2"/>
  <c r="BB153" i="3" s="1"/>
  <c r="BB289" i="55" s="1"/>
  <c r="BA117" i="2"/>
  <c r="BA153" i="3" s="1"/>
  <c r="BA289" i="55" s="1"/>
  <c r="AZ117" i="2"/>
  <c r="AZ153" i="3" s="1"/>
  <c r="AZ289" i="55" s="1"/>
  <c r="AY117" i="2"/>
  <c r="AY153" i="3" s="1"/>
  <c r="AY289" i="55" s="1"/>
  <c r="AX117" i="2"/>
  <c r="AX153" i="3" s="1"/>
  <c r="AX289" i="55" s="1"/>
  <c r="AW117" i="2"/>
  <c r="AW153" i="3" s="1"/>
  <c r="AW289" i="55" s="1"/>
  <c r="AV117" i="2"/>
  <c r="AV153" i="3" s="1"/>
  <c r="AV289" i="55" s="1"/>
  <c r="AU117" i="2"/>
  <c r="AU153" i="3" s="1"/>
  <c r="AU289" i="55" s="1"/>
  <c r="AT117" i="2"/>
  <c r="AT153" i="3" s="1"/>
  <c r="AT289" i="55" s="1"/>
  <c r="AS117" i="2"/>
  <c r="AS153" i="3" s="1"/>
  <c r="AS289" i="55" s="1"/>
  <c r="AR117" i="2"/>
  <c r="AR153" i="3" s="1"/>
  <c r="AR289" i="55" s="1"/>
  <c r="AQ117" i="2"/>
  <c r="AQ153" i="3" s="1"/>
  <c r="AQ289" i="55" s="1"/>
  <c r="AP117" i="2"/>
  <c r="AP153" i="3" s="1"/>
  <c r="AP289" i="55" s="1"/>
  <c r="AO117" i="2"/>
  <c r="AO153" i="3" s="1"/>
  <c r="AO289" i="55" s="1"/>
  <c r="AN117" i="2"/>
  <c r="AN153" i="3" s="1"/>
  <c r="AN289" i="55" s="1"/>
  <c r="AM117" i="2"/>
  <c r="AM153" i="3" s="1"/>
  <c r="AM289" i="55" s="1"/>
  <c r="AL117" i="2"/>
  <c r="AL153" i="3" s="1"/>
  <c r="AL289" i="55" s="1"/>
  <c r="AK117" i="2"/>
  <c r="AK153" i="3" s="1"/>
  <c r="AK289" i="55" s="1"/>
  <c r="AJ117" i="2"/>
  <c r="AJ153" i="3" s="1"/>
  <c r="AJ289" i="55" s="1"/>
  <c r="AI117" i="2"/>
  <c r="AI153" i="3" s="1"/>
  <c r="AI289" i="55" s="1"/>
  <c r="AH117" i="2"/>
  <c r="AH153" i="3" s="1"/>
  <c r="AH289" i="55" s="1"/>
  <c r="AG117" i="2"/>
  <c r="AG153" i="3" s="1"/>
  <c r="AG289" i="55" s="1"/>
  <c r="AF117" i="2"/>
  <c r="AF153" i="3" s="1"/>
  <c r="AF289" i="55" s="1"/>
  <c r="AE117" i="2"/>
  <c r="AE153" i="3" s="1"/>
  <c r="AE289" i="55" s="1"/>
  <c r="AD117" i="2"/>
  <c r="AD153" i="3" s="1"/>
  <c r="AD289" i="55" s="1"/>
  <c r="AC117" i="2"/>
  <c r="AC153" i="3" s="1"/>
  <c r="AC289" i="55" s="1"/>
  <c r="AB117" i="2"/>
  <c r="AB153" i="3" s="1"/>
  <c r="AB289" i="55" s="1"/>
  <c r="AA117" i="2"/>
  <c r="AA153" i="3" s="1"/>
  <c r="AA289" i="55" s="1"/>
  <c r="Z117" i="2"/>
  <c r="Z153" i="3" s="1"/>
  <c r="Z289" i="55" s="1"/>
  <c r="Y117" i="2"/>
  <c r="Y153" i="3" s="1"/>
  <c r="Y289" i="55" s="1"/>
  <c r="X117" i="2"/>
  <c r="X153" i="3" s="1"/>
  <c r="X289" i="55" s="1"/>
  <c r="W117" i="2"/>
  <c r="W153" i="3" s="1"/>
  <c r="W289" i="55" s="1"/>
  <c r="V117" i="2"/>
  <c r="V153" i="3" s="1"/>
  <c r="V289" i="55" s="1"/>
  <c r="U117" i="2"/>
  <c r="U153" i="3" s="1"/>
  <c r="U289" i="55" s="1"/>
  <c r="T117" i="2"/>
  <c r="T153" i="3" s="1"/>
  <c r="T289" i="55" s="1"/>
  <c r="S117" i="2"/>
  <c r="S153" i="3" s="1"/>
  <c r="S289" i="55" s="1"/>
  <c r="R117" i="2"/>
  <c r="R153" i="3" s="1"/>
  <c r="R289" i="55" s="1"/>
  <c r="Q117" i="2"/>
  <c r="Q153" i="3" s="1"/>
  <c r="Q289" i="55" s="1"/>
  <c r="P117" i="2"/>
  <c r="P153" i="3" s="1"/>
  <c r="P289" i="55" s="1"/>
  <c r="O117" i="2"/>
  <c r="O153" i="3" s="1"/>
  <c r="O289" i="55" s="1"/>
  <c r="N117" i="2"/>
  <c r="N153" i="3" s="1"/>
  <c r="N289" i="55" s="1"/>
  <c r="M117" i="2"/>
  <c r="M153" i="3" s="1"/>
  <c r="M289" i="55" s="1"/>
  <c r="L117" i="2"/>
  <c r="L153" i="3" s="1"/>
  <c r="L289" i="55" s="1"/>
  <c r="K117" i="2"/>
  <c r="K153" i="3" s="1"/>
  <c r="K289" i="55" s="1"/>
  <c r="J117" i="2"/>
  <c r="J153" i="3" s="1"/>
  <c r="J289" i="55" s="1"/>
  <c r="I117" i="2"/>
  <c r="I153" i="3" s="1"/>
  <c r="I289" i="55" s="1"/>
  <c r="H117" i="2"/>
  <c r="H153" i="3" s="1"/>
  <c r="H289" i="55" s="1"/>
  <c r="G117" i="2"/>
  <c r="G153" i="3" s="1"/>
  <c r="G289" i="55" s="1"/>
  <c r="F117" i="2"/>
  <c r="F153" i="3" s="1"/>
  <c r="F289" i="55" s="1"/>
  <c r="E117" i="2"/>
  <c r="E153" i="3" s="1"/>
  <c r="E289" i="55" s="1"/>
  <c r="D117" i="2"/>
  <c r="D153" i="3" s="1"/>
  <c r="D289" i="55" s="1"/>
  <c r="CC97" i="2"/>
  <c r="CC98" i="2" s="1"/>
  <c r="BM97" i="2"/>
  <c r="BM98" i="2" s="1"/>
  <c r="E97" i="2"/>
  <c r="AT94" i="2"/>
  <c r="AT95" i="2" s="1"/>
  <c r="AS94" i="2"/>
  <c r="AS95" i="2" s="1"/>
  <c r="AR94" i="2"/>
  <c r="AR95" i="2" s="1"/>
  <c r="AQ94" i="2"/>
  <c r="AQ95" i="2" s="1"/>
  <c r="AP94" i="2"/>
  <c r="AP95" i="2" s="1"/>
  <c r="AO94" i="2"/>
  <c r="AO95" i="2" s="1"/>
  <c r="AN94" i="2"/>
  <c r="AN95" i="2" s="1"/>
  <c r="AM94" i="2"/>
  <c r="AM95" i="2" s="1"/>
  <c r="AL94" i="2"/>
  <c r="AL95" i="2" s="1"/>
  <c r="AK94" i="2"/>
  <c r="AK95" i="2" s="1"/>
  <c r="AJ94" i="2"/>
  <c r="AJ95" i="2" s="1"/>
  <c r="AI94" i="2"/>
  <c r="AI95" i="2" s="1"/>
  <c r="AH94" i="2"/>
  <c r="AH95" i="2" s="1"/>
  <c r="AG94" i="2"/>
  <c r="AG95" i="2" s="1"/>
  <c r="AF94" i="2"/>
  <c r="AF95" i="2" s="1"/>
  <c r="AE94" i="2"/>
  <c r="AE95" i="2" s="1"/>
  <c r="AD94" i="2"/>
  <c r="AD95" i="2" s="1"/>
  <c r="AC94" i="2"/>
  <c r="AC95" i="2" s="1"/>
  <c r="AB94" i="2"/>
  <c r="AB95" i="2" s="1"/>
  <c r="AA94" i="2"/>
  <c r="AA95" i="2" s="1"/>
  <c r="Z94" i="2"/>
  <c r="Z95" i="2" s="1"/>
  <c r="Y94" i="2"/>
  <c r="Y95" i="2" s="1"/>
  <c r="X94" i="2"/>
  <c r="X95" i="2" s="1"/>
  <c r="W94" i="2"/>
  <c r="W95" i="2" s="1"/>
  <c r="V94" i="2"/>
  <c r="V95" i="2" s="1"/>
  <c r="U94" i="2"/>
  <c r="U95" i="2" s="1"/>
  <c r="T94" i="2"/>
  <c r="T95" i="2" s="1"/>
  <c r="S94" i="2"/>
  <c r="S95" i="2" s="1"/>
  <c r="R94" i="2"/>
  <c r="R95" i="2" s="1"/>
  <c r="Q94" i="2"/>
  <c r="Q95" i="2" s="1"/>
  <c r="P94" i="2"/>
  <c r="P95" i="2" s="1"/>
  <c r="O94" i="2"/>
  <c r="O95" i="2" s="1"/>
  <c r="N94" i="2"/>
  <c r="N95" i="2" s="1"/>
  <c r="M94" i="2"/>
  <c r="M95" i="2" s="1"/>
  <c r="L94" i="2"/>
  <c r="L95" i="2" s="1"/>
  <c r="K94" i="2"/>
  <c r="K95" i="2" s="1"/>
  <c r="J94" i="2"/>
  <c r="J95" i="2" s="1"/>
  <c r="I94" i="2"/>
  <c r="I95" i="2" s="1"/>
  <c r="H94" i="2"/>
  <c r="H95" i="2" s="1"/>
  <c r="G94" i="2"/>
  <c r="G95" i="2" s="1"/>
  <c r="F94" i="2"/>
  <c r="F95" i="2" s="1"/>
  <c r="E94" i="2"/>
  <c r="E95" i="2" s="1"/>
  <c r="D94" i="2"/>
  <c r="D95" i="2" s="1"/>
  <c r="AT90" i="2"/>
  <c r="AT91" i="2" s="1"/>
  <c r="AS90" i="2"/>
  <c r="AS91" i="2" s="1"/>
  <c r="AR90" i="2"/>
  <c r="AR91" i="2" s="1"/>
  <c r="AQ90" i="2"/>
  <c r="AQ91" i="2" s="1"/>
  <c r="AP90" i="2"/>
  <c r="AP91" i="2" s="1"/>
  <c r="AO90" i="2"/>
  <c r="AO91" i="2" s="1"/>
  <c r="AN90" i="2"/>
  <c r="AN91" i="2" s="1"/>
  <c r="AM90" i="2"/>
  <c r="AM91" i="2" s="1"/>
  <c r="AL90" i="2"/>
  <c r="AL91" i="2" s="1"/>
  <c r="AK90" i="2"/>
  <c r="AK91" i="2" s="1"/>
  <c r="AJ90" i="2"/>
  <c r="AJ91" i="2" s="1"/>
  <c r="AI90" i="2"/>
  <c r="AI91" i="2" s="1"/>
  <c r="AH90" i="2"/>
  <c r="AH91" i="2" s="1"/>
  <c r="AG90" i="2"/>
  <c r="AG91" i="2" s="1"/>
  <c r="AF90" i="2"/>
  <c r="AF91" i="2" s="1"/>
  <c r="AE90" i="2"/>
  <c r="AE91" i="2" s="1"/>
  <c r="AD90" i="2"/>
  <c r="AD91" i="2" s="1"/>
  <c r="AC90" i="2"/>
  <c r="AC91" i="2" s="1"/>
  <c r="AB90" i="2"/>
  <c r="AB91" i="2" s="1"/>
  <c r="AA90" i="2"/>
  <c r="AA91" i="2" s="1"/>
  <c r="Z90" i="2"/>
  <c r="Z91" i="2" s="1"/>
  <c r="Y90" i="2"/>
  <c r="Y91" i="2" s="1"/>
  <c r="X90" i="2"/>
  <c r="X91" i="2" s="1"/>
  <c r="W90" i="2"/>
  <c r="W91" i="2" s="1"/>
  <c r="V90" i="2"/>
  <c r="V91" i="2" s="1"/>
  <c r="U90" i="2"/>
  <c r="U91" i="2" s="1"/>
  <c r="T90" i="2"/>
  <c r="T91" i="2" s="1"/>
  <c r="S90" i="2"/>
  <c r="S91" i="2" s="1"/>
  <c r="R90" i="2"/>
  <c r="R91" i="2" s="1"/>
  <c r="Q90" i="2"/>
  <c r="Q91" i="2" s="1"/>
  <c r="P90" i="2"/>
  <c r="P91" i="2" s="1"/>
  <c r="O90" i="2"/>
  <c r="O91" i="2" s="1"/>
  <c r="N90" i="2"/>
  <c r="N91" i="2" s="1"/>
  <c r="M90" i="2"/>
  <c r="M91" i="2" s="1"/>
  <c r="L90" i="2"/>
  <c r="L91" i="2" s="1"/>
  <c r="K90" i="2"/>
  <c r="K91" i="2" s="1"/>
  <c r="J90" i="2"/>
  <c r="J91" i="2" s="1"/>
  <c r="I90" i="2"/>
  <c r="I91" i="2" s="1"/>
  <c r="H90" i="2"/>
  <c r="H91" i="2" s="1"/>
  <c r="G90" i="2"/>
  <c r="G91" i="2" s="1"/>
  <c r="F90" i="2"/>
  <c r="F91" i="2" s="1"/>
  <c r="E90" i="2"/>
  <c r="E91" i="2" s="1"/>
  <c r="AT81" i="2"/>
  <c r="AS81" i="2"/>
  <c r="AR81" i="2"/>
  <c r="AQ81" i="2"/>
  <c r="BV81" i="2" s="1"/>
  <c r="AP81" i="2"/>
  <c r="AL81" i="2"/>
  <c r="AK81" i="2"/>
  <c r="AJ81" i="2"/>
  <c r="AI81" i="2"/>
  <c r="BT81" i="2" s="1"/>
  <c r="AH81" i="2"/>
  <c r="AG81" i="2"/>
  <c r="AF81" i="2"/>
  <c r="AE81" i="2"/>
  <c r="BS81" i="2" s="1"/>
  <c r="AD81" i="2"/>
  <c r="AC81" i="2"/>
  <c r="AB81" i="2"/>
  <c r="AA81" i="2"/>
  <c r="BR81" i="2" s="1"/>
  <c r="Z81" i="2"/>
  <c r="Y81" i="2"/>
  <c r="X81" i="2"/>
  <c r="W81" i="2"/>
  <c r="BQ81" i="2" s="1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AT80" i="2"/>
  <c r="AT82" i="2" s="1"/>
  <c r="AS80" i="2"/>
  <c r="AS82" i="2" s="1"/>
  <c r="AR80" i="2"/>
  <c r="AR82" i="2" s="1"/>
  <c r="AQ80" i="2"/>
  <c r="AQ82" i="2" s="1"/>
  <c r="AP80" i="2"/>
  <c r="AP82" i="2" s="1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AT72" i="2"/>
  <c r="AT75" i="2" s="1"/>
  <c r="AS72" i="2"/>
  <c r="AS75" i="2" s="1"/>
  <c r="AR72" i="2"/>
  <c r="AR75" i="2" s="1"/>
  <c r="AQ72" i="2"/>
  <c r="AQ75" i="2" s="1"/>
  <c r="AP72" i="2"/>
  <c r="AP75" i="2" s="1"/>
  <c r="AO72" i="2"/>
  <c r="AO75" i="2" s="1"/>
  <c r="AN72" i="2"/>
  <c r="AN75" i="2" s="1"/>
  <c r="AM72" i="2"/>
  <c r="AL72" i="2"/>
  <c r="AL75" i="2" s="1"/>
  <c r="AK72" i="2"/>
  <c r="AK75" i="2" s="1"/>
  <c r="AJ72" i="2"/>
  <c r="AJ75" i="2" s="1"/>
  <c r="AI72" i="2"/>
  <c r="AI75" i="2" s="1"/>
  <c r="AH72" i="2"/>
  <c r="AH75" i="2" s="1"/>
  <c r="AG72" i="2"/>
  <c r="AG75" i="2" s="1"/>
  <c r="AF72" i="2"/>
  <c r="AF75" i="2" s="1"/>
  <c r="AE72" i="2"/>
  <c r="AE75" i="2" s="1"/>
  <c r="AD72" i="2"/>
  <c r="AD75" i="2" s="1"/>
  <c r="AC72" i="2"/>
  <c r="AC75" i="2" s="1"/>
  <c r="AB72" i="2"/>
  <c r="AB75" i="2" s="1"/>
  <c r="AA72" i="2"/>
  <c r="AA75" i="2" s="1"/>
  <c r="Z72" i="2"/>
  <c r="Z75" i="2" s="1"/>
  <c r="Y72" i="2"/>
  <c r="Y75" i="2" s="1"/>
  <c r="X72" i="2"/>
  <c r="X75" i="2" s="1"/>
  <c r="W72" i="2"/>
  <c r="W75" i="2" s="1"/>
  <c r="V72" i="2"/>
  <c r="V75" i="2" s="1"/>
  <c r="U72" i="2"/>
  <c r="U75" i="2" s="1"/>
  <c r="T72" i="2"/>
  <c r="T75" i="2" s="1"/>
  <c r="S72" i="2"/>
  <c r="S75" i="2" s="1"/>
  <c r="R72" i="2"/>
  <c r="R75" i="2" s="1"/>
  <c r="Q72" i="2"/>
  <c r="Q75" i="2" s="1"/>
  <c r="P72" i="2"/>
  <c r="P75" i="2" s="1"/>
  <c r="O72" i="2"/>
  <c r="O75" i="2" s="1"/>
  <c r="N72" i="2"/>
  <c r="N75" i="2" s="1"/>
  <c r="M72" i="2"/>
  <c r="M75" i="2" s="1"/>
  <c r="L72" i="2"/>
  <c r="L75" i="2" s="1"/>
  <c r="K72" i="2"/>
  <c r="K75" i="2" s="1"/>
  <c r="J72" i="2"/>
  <c r="J75" i="2" s="1"/>
  <c r="I72" i="2"/>
  <c r="I75" i="2" s="1"/>
  <c r="H72" i="2"/>
  <c r="H75" i="2" s="1"/>
  <c r="G72" i="2"/>
  <c r="G75" i="2" s="1"/>
  <c r="F72" i="2"/>
  <c r="F75" i="2" s="1"/>
  <c r="E72" i="2"/>
  <c r="E75" i="2" s="1"/>
  <c r="D72" i="2"/>
  <c r="D75" i="2" s="1"/>
  <c r="AT67" i="2"/>
  <c r="AS67" i="2"/>
  <c r="AR67" i="2"/>
  <c r="AQ67" i="2"/>
  <c r="BV67" i="2" s="1"/>
  <c r="AP67" i="2"/>
  <c r="AO67" i="2"/>
  <c r="AN67" i="2"/>
  <c r="AM67" i="2"/>
  <c r="BU67" i="2" s="1"/>
  <c r="AL67" i="2"/>
  <c r="AK67" i="2"/>
  <c r="AJ67" i="2"/>
  <c r="AI67" i="2"/>
  <c r="BT67" i="2" s="1"/>
  <c r="AH67" i="2"/>
  <c r="AG67" i="2"/>
  <c r="AF67" i="2"/>
  <c r="AE67" i="2"/>
  <c r="BS67" i="2" s="1"/>
  <c r="AD67" i="2"/>
  <c r="AC67" i="2"/>
  <c r="AB67" i="2"/>
  <c r="AA67" i="2"/>
  <c r="BR67" i="2" s="1"/>
  <c r="Z67" i="2"/>
  <c r="Y67" i="2"/>
  <c r="X67" i="2"/>
  <c r="W67" i="2"/>
  <c r="BQ67" i="2" s="1"/>
  <c r="V67" i="2"/>
  <c r="U67" i="2"/>
  <c r="T67" i="2"/>
  <c r="S67" i="2"/>
  <c r="BP67" i="2" s="1"/>
  <c r="R67" i="2"/>
  <c r="Q67" i="2"/>
  <c r="P67" i="2"/>
  <c r="O67" i="2"/>
  <c r="BO67" i="2" s="1"/>
  <c r="N67" i="2"/>
  <c r="M67" i="2"/>
  <c r="L67" i="2"/>
  <c r="K67" i="2"/>
  <c r="BN67" i="2" s="1"/>
  <c r="J67" i="2"/>
  <c r="I67" i="2"/>
  <c r="H67" i="2"/>
  <c r="G67" i="2"/>
  <c r="BM67" i="2" s="1"/>
  <c r="F67" i="2"/>
  <c r="E67" i="2"/>
  <c r="D67" i="2"/>
  <c r="CL64" i="2"/>
  <c r="CK64" i="2"/>
  <c r="CJ64" i="2"/>
  <c r="CI64" i="2"/>
  <c r="CH64" i="2"/>
  <c r="CG64" i="2"/>
  <c r="CF64" i="2"/>
  <c r="CE64" i="2"/>
  <c r="CD64" i="2"/>
  <c r="CC64" i="2"/>
  <c r="CL63" i="2"/>
  <c r="CK63" i="2"/>
  <c r="CJ63" i="2"/>
  <c r="CI63" i="2"/>
  <c r="CH63" i="2"/>
  <c r="CG63" i="2"/>
  <c r="CF63" i="2"/>
  <c r="CE63" i="2"/>
  <c r="CD63" i="2"/>
  <c r="CC63" i="2"/>
  <c r="CG62" i="2"/>
  <c r="CF62" i="2"/>
  <c r="CE62" i="2"/>
  <c r="CD62" i="2"/>
  <c r="CC62" i="2"/>
  <c r="BV64" i="2"/>
  <c r="BU64" i="2"/>
  <c r="BT64" i="2"/>
  <c r="BS64" i="2"/>
  <c r="BR64" i="2"/>
  <c r="BQ64" i="2"/>
  <c r="BP64" i="2"/>
  <c r="BO64" i="2"/>
  <c r="BN64" i="2"/>
  <c r="BM64" i="2"/>
  <c r="BV63" i="2"/>
  <c r="BU63" i="2"/>
  <c r="BT63" i="2"/>
  <c r="BS63" i="2"/>
  <c r="BR63" i="2"/>
  <c r="BQ63" i="2"/>
  <c r="BP63" i="2"/>
  <c r="BO63" i="2"/>
  <c r="BN63" i="2"/>
  <c r="BM63" i="2"/>
  <c r="BW62" i="2"/>
  <c r="BV62" i="2"/>
  <c r="BU62" i="2"/>
  <c r="BT62" i="2"/>
  <c r="BS62" i="2"/>
  <c r="BR62" i="2"/>
  <c r="BQ62" i="2"/>
  <c r="BP62" i="2"/>
  <c r="BO62" i="2"/>
  <c r="BN62" i="2"/>
  <c r="BM62" i="2"/>
  <c r="AW62" i="2"/>
  <c r="AX62" i="2" s="1"/>
  <c r="AY62" i="2" s="1"/>
  <c r="AR62" i="2"/>
  <c r="CL62" i="2" s="1"/>
  <c r="AN62" i="2"/>
  <c r="CK62" i="2" s="1"/>
  <c r="AJ62" i="2"/>
  <c r="CJ62" i="2" s="1"/>
  <c r="AF62" i="2"/>
  <c r="CI62" i="2" s="1"/>
  <c r="AB62" i="2"/>
  <c r="CH62" i="2" s="1"/>
  <c r="AP60" i="2"/>
  <c r="AP65" i="2" s="1"/>
  <c r="AL60" i="2"/>
  <c r="AL65" i="2" s="1"/>
  <c r="AH60" i="2"/>
  <c r="AH65" i="2" s="1"/>
  <c r="AG60" i="2"/>
  <c r="AE60" i="2"/>
  <c r="AD60" i="2"/>
  <c r="AD65" i="2" s="1"/>
  <c r="AC60" i="2"/>
  <c r="AA60" i="2"/>
  <c r="Z60" i="2"/>
  <c r="Z65" i="2" s="1"/>
  <c r="Y60" i="2"/>
  <c r="X60" i="2"/>
  <c r="X65" i="2" s="1"/>
  <c r="W60" i="2"/>
  <c r="V60" i="2"/>
  <c r="V65" i="2" s="1"/>
  <c r="U60" i="2"/>
  <c r="T60" i="2"/>
  <c r="T65" i="2" s="1"/>
  <c r="S60" i="2"/>
  <c r="R60" i="2"/>
  <c r="R65" i="2" s="1"/>
  <c r="Q60" i="2"/>
  <c r="P60" i="2"/>
  <c r="P65" i="2" s="1"/>
  <c r="O60" i="2"/>
  <c r="N60" i="2"/>
  <c r="N65" i="2" s="1"/>
  <c r="M60" i="2"/>
  <c r="L60" i="2"/>
  <c r="L65" i="2" s="1"/>
  <c r="K60" i="2"/>
  <c r="J60" i="2"/>
  <c r="J65" i="2" s="1"/>
  <c r="I60" i="2"/>
  <c r="H60" i="2"/>
  <c r="H65" i="2" s="1"/>
  <c r="G60" i="2"/>
  <c r="F60" i="2"/>
  <c r="F65" i="2" s="1"/>
  <c r="E60" i="2"/>
  <c r="D60" i="2"/>
  <c r="D65" i="2" s="1"/>
  <c r="AT57" i="2"/>
  <c r="AS57" i="2"/>
  <c r="AQ56" i="2"/>
  <c r="BV56" i="2" s="1"/>
  <c r="AM56" i="2"/>
  <c r="AM60" i="2" s="1"/>
  <c r="AI56" i="2"/>
  <c r="BT56" i="2" s="1"/>
  <c r="AF56" i="2"/>
  <c r="AF60" i="2" s="1"/>
  <c r="AF65" i="2" s="1"/>
  <c r="AB56" i="2"/>
  <c r="AB60" i="2" s="1"/>
  <c r="AB65" i="2" s="1"/>
  <c r="CL59" i="2"/>
  <c r="CK59" i="2"/>
  <c r="CJ59" i="2"/>
  <c r="CI59" i="2"/>
  <c r="CH59" i="2"/>
  <c r="CG59" i="2"/>
  <c r="CF59" i="2"/>
  <c r="CE59" i="2"/>
  <c r="CD59" i="2"/>
  <c r="CC59" i="2"/>
  <c r="CL58" i="2"/>
  <c r="CK58" i="2"/>
  <c r="CJ58" i="2"/>
  <c r="CI58" i="2"/>
  <c r="CH58" i="2"/>
  <c r="CG58" i="2"/>
  <c r="CF58" i="2"/>
  <c r="CE58" i="2"/>
  <c r="CD58" i="2"/>
  <c r="CC58" i="2"/>
  <c r="CL57" i="2"/>
  <c r="CK57" i="2"/>
  <c r="CJ57" i="2"/>
  <c r="CI57" i="2"/>
  <c r="CH57" i="2"/>
  <c r="CG57" i="2"/>
  <c r="CF57" i="2"/>
  <c r="CE57" i="2"/>
  <c r="CD57" i="2"/>
  <c r="CC57" i="2"/>
  <c r="CI56" i="2"/>
  <c r="CH56" i="2"/>
  <c r="CG56" i="2"/>
  <c r="CF56" i="2"/>
  <c r="CE56" i="2"/>
  <c r="CD56" i="2"/>
  <c r="CC56" i="2"/>
  <c r="BV59" i="2"/>
  <c r="BU59" i="2"/>
  <c r="BT59" i="2"/>
  <c r="BS59" i="2"/>
  <c r="BR59" i="2"/>
  <c r="BQ59" i="2"/>
  <c r="BP59" i="2"/>
  <c r="BO59" i="2"/>
  <c r="BN59" i="2"/>
  <c r="BM59" i="2"/>
  <c r="BW58" i="2"/>
  <c r="BV58" i="2"/>
  <c r="BU58" i="2"/>
  <c r="BT58" i="2"/>
  <c r="BS58" i="2"/>
  <c r="BR58" i="2"/>
  <c r="BQ58" i="2"/>
  <c r="BP58" i="2"/>
  <c r="BO58" i="2"/>
  <c r="BN58" i="2"/>
  <c r="BM58" i="2"/>
  <c r="BV57" i="2"/>
  <c r="BU57" i="2"/>
  <c r="BT57" i="2"/>
  <c r="BS57" i="2"/>
  <c r="BR57" i="2"/>
  <c r="BQ57" i="2"/>
  <c r="BP57" i="2"/>
  <c r="BO57" i="2"/>
  <c r="BN57" i="2"/>
  <c r="BM57" i="2"/>
  <c r="BS56" i="2"/>
  <c r="BR56" i="2"/>
  <c r="BQ56" i="2"/>
  <c r="BP56" i="2"/>
  <c r="BO56" i="2"/>
  <c r="BN56" i="2"/>
  <c r="BM56" i="2"/>
  <c r="CM56" i="2"/>
  <c r="AT51" i="2"/>
  <c r="AT44" i="2" s="1"/>
  <c r="AS51" i="2"/>
  <c r="AS44" i="2" s="1"/>
  <c r="AR51" i="2"/>
  <c r="AR44" i="2" s="1"/>
  <c r="AQ51" i="2"/>
  <c r="AP51" i="2"/>
  <c r="AP44" i="2" s="1"/>
  <c r="AO51" i="2"/>
  <c r="AO44" i="2" s="1"/>
  <c r="AN51" i="2"/>
  <c r="AN44" i="2" s="1"/>
  <c r="AM51" i="2"/>
  <c r="AL51" i="2"/>
  <c r="AL44" i="2" s="1"/>
  <c r="AK51" i="2"/>
  <c r="AK48" i="2" s="1"/>
  <c r="AJ51" i="2"/>
  <c r="AJ44" i="2" s="1"/>
  <c r="AI51" i="2"/>
  <c r="AI48" i="2" s="1"/>
  <c r="AH51" i="2"/>
  <c r="AH48" i="2" s="1"/>
  <c r="AG51" i="2"/>
  <c r="AG48" i="2" s="1"/>
  <c r="AF51" i="2"/>
  <c r="AF48" i="2" s="1"/>
  <c r="AE51" i="2"/>
  <c r="AE48" i="2" s="1"/>
  <c r="AD51" i="2"/>
  <c r="AD48" i="2" s="1"/>
  <c r="AC51" i="2"/>
  <c r="AC48" i="2" s="1"/>
  <c r="AB51" i="2"/>
  <c r="AB48" i="2" s="1"/>
  <c r="AA51" i="2"/>
  <c r="AA48" i="2" s="1"/>
  <c r="Z51" i="2"/>
  <c r="Z48" i="2" s="1"/>
  <c r="Y51" i="2"/>
  <c r="Y48" i="2" s="1"/>
  <c r="X51" i="2"/>
  <c r="X48" i="2" s="1"/>
  <c r="W51" i="2"/>
  <c r="W48" i="2" s="1"/>
  <c r="V51" i="2"/>
  <c r="V48" i="2" s="1"/>
  <c r="U51" i="2"/>
  <c r="U48" i="2" s="1"/>
  <c r="T51" i="2"/>
  <c r="T48" i="2" s="1"/>
  <c r="S51" i="2"/>
  <c r="S48" i="2" s="1"/>
  <c r="R51" i="2"/>
  <c r="R48" i="2" s="1"/>
  <c r="Q51" i="2"/>
  <c r="Q48" i="2" s="1"/>
  <c r="P51" i="2"/>
  <c r="P48" i="2" s="1"/>
  <c r="O51" i="2"/>
  <c r="O48" i="2" s="1"/>
  <c r="N51" i="2"/>
  <c r="N48" i="2" s="1"/>
  <c r="M51" i="2"/>
  <c r="M48" i="2" s="1"/>
  <c r="L51" i="2"/>
  <c r="L48" i="2" s="1"/>
  <c r="K51" i="2"/>
  <c r="K44" i="2" s="1"/>
  <c r="J51" i="2"/>
  <c r="J48" i="2" s="1"/>
  <c r="I51" i="2"/>
  <c r="I48" i="2" s="1"/>
  <c r="H51" i="2"/>
  <c r="H48" i="2" s="1"/>
  <c r="G51" i="2"/>
  <c r="G48" i="2" s="1"/>
  <c r="F51" i="2"/>
  <c r="F48" i="2" s="1"/>
  <c r="E51" i="2"/>
  <c r="E44" i="2" s="1"/>
  <c r="D51" i="2"/>
  <c r="D44" i="2" s="1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AJ48" i="2"/>
  <c r="BA48" i="2"/>
  <c r="BB48" i="2" s="1"/>
  <c r="BC48" i="2" s="1"/>
  <c r="BD48" i="2" s="1"/>
  <c r="BE48" i="2" s="1"/>
  <c r="BF48" i="2" s="1"/>
  <c r="BG48" i="2" s="1"/>
  <c r="BH48" i="2" s="1"/>
  <c r="BI48" i="2" s="1"/>
  <c r="BJ48" i="2" s="1"/>
  <c r="BK48" i="2" s="1"/>
  <c r="AQ44" i="2"/>
  <c r="AM44" i="2"/>
  <c r="AI44" i="2"/>
  <c r="AE44" i="2"/>
  <c r="AA44" i="2"/>
  <c r="U44" i="2"/>
  <c r="L44" i="2"/>
  <c r="CL36" i="2"/>
  <c r="CK36" i="2"/>
  <c r="CJ36" i="2"/>
  <c r="CI36" i="2"/>
  <c r="CH36" i="2"/>
  <c r="CG36" i="2"/>
  <c r="CF36" i="2"/>
  <c r="CE36" i="2"/>
  <c r="CD36" i="2"/>
  <c r="CC36" i="2"/>
  <c r="BV36" i="2"/>
  <c r="BU36" i="2"/>
  <c r="BT36" i="2"/>
  <c r="BS36" i="2"/>
  <c r="BR36" i="2"/>
  <c r="BQ36" i="2"/>
  <c r="BP36" i="2"/>
  <c r="BO36" i="2"/>
  <c r="BN36" i="2"/>
  <c r="BM36" i="2"/>
  <c r="AT34" i="2"/>
  <c r="AT49" i="2" s="1"/>
  <c r="AS34" i="2"/>
  <c r="AR34" i="2"/>
  <c r="AQ34" i="2"/>
  <c r="AQ49" i="2" s="1"/>
  <c r="AP34" i="2"/>
  <c r="AP49" i="2" s="1"/>
  <c r="AO34" i="2"/>
  <c r="AN34" i="2"/>
  <c r="AN49" i="2" s="1"/>
  <c r="AM34" i="2"/>
  <c r="AM49" i="2" s="1"/>
  <c r="AL34" i="2"/>
  <c r="AL49" i="2" s="1"/>
  <c r="AS33" i="2"/>
  <c r="AO33" i="2"/>
  <c r="AK33" i="2"/>
  <c r="AK34" i="2" s="1"/>
  <c r="CK34" i="2"/>
  <c r="CJ34" i="2"/>
  <c r="CI34" i="2"/>
  <c r="CH34" i="2"/>
  <c r="CG34" i="2"/>
  <c r="CF34" i="2"/>
  <c r="CE34" i="2"/>
  <c r="CD34" i="2"/>
  <c r="CC34" i="2"/>
  <c r="CL33" i="2"/>
  <c r="CK33" i="2"/>
  <c r="CJ33" i="2"/>
  <c r="CI33" i="2"/>
  <c r="CH33" i="2"/>
  <c r="CG33" i="2"/>
  <c r="CF33" i="2"/>
  <c r="CE33" i="2"/>
  <c r="CD33" i="2"/>
  <c r="CC33" i="2"/>
  <c r="CL32" i="2"/>
  <c r="CK32" i="2"/>
  <c r="CJ32" i="2"/>
  <c r="CI32" i="2"/>
  <c r="CH32" i="2"/>
  <c r="CG32" i="2"/>
  <c r="CF32" i="2"/>
  <c r="CE32" i="2"/>
  <c r="CD32" i="2"/>
  <c r="CC32" i="2"/>
  <c r="CL31" i="2"/>
  <c r="CJ31" i="2"/>
  <c r="CI31" i="2"/>
  <c r="CH31" i="2"/>
  <c r="CG31" i="2"/>
  <c r="CF31" i="2"/>
  <c r="CE31" i="2"/>
  <c r="CD31" i="2"/>
  <c r="CC31" i="2"/>
  <c r="BU34" i="2"/>
  <c r="BT34" i="2"/>
  <c r="BS34" i="2"/>
  <c r="BR34" i="2"/>
  <c r="BQ34" i="2"/>
  <c r="BP34" i="2"/>
  <c r="BO34" i="2"/>
  <c r="BN34" i="2"/>
  <c r="BM34" i="2"/>
  <c r="BW33" i="2"/>
  <c r="BV33" i="2"/>
  <c r="BU33" i="2"/>
  <c r="BT33" i="2"/>
  <c r="BS33" i="2"/>
  <c r="BR33" i="2"/>
  <c r="BQ33" i="2"/>
  <c r="BP33" i="2"/>
  <c r="BO33" i="2"/>
  <c r="BN33" i="2"/>
  <c r="BM33" i="2"/>
  <c r="BV32" i="2"/>
  <c r="BU32" i="2"/>
  <c r="BT32" i="2"/>
  <c r="BS32" i="2"/>
  <c r="BR32" i="2"/>
  <c r="BQ32" i="2"/>
  <c r="BP32" i="2"/>
  <c r="BO32" i="2"/>
  <c r="BN32" i="2"/>
  <c r="BM32" i="2"/>
  <c r="BW31" i="2"/>
  <c r="BV31" i="2"/>
  <c r="BT31" i="2"/>
  <c r="BS31" i="2"/>
  <c r="BR31" i="2"/>
  <c r="BQ31" i="2"/>
  <c r="BP31" i="2"/>
  <c r="BO31" i="2"/>
  <c r="BN31" i="2"/>
  <c r="BM31" i="2"/>
  <c r="AO31" i="2"/>
  <c r="AO81" i="2" s="1"/>
  <c r="AN31" i="2"/>
  <c r="AN81" i="2" s="1"/>
  <c r="AM31" i="2"/>
  <c r="AM81" i="2" s="1"/>
  <c r="BU81" i="2" s="1"/>
  <c r="AT29" i="2"/>
  <c r="AT38" i="2" s="1"/>
  <c r="AR29" i="2"/>
  <c r="AR38" i="2" s="1"/>
  <c r="AQ29" i="2"/>
  <c r="AP29" i="2"/>
  <c r="AP38" i="2" s="1"/>
  <c r="AN29" i="2"/>
  <c r="AN38" i="2" s="1"/>
  <c r="AM29" i="2"/>
  <c r="AM38" i="2" s="1"/>
  <c r="AL29" i="2"/>
  <c r="AL38" i="2" s="1"/>
  <c r="AJ29" i="2"/>
  <c r="AJ38" i="2" s="1"/>
  <c r="AI29" i="2"/>
  <c r="AI38" i="2" s="1"/>
  <c r="AH29" i="2"/>
  <c r="AH38" i="2" s="1"/>
  <c r="AG29" i="2"/>
  <c r="AG38" i="2" s="1"/>
  <c r="AF29" i="2"/>
  <c r="AF38" i="2" s="1"/>
  <c r="AE29" i="2"/>
  <c r="AE38" i="2" s="1"/>
  <c r="AD29" i="2"/>
  <c r="AD38" i="2" s="1"/>
  <c r="AC29" i="2"/>
  <c r="AC38" i="2" s="1"/>
  <c r="AB29" i="2"/>
  <c r="AB38" i="2" s="1"/>
  <c r="AA29" i="2"/>
  <c r="AA38" i="2" s="1"/>
  <c r="Z29" i="2"/>
  <c r="Z38" i="2" s="1"/>
  <c r="Y29" i="2"/>
  <c r="Y38" i="2" s="1"/>
  <c r="X29" i="2"/>
  <c r="X38" i="2" s="1"/>
  <c r="W29" i="2"/>
  <c r="W38" i="2" s="1"/>
  <c r="V29" i="2"/>
  <c r="V38" i="2" s="1"/>
  <c r="U29" i="2"/>
  <c r="U38" i="2" s="1"/>
  <c r="T29" i="2"/>
  <c r="T38" i="2" s="1"/>
  <c r="S29" i="2"/>
  <c r="S38" i="2" s="1"/>
  <c r="R29" i="2"/>
  <c r="R38" i="2" s="1"/>
  <c r="Q29" i="2"/>
  <c r="Q38" i="2" s="1"/>
  <c r="P29" i="2"/>
  <c r="P38" i="2" s="1"/>
  <c r="O29" i="2"/>
  <c r="O38" i="2" s="1"/>
  <c r="N29" i="2"/>
  <c r="N38" i="2" s="1"/>
  <c r="M29" i="2"/>
  <c r="M38" i="2" s="1"/>
  <c r="L29" i="2"/>
  <c r="L38" i="2" s="1"/>
  <c r="K29" i="2"/>
  <c r="K38" i="2" s="1"/>
  <c r="J29" i="2"/>
  <c r="J38" i="2" s="1"/>
  <c r="I29" i="2"/>
  <c r="I38" i="2" s="1"/>
  <c r="H29" i="2"/>
  <c r="H38" i="2" s="1"/>
  <c r="G29" i="2"/>
  <c r="G38" i="2" s="1"/>
  <c r="F29" i="2"/>
  <c r="F38" i="2" s="1"/>
  <c r="AK26" i="2"/>
  <c r="E27" i="2"/>
  <c r="E29" i="2" s="1"/>
  <c r="E38" i="2" s="1"/>
  <c r="D27" i="2"/>
  <c r="D49" i="2" s="1"/>
  <c r="AS26" i="2"/>
  <c r="AS29" i="2" s="1"/>
  <c r="AO26" i="2"/>
  <c r="AO29" i="2" s="1"/>
  <c r="CL28" i="2"/>
  <c r="CK28" i="2"/>
  <c r="CJ28" i="2"/>
  <c r="CJ81" i="2" s="1"/>
  <c r="CI28" i="2"/>
  <c r="CI81" i="2" s="1"/>
  <c r="CH28" i="2"/>
  <c r="CH81" i="2" s="1"/>
  <c r="CG28" i="2"/>
  <c r="CG81" i="2" s="1"/>
  <c r="CF28" i="2"/>
  <c r="CE28" i="2"/>
  <c r="CD28" i="2"/>
  <c r="CC28" i="2"/>
  <c r="CL27" i="2"/>
  <c r="CK27" i="2"/>
  <c r="CJ27" i="2"/>
  <c r="CI27" i="2"/>
  <c r="CH27" i="2"/>
  <c r="CG27" i="2"/>
  <c r="CF27" i="2"/>
  <c r="CE27" i="2"/>
  <c r="CD27" i="2"/>
  <c r="CC27" i="2"/>
  <c r="CL26" i="2"/>
  <c r="CK26" i="2"/>
  <c r="CJ26" i="2"/>
  <c r="CI26" i="2"/>
  <c r="CH26" i="2"/>
  <c r="CG26" i="2"/>
  <c r="CF26" i="2"/>
  <c r="CE26" i="2"/>
  <c r="CD26" i="2"/>
  <c r="CC26" i="2"/>
  <c r="CL25" i="2"/>
  <c r="CK25" i="2"/>
  <c r="CJ25" i="2"/>
  <c r="CI25" i="2"/>
  <c r="CH25" i="2"/>
  <c r="CG25" i="2"/>
  <c r="CF25" i="2"/>
  <c r="CE25" i="2"/>
  <c r="CD25" i="2"/>
  <c r="CC25" i="2"/>
  <c r="CL24" i="2"/>
  <c r="CK24" i="2"/>
  <c r="CJ24" i="2"/>
  <c r="CI24" i="2"/>
  <c r="CH24" i="2"/>
  <c r="CG24" i="2"/>
  <c r="CF24" i="2"/>
  <c r="CE24" i="2"/>
  <c r="CD24" i="2"/>
  <c r="CC24" i="2"/>
  <c r="CL23" i="2"/>
  <c r="CK23" i="2"/>
  <c r="CJ23" i="2"/>
  <c r="CJ29" i="2" s="1"/>
  <c r="CI23" i="2"/>
  <c r="CH23" i="2"/>
  <c r="CG23" i="2"/>
  <c r="CF23" i="2"/>
  <c r="CF29" i="2" s="1"/>
  <c r="CE23" i="2"/>
  <c r="CD23" i="2"/>
  <c r="CC23" i="2"/>
  <c r="BV28" i="2"/>
  <c r="BU28" i="2"/>
  <c r="BT28" i="2"/>
  <c r="BS28" i="2"/>
  <c r="BR28" i="2"/>
  <c r="BQ28" i="2"/>
  <c r="BP28" i="2"/>
  <c r="BO28" i="2"/>
  <c r="BN28" i="2"/>
  <c r="BM28" i="2"/>
  <c r="BV27" i="2"/>
  <c r="BU27" i="2"/>
  <c r="BT27" i="2"/>
  <c r="BS27" i="2"/>
  <c r="BR27" i="2"/>
  <c r="BQ27" i="2"/>
  <c r="BP27" i="2"/>
  <c r="BO27" i="2"/>
  <c r="BN27" i="2"/>
  <c r="BM27" i="2"/>
  <c r="BV26" i="2"/>
  <c r="BU26" i="2"/>
  <c r="BT26" i="2"/>
  <c r="BS26" i="2"/>
  <c r="BR26" i="2"/>
  <c r="BQ26" i="2"/>
  <c r="BP26" i="2"/>
  <c r="BO26" i="2"/>
  <c r="BN26" i="2"/>
  <c r="BM26" i="2"/>
  <c r="BV25" i="2"/>
  <c r="BU25" i="2"/>
  <c r="BT25" i="2"/>
  <c r="BS25" i="2"/>
  <c r="BR25" i="2"/>
  <c r="BQ25" i="2"/>
  <c r="BP25" i="2"/>
  <c r="BO25" i="2"/>
  <c r="BN25" i="2"/>
  <c r="BM25" i="2"/>
  <c r="BV24" i="2"/>
  <c r="BU24" i="2"/>
  <c r="BT24" i="2"/>
  <c r="BS24" i="2"/>
  <c r="BR24" i="2"/>
  <c r="BQ24" i="2"/>
  <c r="BP24" i="2"/>
  <c r="BO24" i="2"/>
  <c r="BN24" i="2"/>
  <c r="BM24" i="2"/>
  <c r="BV23" i="2"/>
  <c r="BU23" i="2"/>
  <c r="BT23" i="2"/>
  <c r="BS23" i="2"/>
  <c r="BS29" i="2" s="1"/>
  <c r="BR23" i="2"/>
  <c r="BQ23" i="2"/>
  <c r="BP23" i="2"/>
  <c r="BO23" i="2"/>
  <c r="BO29" i="2" s="1"/>
  <c r="BN23" i="2"/>
  <c r="BM23" i="2"/>
  <c r="BW81" i="2"/>
  <c r="CM27" i="2"/>
  <c r="BW27" i="2"/>
  <c r="CM25" i="2"/>
  <c r="BW25" i="2"/>
  <c r="BW24" i="2"/>
  <c r="CL19" i="2"/>
  <c r="CK19" i="2"/>
  <c r="CJ19" i="2"/>
  <c r="CI19" i="2"/>
  <c r="CH19" i="2"/>
  <c r="CG19" i="2"/>
  <c r="CF19" i="2"/>
  <c r="CE19" i="2"/>
  <c r="CD19" i="2"/>
  <c r="CC19" i="2"/>
  <c r="CL18" i="2"/>
  <c r="CK18" i="2"/>
  <c r="CJ18" i="2"/>
  <c r="CI18" i="2"/>
  <c r="CH18" i="2"/>
  <c r="CG18" i="2"/>
  <c r="CF18" i="2"/>
  <c r="CE18" i="2"/>
  <c r="CD18" i="2"/>
  <c r="CC18" i="2"/>
  <c r="CL17" i="2"/>
  <c r="CK17" i="2"/>
  <c r="CJ17" i="2"/>
  <c r="CI17" i="2"/>
  <c r="CH17" i="2"/>
  <c r="CG17" i="2"/>
  <c r="CF17" i="2"/>
  <c r="CE17" i="2"/>
  <c r="CD17" i="2"/>
  <c r="CC17" i="2"/>
  <c r="CL16" i="2"/>
  <c r="CL75" i="3" s="1"/>
  <c r="CK16" i="2"/>
  <c r="CK75" i="3" s="1"/>
  <c r="CJ16" i="2"/>
  <c r="CJ75" i="3" s="1"/>
  <c r="CI16" i="2"/>
  <c r="CI75" i="3" s="1"/>
  <c r="CH16" i="2"/>
  <c r="CH75" i="3" s="1"/>
  <c r="CG16" i="2"/>
  <c r="CG75" i="3" s="1"/>
  <c r="CF16" i="2"/>
  <c r="CF75" i="3" s="1"/>
  <c r="CE16" i="2"/>
  <c r="CE75" i="3" s="1"/>
  <c r="CD16" i="2"/>
  <c r="CD75" i="3" s="1"/>
  <c r="CC16" i="2"/>
  <c r="CC75" i="3" s="1"/>
  <c r="BV19" i="2"/>
  <c r="BU19" i="2"/>
  <c r="BT19" i="2"/>
  <c r="BS19" i="2"/>
  <c r="BR19" i="2"/>
  <c r="BQ19" i="2"/>
  <c r="BP19" i="2"/>
  <c r="BO19" i="2"/>
  <c r="BN19" i="2"/>
  <c r="BM19" i="2"/>
  <c r="BV18" i="2"/>
  <c r="BU18" i="2"/>
  <c r="BT18" i="2"/>
  <c r="BS18" i="2"/>
  <c r="BR18" i="2"/>
  <c r="BQ18" i="2"/>
  <c r="BP18" i="2"/>
  <c r="BO18" i="2"/>
  <c r="BN18" i="2"/>
  <c r="BM18" i="2"/>
  <c r="BV17" i="2"/>
  <c r="BU17" i="2"/>
  <c r="BT17" i="2"/>
  <c r="BS17" i="2"/>
  <c r="BR17" i="2"/>
  <c r="BQ17" i="2"/>
  <c r="BP17" i="2"/>
  <c r="BO17" i="2"/>
  <c r="BN17" i="2"/>
  <c r="BM17" i="2"/>
  <c r="BV16" i="2"/>
  <c r="BV75" i="3" s="1"/>
  <c r="BU16" i="2"/>
  <c r="BU75" i="3" s="1"/>
  <c r="BT16" i="2"/>
  <c r="BT75" i="3" s="1"/>
  <c r="BS16" i="2"/>
  <c r="BS75" i="3" s="1"/>
  <c r="BR16" i="2"/>
  <c r="BR75" i="3" s="1"/>
  <c r="BQ16" i="2"/>
  <c r="BQ75" i="3" s="1"/>
  <c r="BP16" i="2"/>
  <c r="BP75" i="3" s="1"/>
  <c r="BO16" i="2"/>
  <c r="BO75" i="3" s="1"/>
  <c r="BN16" i="2"/>
  <c r="BN75" i="3" s="1"/>
  <c r="BM16" i="2"/>
  <c r="BM75" i="3" s="1"/>
  <c r="BW19" i="2"/>
  <c r="BW17" i="2"/>
  <c r="AK14" i="2"/>
  <c r="AK20" i="2" s="1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J14" i="2"/>
  <c r="I14" i="2"/>
  <c r="I85" i="2" s="1"/>
  <c r="H14" i="2"/>
  <c r="G14" i="2"/>
  <c r="G85" i="2" s="1"/>
  <c r="F14" i="2"/>
  <c r="AT13" i="2"/>
  <c r="AS13" i="2"/>
  <c r="AR13" i="2"/>
  <c r="AQ13" i="2"/>
  <c r="AQ48" i="2" s="1"/>
  <c r="AP13" i="2"/>
  <c r="AO13" i="2"/>
  <c r="AN13" i="2"/>
  <c r="CK13" i="2" s="1"/>
  <c r="AM13" i="2"/>
  <c r="AM48" i="2" s="1"/>
  <c r="AL13" i="2"/>
  <c r="K13" i="2"/>
  <c r="K48" i="2" s="1"/>
  <c r="E13" i="2"/>
  <c r="D13" i="2"/>
  <c r="CL13" i="2"/>
  <c r="CJ13" i="2"/>
  <c r="CI13" i="2"/>
  <c r="CH13" i="2"/>
  <c r="CG13" i="2"/>
  <c r="CF13" i="2"/>
  <c r="CE13" i="2"/>
  <c r="CD13" i="2"/>
  <c r="CC13" i="2"/>
  <c r="CL12" i="2"/>
  <c r="CK12" i="2"/>
  <c r="CJ12" i="2"/>
  <c r="CI12" i="2"/>
  <c r="CH12" i="2"/>
  <c r="CG12" i="2"/>
  <c r="CF12" i="2"/>
  <c r="CE12" i="2"/>
  <c r="CD12" i="2"/>
  <c r="CC12" i="2"/>
  <c r="CL11" i="2"/>
  <c r="CK11" i="2"/>
  <c r="CJ11" i="2"/>
  <c r="CI11" i="2"/>
  <c r="CH11" i="2"/>
  <c r="CG11" i="2"/>
  <c r="CF11" i="2"/>
  <c r="CE11" i="2"/>
  <c r="CD11" i="2"/>
  <c r="CC11" i="2"/>
  <c r="BW13" i="2"/>
  <c r="BU13" i="2"/>
  <c r="BT13" i="2"/>
  <c r="BS13" i="2"/>
  <c r="BR13" i="2"/>
  <c r="BQ13" i="2"/>
  <c r="BP13" i="2"/>
  <c r="BO13" i="2"/>
  <c r="BM13" i="2"/>
  <c r="BV12" i="2"/>
  <c r="BU12" i="2"/>
  <c r="BT12" i="2"/>
  <c r="BS12" i="2"/>
  <c r="BR12" i="2"/>
  <c r="BQ12" i="2"/>
  <c r="BP12" i="2"/>
  <c r="BO12" i="2"/>
  <c r="BN12" i="2"/>
  <c r="BM12" i="2"/>
  <c r="BV11" i="2"/>
  <c r="BU11" i="2"/>
  <c r="BT11" i="2"/>
  <c r="BS11" i="2"/>
  <c r="BR11" i="2"/>
  <c r="BQ11" i="2"/>
  <c r="BP11" i="2"/>
  <c r="BO11" i="2"/>
  <c r="BN11" i="2"/>
  <c r="BM11" i="2"/>
  <c r="CL10" i="2"/>
  <c r="CK10" i="2"/>
  <c r="CJ10" i="2"/>
  <c r="CI10" i="2"/>
  <c r="CL9" i="2"/>
  <c r="CL137" i="3" s="1"/>
  <c r="CK9" i="2"/>
  <c r="CK137" i="3" s="1"/>
  <c r="CJ9" i="2"/>
  <c r="CJ137" i="3" s="1"/>
  <c r="CI9" i="2"/>
  <c r="CH9" i="2"/>
  <c r="CG9" i="2"/>
  <c r="CF9" i="2"/>
  <c r="CE9" i="2"/>
  <c r="CD9" i="2"/>
  <c r="CC9" i="2"/>
  <c r="BV10" i="2"/>
  <c r="BU10" i="2"/>
  <c r="BV9" i="2"/>
  <c r="BV137" i="3" s="1"/>
  <c r="BU9" i="2"/>
  <c r="BT9" i="2"/>
  <c r="BT137" i="3" s="1"/>
  <c r="BS9" i="2"/>
  <c r="BS137" i="3" s="1"/>
  <c r="BR9" i="2"/>
  <c r="BR137" i="3" s="1"/>
  <c r="BQ9" i="2"/>
  <c r="BQ80" i="2" s="1"/>
  <c r="BQ82" i="2" s="1"/>
  <c r="BP9" i="2"/>
  <c r="BP137" i="3" s="1"/>
  <c r="BO9" i="2"/>
  <c r="BO137" i="3" s="1"/>
  <c r="BN9" i="2"/>
  <c r="BN137" i="3" s="1"/>
  <c r="BM9" i="2"/>
  <c r="BM14" i="2" s="1"/>
  <c r="BW10" i="2"/>
  <c r="CN7" i="2"/>
  <c r="CM7" i="2"/>
  <c r="CM7" i="3" s="1"/>
  <c r="CM92" i="3" s="1"/>
  <c r="CL7" i="2"/>
  <c r="CL7" i="3" s="1"/>
  <c r="CK7" i="2"/>
  <c r="CK7" i="3" s="1"/>
  <c r="CK92" i="3" s="1"/>
  <c r="CJ7" i="2"/>
  <c r="CI7" i="2"/>
  <c r="CI7" i="3" s="1"/>
  <c r="CI65" i="3" s="1"/>
  <c r="CI79" i="3" s="1"/>
  <c r="CI56" i="3" s="1"/>
  <c r="CH7" i="2"/>
  <c r="CH7" i="3" s="1"/>
  <c r="CG7" i="2"/>
  <c r="CF7" i="2"/>
  <c r="CE7" i="2"/>
  <c r="CE7" i="3" s="1"/>
  <c r="CE92" i="3" s="1"/>
  <c r="CD7" i="2"/>
  <c r="CD7" i="3" s="1"/>
  <c r="CC7" i="2"/>
  <c r="CC7" i="3" s="1"/>
  <c r="CC92" i="3" s="1"/>
  <c r="BY7" i="2"/>
  <c r="BY7" i="3" s="1"/>
  <c r="BX7" i="2"/>
  <c r="BX7" i="3" s="1"/>
  <c r="BW7" i="2"/>
  <c r="BV7" i="2"/>
  <c r="BV7" i="3" s="1"/>
  <c r="BU7" i="2"/>
  <c r="BT7" i="2"/>
  <c r="BT7" i="3" s="1"/>
  <c r="BS7" i="2"/>
  <c r="BR7" i="2"/>
  <c r="BR7" i="3" s="1"/>
  <c r="BQ7" i="2"/>
  <c r="BQ7" i="3" s="1"/>
  <c r="BQ92" i="3" s="1"/>
  <c r="BP7" i="2"/>
  <c r="BP7" i="3" s="1"/>
  <c r="BP65" i="3" s="1"/>
  <c r="BP79" i="3" s="1"/>
  <c r="BP56" i="3" s="1"/>
  <c r="BO7" i="2"/>
  <c r="BN7" i="2"/>
  <c r="BN7" i="3" s="1"/>
  <c r="BN65" i="3" s="1"/>
  <c r="BN79" i="3" s="1"/>
  <c r="BN56" i="3" s="1"/>
  <c r="BM7" i="2"/>
  <c r="BC7" i="2"/>
  <c r="BB7" i="2"/>
  <c r="BA7" i="2"/>
  <c r="AY7" i="2"/>
  <c r="AX7" i="2"/>
  <c r="AW7" i="2"/>
  <c r="AV7" i="2"/>
  <c r="AV43" i="2" s="1"/>
  <c r="AV55" i="2" s="1"/>
  <c r="AU7" i="2"/>
  <c r="AU43" i="2" s="1"/>
  <c r="AU55" i="2" s="1"/>
  <c r="AT7" i="2"/>
  <c r="AT43" i="2" s="1"/>
  <c r="AT55" i="2" s="1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BC6" i="2"/>
  <c r="BC6" i="3" s="1"/>
  <c r="BB6" i="2"/>
  <c r="BB6" i="3" s="1"/>
  <c r="BA6" i="2"/>
  <c r="BA6" i="3" s="1"/>
  <c r="AZ6" i="2"/>
  <c r="AZ6" i="3" s="1"/>
  <c r="AY6" i="2"/>
  <c r="AY6" i="3" s="1"/>
  <c r="AX6" i="2"/>
  <c r="AX6" i="3" s="1"/>
  <c r="AW6" i="2"/>
  <c r="AW6" i="3" s="1"/>
  <c r="AV6" i="2"/>
  <c r="AV6" i="3" s="1"/>
  <c r="AU6" i="2"/>
  <c r="AU6" i="3" s="1"/>
  <c r="AT6" i="2"/>
  <c r="AT6" i="3" s="1"/>
  <c r="AS6" i="2"/>
  <c r="AS6" i="3" s="1"/>
  <c r="AR6" i="2"/>
  <c r="AR6" i="3" s="1"/>
  <c r="AQ6" i="2"/>
  <c r="AQ6" i="3" s="1"/>
  <c r="AP6" i="2"/>
  <c r="AP6" i="3" s="1"/>
  <c r="AO6" i="2"/>
  <c r="AO6" i="3" s="1"/>
  <c r="AN6" i="2"/>
  <c r="AN6" i="3" s="1"/>
  <c r="AM6" i="2"/>
  <c r="AM6" i="3" s="1"/>
  <c r="AL6" i="2"/>
  <c r="AL6" i="3" s="1"/>
  <c r="AK6" i="2"/>
  <c r="AK6" i="3" s="1"/>
  <c r="AJ6" i="2"/>
  <c r="AJ6" i="3" s="1"/>
  <c r="AI6" i="2"/>
  <c r="AI6" i="3" s="1"/>
  <c r="AH6" i="2"/>
  <c r="AH6" i="3" s="1"/>
  <c r="AG6" i="2"/>
  <c r="AG6" i="3" s="1"/>
  <c r="AF6" i="2"/>
  <c r="AF6" i="3" s="1"/>
  <c r="AE6" i="2"/>
  <c r="AE6" i="3" s="1"/>
  <c r="AD6" i="2"/>
  <c r="AD6" i="3" s="1"/>
  <c r="AC6" i="2"/>
  <c r="AC6" i="3" s="1"/>
  <c r="AB6" i="2"/>
  <c r="AB6" i="3" s="1"/>
  <c r="AA6" i="2"/>
  <c r="AA6" i="3" s="1"/>
  <c r="Z6" i="2"/>
  <c r="Z6" i="3" s="1"/>
  <c r="Y6" i="2"/>
  <c r="Y6" i="3" s="1"/>
  <c r="X6" i="2"/>
  <c r="X6" i="3" s="1"/>
  <c r="W6" i="2"/>
  <c r="W6" i="3" s="1"/>
  <c r="V6" i="2"/>
  <c r="V6" i="3" s="1"/>
  <c r="U6" i="2"/>
  <c r="U6" i="3" s="1"/>
  <c r="T6" i="2"/>
  <c r="T6" i="3" s="1"/>
  <c r="S6" i="2"/>
  <c r="S6" i="3" s="1"/>
  <c r="R6" i="2"/>
  <c r="R6" i="3" s="1"/>
  <c r="Q6" i="2"/>
  <c r="Q6" i="3" s="1"/>
  <c r="P6" i="2"/>
  <c r="P6" i="3" s="1"/>
  <c r="O6" i="2"/>
  <c r="O6" i="3" s="1"/>
  <c r="N6" i="2"/>
  <c r="N6" i="3" s="1"/>
  <c r="M6" i="2"/>
  <c r="M6" i="3" s="1"/>
  <c r="L6" i="2"/>
  <c r="L6" i="3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AK113" i="55"/>
  <c r="AK166" i="55" s="1"/>
  <c r="AJ113" i="55"/>
  <c r="AJ138" i="55" s="1"/>
  <c r="AI113" i="55"/>
  <c r="AH113" i="55"/>
  <c r="AG113" i="55"/>
  <c r="AF113" i="55"/>
  <c r="AF138" i="55" s="1"/>
  <c r="AE113" i="55"/>
  <c r="AD113" i="55"/>
  <c r="AC113" i="55"/>
  <c r="AB113" i="55"/>
  <c r="AB138" i="55" s="1"/>
  <c r="AA113" i="55"/>
  <c r="Z113" i="55"/>
  <c r="Y113" i="55"/>
  <c r="Y169" i="55" s="1"/>
  <c r="X113" i="55"/>
  <c r="W113" i="55"/>
  <c r="V113" i="55"/>
  <c r="U113" i="55"/>
  <c r="U169" i="55" s="1"/>
  <c r="T113" i="55"/>
  <c r="S113" i="55"/>
  <c r="R113" i="55"/>
  <c r="Q113" i="55"/>
  <c r="Q169" i="55" s="1"/>
  <c r="P113" i="55"/>
  <c r="O113" i="55"/>
  <c r="N113" i="55"/>
  <c r="M113" i="55"/>
  <c r="L113" i="55"/>
  <c r="K113" i="55"/>
  <c r="J113" i="55"/>
  <c r="I113" i="55"/>
  <c r="H113" i="55"/>
  <c r="G113" i="55"/>
  <c r="F113" i="55"/>
  <c r="E113" i="55"/>
  <c r="D113" i="55"/>
  <c r="AT113" i="55"/>
  <c r="CE72" i="2"/>
  <c r="CC72" i="2"/>
  <c r="BO72" i="2"/>
  <c r="BM72" i="2"/>
  <c r="Y44" i="2" l="1"/>
  <c r="AC44" i="2"/>
  <c r="AG44" i="2"/>
  <c r="AK44" i="2"/>
  <c r="BK22" i="55"/>
  <c r="BK77" i="55"/>
  <c r="BV60" i="2"/>
  <c r="BV65" i="2" s="1"/>
  <c r="BV68" i="2" s="1"/>
  <c r="AM13" i="55"/>
  <c r="AM24" i="55"/>
  <c r="AQ24" i="55"/>
  <c r="AS24" i="55"/>
  <c r="AM35" i="55"/>
  <c r="AQ35" i="55"/>
  <c r="P31" i="55"/>
  <c r="R31" i="55"/>
  <c r="U31" i="55"/>
  <c r="W42" i="55"/>
  <c r="W108" i="55" s="1"/>
  <c r="AB31" i="55"/>
  <c r="AD31" i="55"/>
  <c r="AH34" i="55" s="1"/>
  <c r="BQ163" i="55"/>
  <c r="BS163" i="55"/>
  <c r="BQ165" i="55"/>
  <c r="AD140" i="55"/>
  <c r="AL13" i="55"/>
  <c r="AN13" i="55"/>
  <c r="AP13" i="55"/>
  <c r="AT13" i="55"/>
  <c r="AL35" i="55"/>
  <c r="AN35" i="55"/>
  <c r="AP35" i="55"/>
  <c r="AE42" i="55"/>
  <c r="BS42" i="55" s="1"/>
  <c r="AL46" i="55"/>
  <c r="BH22" i="55"/>
  <c r="BJ22" i="55"/>
  <c r="BI33" i="55"/>
  <c r="BH77" i="55"/>
  <c r="BJ77" i="55"/>
  <c r="BI22" i="55"/>
  <c r="BH33" i="55"/>
  <c r="BJ33" i="55"/>
  <c r="BI77" i="55"/>
  <c r="CK66" i="3"/>
  <c r="T31" i="55"/>
  <c r="V31" i="55"/>
  <c r="Z34" i="55" s="1"/>
  <c r="AC31" i="55"/>
  <c r="AG34" i="55" s="1"/>
  <c r="T44" i="2"/>
  <c r="V44" i="2"/>
  <c r="H44" i="2"/>
  <c r="P44" i="2"/>
  <c r="F44" i="2"/>
  <c r="J44" i="2"/>
  <c r="N44" i="2"/>
  <c r="R44" i="2"/>
  <c r="X44" i="2"/>
  <c r="Z44" i="2"/>
  <c r="AB44" i="2"/>
  <c r="AD44" i="2"/>
  <c r="AF44" i="2"/>
  <c r="AH44" i="2"/>
  <c r="BP163" i="55"/>
  <c r="BQ164" i="55"/>
  <c r="S31" i="55"/>
  <c r="T32" i="55" s="1"/>
  <c r="AA31" i="55"/>
  <c r="AB32" i="55" s="1"/>
  <c r="AH140" i="55"/>
  <c r="BV108" i="55"/>
  <c r="W31" i="55"/>
  <c r="X32" i="55" s="1"/>
  <c r="AE53" i="55"/>
  <c r="BP158" i="55"/>
  <c r="BR158" i="55"/>
  <c r="CI158" i="55"/>
  <c r="BS162" i="55"/>
  <c r="BS164" i="55"/>
  <c r="BS166" i="55"/>
  <c r="BS177" i="55" s="1"/>
  <c r="AC101" i="3"/>
  <c r="AD101" i="3" s="1"/>
  <c r="AE101" i="3" s="1"/>
  <c r="BS101" i="3" s="1"/>
  <c r="BO38" i="2"/>
  <c r="BS38" i="2"/>
  <c r="AN82" i="2"/>
  <c r="CC60" i="2"/>
  <c r="CC65" i="2" s="1"/>
  <c r="CE60" i="2"/>
  <c r="CE65" i="2" s="1"/>
  <c r="CG60" i="2"/>
  <c r="CG65" i="2" s="1"/>
  <c r="CI60" i="2"/>
  <c r="CI65" i="2" s="1"/>
  <c r="AK62" i="2"/>
  <c r="AO62" i="2"/>
  <c r="AS62" i="2"/>
  <c r="AM77" i="2"/>
  <c r="E82" i="2"/>
  <c r="E83" i="2" s="1"/>
  <c r="G82" i="2"/>
  <c r="G83" i="2" s="1"/>
  <c r="I82" i="2"/>
  <c r="I83" i="2" s="1"/>
  <c r="K82" i="2"/>
  <c r="K83" i="2" s="1"/>
  <c r="M82" i="2"/>
  <c r="M83" i="2" s="1"/>
  <c r="O82" i="2"/>
  <c r="O83" i="2" s="1"/>
  <c r="Q82" i="2"/>
  <c r="S82" i="2"/>
  <c r="S83" i="2" s="1"/>
  <c r="U82" i="2"/>
  <c r="U83" i="2" s="1"/>
  <c r="W82" i="2"/>
  <c r="W83" i="2" s="1"/>
  <c r="Y82" i="2"/>
  <c r="Y83" i="2" s="1"/>
  <c r="AA82" i="2"/>
  <c r="AA83" i="2" s="1"/>
  <c r="AC82" i="2"/>
  <c r="AC83" i="2" s="1"/>
  <c r="AE82" i="2"/>
  <c r="AE83" i="2" s="1"/>
  <c r="AG82" i="2"/>
  <c r="AI82" i="2"/>
  <c r="AI83" i="2" s="1"/>
  <c r="AK82" i="2"/>
  <c r="AT158" i="55"/>
  <c r="AX111" i="55"/>
  <c r="AR158" i="55"/>
  <c r="AR155" i="55" s="1"/>
  <c r="AV111" i="55"/>
  <c r="AS158" i="55"/>
  <c r="AW111" i="55"/>
  <c r="V70" i="3"/>
  <c r="V72" i="3" s="1"/>
  <c r="V73" i="3" s="1"/>
  <c r="V76" i="3" s="1"/>
  <c r="X70" i="3"/>
  <c r="Y70" i="3" s="1"/>
  <c r="Y81" i="3" s="1"/>
  <c r="AW99" i="3"/>
  <c r="AX99" i="3" s="1"/>
  <c r="AY99" i="3" s="1"/>
  <c r="BX99" i="3" s="1"/>
  <c r="AW114" i="3"/>
  <c r="AX114" i="3" s="1"/>
  <c r="AY114" i="3" s="1"/>
  <c r="BX114" i="3" s="1"/>
  <c r="AW116" i="3"/>
  <c r="AX116" i="3" s="1"/>
  <c r="AY116" i="3" s="1"/>
  <c r="BX116" i="3" s="1"/>
  <c r="AW123" i="3"/>
  <c r="AX123" i="3" s="1"/>
  <c r="AY123" i="3" s="1"/>
  <c r="BX123" i="3" s="1"/>
  <c r="AX130" i="3"/>
  <c r="AY130" i="3" s="1"/>
  <c r="BX130" i="3" s="1"/>
  <c r="AW130" i="3"/>
  <c r="AX133" i="3"/>
  <c r="AY133" i="3" s="1"/>
  <c r="BX133" i="3" s="1"/>
  <c r="AW133" i="3"/>
  <c r="AW98" i="3"/>
  <c r="AX98" i="3" s="1"/>
  <c r="AY98" i="3" s="1"/>
  <c r="BX98" i="3" s="1"/>
  <c r="AW101" i="3"/>
  <c r="AX101" i="3" s="1"/>
  <c r="AY101" i="3" s="1"/>
  <c r="BX101" i="3" s="1"/>
  <c r="AW115" i="3"/>
  <c r="AX115" i="3" s="1"/>
  <c r="AY115" i="3" s="1"/>
  <c r="BX115" i="3" s="1"/>
  <c r="AW124" i="3"/>
  <c r="AX124" i="3" s="1"/>
  <c r="AY124" i="3" s="1"/>
  <c r="BX124" i="3" s="1"/>
  <c r="BU14" i="2"/>
  <c r="BU20" i="2" s="1"/>
  <c r="BU71" i="3" s="1"/>
  <c r="M85" i="2"/>
  <c r="O85" i="2"/>
  <c r="Q85" i="2"/>
  <c r="S85" i="2"/>
  <c r="U85" i="2"/>
  <c r="W85" i="2"/>
  <c r="Y85" i="2"/>
  <c r="AA85" i="2"/>
  <c r="AC85" i="2"/>
  <c r="AE85" i="2"/>
  <c r="AG85" i="2"/>
  <c r="AI85" i="2"/>
  <c r="G44" i="2"/>
  <c r="I44" i="2"/>
  <c r="M44" i="2"/>
  <c r="O44" i="2"/>
  <c r="Q44" i="2"/>
  <c r="S44" i="2"/>
  <c r="W44" i="2"/>
  <c r="BN60" i="2"/>
  <c r="BP60" i="2"/>
  <c r="BR60" i="2"/>
  <c r="BT60" i="2"/>
  <c r="BT65" i="2" s="1"/>
  <c r="BT68" i="2" s="1"/>
  <c r="CF49" i="2"/>
  <c r="CJ49" i="2"/>
  <c r="AS49" i="2"/>
  <c r="AV171" i="55"/>
  <c r="AV136" i="55"/>
  <c r="AV161" i="55"/>
  <c r="AV152" i="55" s="1"/>
  <c r="AV143" i="55"/>
  <c r="AV88" i="2"/>
  <c r="AV71" i="2"/>
  <c r="AO48" i="2"/>
  <c r="AS48" i="2"/>
  <c r="BG22" i="55"/>
  <c r="BG77" i="55"/>
  <c r="Q108" i="55"/>
  <c r="Q57" i="55" s="1"/>
  <c r="S108" i="55"/>
  <c r="S158" i="55" s="1"/>
  <c r="U108" i="55"/>
  <c r="U158" i="55" s="1"/>
  <c r="Y108" i="55"/>
  <c r="Y57" i="55" s="1"/>
  <c r="AA108" i="55"/>
  <c r="AA158" i="55" s="1"/>
  <c r="AC108" i="55"/>
  <c r="AC158" i="55" s="1"/>
  <c r="AG108" i="55"/>
  <c r="AG158" i="55" s="1"/>
  <c r="BP31" i="55"/>
  <c r="BP42" i="55"/>
  <c r="X43" i="55"/>
  <c r="BT42" i="55"/>
  <c r="AJ43" i="55"/>
  <c r="AU156" i="55"/>
  <c r="AU154" i="55"/>
  <c r="AU155" i="55"/>
  <c r="AU153" i="55"/>
  <c r="AQ13" i="55"/>
  <c r="R108" i="55"/>
  <c r="R46" i="55" s="1"/>
  <c r="BR20" i="55"/>
  <c r="Z108" i="55"/>
  <c r="Z46" i="55" s="1"/>
  <c r="AD21" i="55"/>
  <c r="AJ31" i="55"/>
  <c r="AJ34" i="55" s="1"/>
  <c r="M76" i="55"/>
  <c r="O76" i="55"/>
  <c r="Q76" i="55"/>
  <c r="S76" i="55"/>
  <c r="U76" i="55"/>
  <c r="W76" i="55"/>
  <c r="Y76" i="55"/>
  <c r="AC77" i="55" s="1"/>
  <c r="AA76" i="55"/>
  <c r="AE77" i="55" s="1"/>
  <c r="AC76" i="55"/>
  <c r="AG77" i="55" s="1"/>
  <c r="AE76" i="55"/>
  <c r="AG76" i="55"/>
  <c r="AK77" i="55" s="1"/>
  <c r="R87" i="55"/>
  <c r="M98" i="55"/>
  <c r="Q98" i="55"/>
  <c r="U98" i="55"/>
  <c r="Y98" i="55"/>
  <c r="AC98" i="55"/>
  <c r="AG98" i="55"/>
  <c r="CH123" i="55"/>
  <c r="CI123" i="55"/>
  <c r="CK123" i="55"/>
  <c r="CL123" i="55"/>
  <c r="E48" i="2"/>
  <c r="F85" i="2"/>
  <c r="H85" i="2"/>
  <c r="J85" i="2"/>
  <c r="AO38" i="2"/>
  <c r="T118" i="3"/>
  <c r="AB118" i="3"/>
  <c r="N21" i="55"/>
  <c r="V21" i="55"/>
  <c r="CF42" i="55"/>
  <c r="CJ42" i="55"/>
  <c r="AP45" i="55"/>
  <c r="CF53" i="55"/>
  <c r="CG53" i="55"/>
  <c r="CH53" i="55"/>
  <c r="N76" i="55"/>
  <c r="R76" i="55"/>
  <c r="V76" i="55"/>
  <c r="BR75" i="55"/>
  <c r="Z76" i="55"/>
  <c r="AD76" i="55"/>
  <c r="AH76" i="55"/>
  <c r="W89" i="55"/>
  <c r="AA89" i="55"/>
  <c r="CI86" i="55"/>
  <c r="AE89" i="55"/>
  <c r="BO97" i="55"/>
  <c r="N98" i="55"/>
  <c r="P98" i="55"/>
  <c r="R98" i="55"/>
  <c r="T98" i="55"/>
  <c r="V98" i="55"/>
  <c r="X98" i="55"/>
  <c r="Z98" i="55"/>
  <c r="AO109" i="55"/>
  <c r="CF158" i="55"/>
  <c r="CH158" i="55"/>
  <c r="D48" i="2"/>
  <c r="L85" i="2"/>
  <c r="N85" i="2"/>
  <c r="P85" i="2"/>
  <c r="R85" i="2"/>
  <c r="T85" i="2"/>
  <c r="V85" i="2"/>
  <c r="X85" i="2"/>
  <c r="Z85" i="2"/>
  <c r="AB85" i="2"/>
  <c r="AD85" i="2"/>
  <c r="AF85" i="2"/>
  <c r="AH85" i="2"/>
  <c r="AJ85" i="2"/>
  <c r="BO76" i="2"/>
  <c r="CF38" i="2"/>
  <c r="CJ38" i="2"/>
  <c r="CL81" i="2"/>
  <c r="AS38" i="2"/>
  <c r="D29" i="2"/>
  <c r="D38" i="2" s="1"/>
  <c r="AQ38" i="2"/>
  <c r="BV34" i="2"/>
  <c r="BV49" i="2" s="1"/>
  <c r="BM60" i="2"/>
  <c r="BO60" i="2"/>
  <c r="BQ60" i="2"/>
  <c r="BU56" i="2"/>
  <c r="CD60" i="2"/>
  <c r="CD65" i="2" s="1"/>
  <c r="CF60" i="2"/>
  <c r="CF65" i="2" s="1"/>
  <c r="CH60" i="2"/>
  <c r="CH65" i="2" s="1"/>
  <c r="D82" i="2"/>
  <c r="D83" i="2" s="1"/>
  <c r="F82" i="2"/>
  <c r="H82" i="2"/>
  <c r="H83" i="2" s="1"/>
  <c r="J82" i="2"/>
  <c r="J83" i="2" s="1"/>
  <c r="L82" i="2"/>
  <c r="L83" i="2" s="1"/>
  <c r="N82" i="2"/>
  <c r="N83" i="2" s="1"/>
  <c r="P82" i="2"/>
  <c r="P83" i="2" s="1"/>
  <c r="R82" i="2"/>
  <c r="R83" i="2" s="1"/>
  <c r="T82" i="2"/>
  <c r="T83" i="2" s="1"/>
  <c r="V82" i="2"/>
  <c r="X82" i="2"/>
  <c r="X83" i="2" s="1"/>
  <c r="Z82" i="2"/>
  <c r="Z83" i="2" s="1"/>
  <c r="AB82" i="2"/>
  <c r="AB83" i="2" s="1"/>
  <c r="AD82" i="2"/>
  <c r="AD83" i="2" s="1"/>
  <c r="AF82" i="2"/>
  <c r="AF83" i="2" s="1"/>
  <c r="AH82" i="2"/>
  <c r="AJ82" i="2"/>
  <c r="AL82" i="2"/>
  <c r="BU17" i="3"/>
  <c r="BN59" i="3"/>
  <c r="V45" i="55"/>
  <c r="Z45" i="55"/>
  <c r="AD45" i="55"/>
  <c r="AH45" i="55"/>
  <c r="AJ54" i="55"/>
  <c r="AI78" i="55"/>
  <c r="BY92" i="3"/>
  <c r="BP14" i="2"/>
  <c r="BP20" i="2" s="1"/>
  <c r="BP71" i="3" s="1"/>
  <c r="BM49" i="2"/>
  <c r="BQ49" i="2"/>
  <c r="BU49" i="2"/>
  <c r="CE29" i="2"/>
  <c r="CI29" i="2"/>
  <c r="CI38" i="2" s="1"/>
  <c r="CK31" i="2"/>
  <c r="AN56" i="2"/>
  <c r="CK56" i="2" s="1"/>
  <c r="CK60" i="2" s="1"/>
  <c r="CK65" i="2" s="1"/>
  <c r="CK16" i="3"/>
  <c r="CK101" i="3" s="1"/>
  <c r="CL16" i="3"/>
  <c r="CL101" i="3" s="1"/>
  <c r="CD17" i="3"/>
  <c r="CD102" i="3" s="1"/>
  <c r="S102" i="3"/>
  <c r="BP102" i="3" s="1"/>
  <c r="AK102" i="3"/>
  <c r="AL102" i="3" s="1"/>
  <c r="AM102" i="3" s="1"/>
  <c r="BU102" i="3" s="1"/>
  <c r="CK17" i="3"/>
  <c r="CK102" i="3" s="1"/>
  <c r="BM52" i="3"/>
  <c r="BO52" i="3"/>
  <c r="BQ52" i="3"/>
  <c r="BS52" i="3"/>
  <c r="BU52" i="3"/>
  <c r="CC52" i="3"/>
  <c r="CE52" i="3"/>
  <c r="CG52" i="3"/>
  <c r="CI52" i="3"/>
  <c r="CK52" i="3"/>
  <c r="BS72" i="3"/>
  <c r="BS73" i="3" s="1"/>
  <c r="BS76" i="3" s="1"/>
  <c r="BP76" i="3"/>
  <c r="BM137" i="3"/>
  <c r="BQ137" i="3"/>
  <c r="BU137" i="3"/>
  <c r="CC137" i="3"/>
  <c r="CE137" i="3"/>
  <c r="CG137" i="3"/>
  <c r="CI137" i="3"/>
  <c r="AE21" i="55"/>
  <c r="AI21" i="55"/>
  <c r="BC22" i="55" s="1"/>
  <c r="R21" i="55"/>
  <c r="Z21" i="55"/>
  <c r="AH21" i="55"/>
  <c r="S23" i="55"/>
  <c r="W23" i="55"/>
  <c r="AA23" i="55"/>
  <c r="AE23" i="55"/>
  <c r="AI23" i="55"/>
  <c r="AF43" i="55"/>
  <c r="AP43" i="55"/>
  <c r="AT45" i="55"/>
  <c r="CK67" i="55"/>
  <c r="S78" i="55"/>
  <c r="W78" i="55"/>
  <c r="AA78" i="55"/>
  <c r="AE78" i="55"/>
  <c r="T89" i="55"/>
  <c r="V89" i="55"/>
  <c r="X89" i="55"/>
  <c r="Z89" i="55"/>
  <c r="AB89" i="55"/>
  <c r="AD89" i="55"/>
  <c r="Z87" i="55"/>
  <c r="BQ86" i="55"/>
  <c r="AB98" i="55"/>
  <c r="AD98" i="55"/>
  <c r="AF98" i="55"/>
  <c r="AH98" i="55"/>
  <c r="BR97" i="55"/>
  <c r="CH97" i="55"/>
  <c r="R100" i="55"/>
  <c r="V100" i="55"/>
  <c r="Z100" i="55"/>
  <c r="AD100" i="55"/>
  <c r="AH100" i="55"/>
  <c r="AS109" i="55"/>
  <c r="AT153" i="55"/>
  <c r="BO158" i="55"/>
  <c r="BQ158" i="55"/>
  <c r="BS158" i="55"/>
  <c r="AN154" i="55"/>
  <c r="AP155" i="55"/>
  <c r="AN156" i="55"/>
  <c r="AO158" i="55"/>
  <c r="AO155" i="55" s="1"/>
  <c r="P173" i="55"/>
  <c r="T173" i="55"/>
  <c r="X173" i="55"/>
  <c r="AB173" i="55"/>
  <c r="AF173" i="55"/>
  <c r="AI174" i="55"/>
  <c r="R175" i="55"/>
  <c r="V175" i="55"/>
  <c r="Z175" i="55"/>
  <c r="AD175" i="55"/>
  <c r="AH175" i="55"/>
  <c r="P177" i="55"/>
  <c r="T177" i="55"/>
  <c r="X177" i="55"/>
  <c r="AB177" i="55"/>
  <c r="BR65" i="3"/>
  <c r="BR79" i="3" s="1"/>
  <c r="BR56" i="3" s="1"/>
  <c r="BV65" i="3"/>
  <c r="BV79" i="3" s="1"/>
  <c r="BV56" i="3" s="1"/>
  <c r="BX65" i="3"/>
  <c r="BX79" i="3" s="1"/>
  <c r="BX56" i="3" s="1"/>
  <c r="E14" i="2"/>
  <c r="E85" i="2" s="1"/>
  <c r="BP29" i="2"/>
  <c r="BP38" i="2" s="1"/>
  <c r="BT29" i="2"/>
  <c r="BT38" i="2" s="1"/>
  <c r="CD49" i="2"/>
  <c r="CH49" i="2"/>
  <c r="E49" i="2"/>
  <c r="D68" i="2"/>
  <c r="F68" i="2"/>
  <c r="J68" i="2"/>
  <c r="N68" i="2"/>
  <c r="R68" i="2"/>
  <c r="V68" i="2"/>
  <c r="X68" i="2"/>
  <c r="Z68" i="2"/>
  <c r="AD68" i="2"/>
  <c r="AH68" i="2"/>
  <c r="AL68" i="2"/>
  <c r="AP68" i="2"/>
  <c r="BN97" i="2"/>
  <c r="BO97" i="2" s="1"/>
  <c r="BP97" i="2" s="1"/>
  <c r="BQ97" i="2" s="1"/>
  <c r="BR97" i="2" s="1"/>
  <c r="BS97" i="2" s="1"/>
  <c r="BT97" i="2" s="1"/>
  <c r="BU97" i="2" s="1"/>
  <c r="BV97" i="2" s="1"/>
  <c r="BW97" i="2" s="1"/>
  <c r="BX97" i="2" s="1"/>
  <c r="BY97" i="2" s="1"/>
  <c r="BZ97" i="2" s="1"/>
  <c r="CA97" i="2" s="1"/>
  <c r="CD97" i="2"/>
  <c r="CE97" i="2" s="1"/>
  <c r="CF97" i="2" s="1"/>
  <c r="CG97" i="2" s="1"/>
  <c r="CH97" i="2" s="1"/>
  <c r="CI97" i="2" s="1"/>
  <c r="CJ97" i="2" s="1"/>
  <c r="CK97" i="2" s="1"/>
  <c r="CL97" i="2" s="1"/>
  <c r="CM97" i="2" s="1"/>
  <c r="CN97" i="2" s="1"/>
  <c r="CO97" i="2" s="1"/>
  <c r="CP97" i="2" s="1"/>
  <c r="BS42" i="3"/>
  <c r="BN52" i="3"/>
  <c r="BP52" i="3"/>
  <c r="BR52" i="3"/>
  <c r="BT52" i="3"/>
  <c r="BV52" i="3"/>
  <c r="CD52" i="3"/>
  <c r="CF52" i="3"/>
  <c r="CH52" i="3"/>
  <c r="CJ52" i="3"/>
  <c r="CL52" i="3"/>
  <c r="BT72" i="3"/>
  <c r="BT73" i="3" s="1"/>
  <c r="BT76" i="3" s="1"/>
  <c r="CD137" i="3"/>
  <c r="CF137" i="3"/>
  <c r="CH137" i="3"/>
  <c r="CH20" i="55"/>
  <c r="Q23" i="55"/>
  <c r="U23" i="55"/>
  <c r="Y23" i="55"/>
  <c r="AC23" i="55"/>
  <c r="AG23" i="55"/>
  <c r="AM23" i="55"/>
  <c r="X45" i="55"/>
  <c r="AF45" i="55"/>
  <c r="T43" i="55"/>
  <c r="AB43" i="55"/>
  <c r="AP46" i="55"/>
  <c r="AI77" i="55"/>
  <c r="AI76" i="55"/>
  <c r="BC77" i="55" s="1"/>
  <c r="CH75" i="55"/>
  <c r="Q78" i="55"/>
  <c r="U78" i="55"/>
  <c r="Y78" i="55"/>
  <c r="AC78" i="55"/>
  <c r="AG78" i="55"/>
  <c r="AM78" i="55"/>
  <c r="V87" i="55"/>
  <c r="AD87" i="55"/>
  <c r="CD97" i="55"/>
  <c r="P100" i="55"/>
  <c r="T100" i="55"/>
  <c r="X100" i="55"/>
  <c r="AB100" i="55"/>
  <c r="AF100" i="55"/>
  <c r="AI108" i="55"/>
  <c r="AI46" i="55" s="1"/>
  <c r="AS111" i="55"/>
  <c r="AP153" i="55"/>
  <c r="CE158" i="55"/>
  <c r="CG158" i="55"/>
  <c r="AT155" i="55"/>
  <c r="R173" i="55"/>
  <c r="V173" i="55"/>
  <c r="Z173" i="55"/>
  <c r="AD173" i="55"/>
  <c r="AH173" i="55"/>
  <c r="P175" i="55"/>
  <c r="T175" i="55"/>
  <c r="X175" i="55"/>
  <c r="AB175" i="55"/>
  <c r="AF175" i="55"/>
  <c r="R177" i="55"/>
  <c r="V177" i="55"/>
  <c r="Z177" i="55"/>
  <c r="AU88" i="2"/>
  <c r="AU71" i="2"/>
  <c r="AV108" i="3"/>
  <c r="AW108" i="3" s="1"/>
  <c r="AV121" i="3"/>
  <c r="AW121" i="3" s="1"/>
  <c r="BQ72" i="2"/>
  <c r="BQ83" i="2" s="1"/>
  <c r="BU72" i="2"/>
  <c r="BU75" i="2" s="1"/>
  <c r="CK72" i="2"/>
  <c r="CK75" i="2" s="1"/>
  <c r="AG169" i="55"/>
  <c r="AG139" i="55"/>
  <c r="AO113" i="55"/>
  <c r="D6" i="3"/>
  <c r="D43" i="2"/>
  <c r="D55" i="2" s="1"/>
  <c r="D71" i="2" s="1"/>
  <c r="D7" i="3"/>
  <c r="D92" i="3" s="1"/>
  <c r="F43" i="2"/>
  <c r="F55" i="2" s="1"/>
  <c r="F71" i="2" s="1"/>
  <c r="F7" i="3"/>
  <c r="F92" i="3" s="1"/>
  <c r="H43" i="2"/>
  <c r="H55" i="2" s="1"/>
  <c r="H71" i="2" s="1"/>
  <c r="H7" i="3"/>
  <c r="H92" i="3" s="1"/>
  <c r="J43" i="2"/>
  <c r="J55" i="2" s="1"/>
  <c r="J71" i="2" s="1"/>
  <c r="J7" i="3"/>
  <c r="J92" i="3" s="1"/>
  <c r="L43" i="2"/>
  <c r="L55" i="2" s="1"/>
  <c r="L71" i="2" s="1"/>
  <c r="L7" i="3"/>
  <c r="L92" i="3" s="1"/>
  <c r="N43" i="2"/>
  <c r="N55" i="2" s="1"/>
  <c r="N71" i="2" s="1"/>
  <c r="N7" i="3"/>
  <c r="N92" i="3" s="1"/>
  <c r="P43" i="2"/>
  <c r="P55" i="2" s="1"/>
  <c r="P71" i="2" s="1"/>
  <c r="P7" i="3"/>
  <c r="P92" i="3" s="1"/>
  <c r="R43" i="2"/>
  <c r="R55" i="2" s="1"/>
  <c r="R71" i="2" s="1"/>
  <c r="R7" i="3"/>
  <c r="R92" i="3" s="1"/>
  <c r="T43" i="2"/>
  <c r="T55" i="2" s="1"/>
  <c r="T71" i="2" s="1"/>
  <c r="T7" i="3"/>
  <c r="T92" i="3" s="1"/>
  <c r="V43" i="2"/>
  <c r="V55" i="2" s="1"/>
  <c r="V71" i="2" s="1"/>
  <c r="V7" i="3"/>
  <c r="V92" i="3" s="1"/>
  <c r="X43" i="2"/>
  <c r="X55" i="2" s="1"/>
  <c r="X71" i="2" s="1"/>
  <c r="X7" i="3"/>
  <c r="X92" i="3" s="1"/>
  <c r="Z43" i="2"/>
  <c r="Z55" i="2" s="1"/>
  <c r="Z71" i="2" s="1"/>
  <c r="Z7" i="3"/>
  <c r="Z92" i="3" s="1"/>
  <c r="AB43" i="2"/>
  <c r="AB55" i="2" s="1"/>
  <c r="AB71" i="2" s="1"/>
  <c r="AB7" i="3"/>
  <c r="AB92" i="3" s="1"/>
  <c r="AD43" i="2"/>
  <c r="AD55" i="2" s="1"/>
  <c r="AD71" i="2" s="1"/>
  <c r="AD7" i="3"/>
  <c r="AD92" i="3" s="1"/>
  <c r="AF43" i="2"/>
  <c r="AF55" i="2" s="1"/>
  <c r="AF71" i="2" s="1"/>
  <c r="AF7" i="3"/>
  <c r="AF92" i="3" s="1"/>
  <c r="AH43" i="2"/>
  <c r="AH55" i="2" s="1"/>
  <c r="AH71" i="2" s="1"/>
  <c r="AH7" i="3"/>
  <c r="AH92" i="3" s="1"/>
  <c r="AJ43" i="2"/>
  <c r="AJ55" i="2" s="1"/>
  <c r="AJ71" i="2" s="1"/>
  <c r="AJ7" i="3"/>
  <c r="AJ92" i="3" s="1"/>
  <c r="AL43" i="2"/>
  <c r="AL55" i="2" s="1"/>
  <c r="AL71" i="2" s="1"/>
  <c r="AL7" i="3"/>
  <c r="AL92" i="3" s="1"/>
  <c r="AN43" i="2"/>
  <c r="AN55" i="2" s="1"/>
  <c r="AN71" i="2" s="1"/>
  <c r="AN7" i="3"/>
  <c r="AN92" i="3" s="1"/>
  <c r="AP43" i="2"/>
  <c r="AP55" i="2" s="1"/>
  <c r="AP71" i="2" s="1"/>
  <c r="AP7" i="3"/>
  <c r="AP92" i="3" s="1"/>
  <c r="AR43" i="2"/>
  <c r="AR55" i="2" s="1"/>
  <c r="AR71" i="2" s="1"/>
  <c r="AR7" i="3"/>
  <c r="AR92" i="3" s="1"/>
  <c r="AV7" i="3"/>
  <c r="AX43" i="2"/>
  <c r="AX55" i="2" s="1"/>
  <c r="AX71" i="2" s="1"/>
  <c r="AX7" i="3"/>
  <c r="AX92" i="3" s="1"/>
  <c r="BB43" i="2"/>
  <c r="BB55" i="2" s="1"/>
  <c r="BB71" i="2" s="1"/>
  <c r="BB7" i="3"/>
  <c r="BB92" i="3" s="1"/>
  <c r="BM43" i="2"/>
  <c r="BM55" i="2" s="1"/>
  <c r="BM88" i="2" s="1"/>
  <c r="BM7" i="3"/>
  <c r="BM92" i="3" s="1"/>
  <c r="BO71" i="2"/>
  <c r="BO7" i="3"/>
  <c r="BO92" i="3" s="1"/>
  <c r="BS71" i="2"/>
  <c r="BS7" i="3"/>
  <c r="BU43" i="2"/>
  <c r="BU55" i="2" s="1"/>
  <c r="BU88" i="2" s="1"/>
  <c r="BU7" i="3"/>
  <c r="BW71" i="2"/>
  <c r="BW7" i="3"/>
  <c r="BW92" i="3" s="1"/>
  <c r="CF71" i="2"/>
  <c r="CF7" i="3"/>
  <c r="CF92" i="3" s="1"/>
  <c r="CJ71" i="2"/>
  <c r="CJ7" i="3"/>
  <c r="CJ92" i="3" s="1"/>
  <c r="CN71" i="2"/>
  <c r="CN7" i="3"/>
  <c r="CN92" i="3" s="1"/>
  <c r="BO77" i="2"/>
  <c r="BS72" i="2"/>
  <c r="BS75" i="2" s="1"/>
  <c r="CG72" i="2"/>
  <c r="CG75" i="2" s="1"/>
  <c r="CI72" i="2"/>
  <c r="CI75" i="2" s="1"/>
  <c r="AR113" i="55"/>
  <c r="BN72" i="2"/>
  <c r="BN75" i="2" s="1"/>
  <c r="BP72" i="2"/>
  <c r="BP75" i="2" s="1"/>
  <c r="BR72" i="2"/>
  <c r="BR75" i="2" s="1"/>
  <c r="BT72" i="2"/>
  <c r="BT75" i="2" s="1"/>
  <c r="BV72" i="2"/>
  <c r="BV75" i="2" s="1"/>
  <c r="CD72" i="2"/>
  <c r="CD75" i="2" s="1"/>
  <c r="CF72" i="2"/>
  <c r="CF75" i="2" s="1"/>
  <c r="CH72" i="2"/>
  <c r="CH75" i="2" s="1"/>
  <c r="CJ72" i="2"/>
  <c r="CJ75" i="2" s="1"/>
  <c r="CL72" i="2"/>
  <c r="CL75" i="2" s="1"/>
  <c r="AS113" i="55"/>
  <c r="J166" i="55"/>
  <c r="J165" i="55"/>
  <c r="J163" i="55"/>
  <c r="L166" i="55"/>
  <c r="L86" i="55" s="1"/>
  <c r="CD86" i="55" s="1"/>
  <c r="CD90" i="55" s="1"/>
  <c r="L162" i="55"/>
  <c r="L164" i="55"/>
  <c r="L53" i="55" s="1"/>
  <c r="CD53" i="55" s="1"/>
  <c r="N164" i="55"/>
  <c r="N53" i="55" s="1"/>
  <c r="N166" i="55"/>
  <c r="N86" i="55" s="1"/>
  <c r="R89" i="55" s="1"/>
  <c r="N163" i="55"/>
  <c r="N42" i="55" s="1"/>
  <c r="R45" i="55" s="1"/>
  <c r="N165" i="55"/>
  <c r="E43" i="2"/>
  <c r="E55" i="2" s="1"/>
  <c r="E71" i="2" s="1"/>
  <c r="E7" i="3"/>
  <c r="E92" i="3" s="1"/>
  <c r="G43" i="2"/>
  <c r="G55" i="2" s="1"/>
  <c r="G71" i="2" s="1"/>
  <c r="G7" i="3"/>
  <c r="G92" i="3" s="1"/>
  <c r="I43" i="2"/>
  <c r="I55" i="2" s="1"/>
  <c r="I71" i="2" s="1"/>
  <c r="I7" i="3"/>
  <c r="I92" i="3" s="1"/>
  <c r="K43" i="2"/>
  <c r="K55" i="2" s="1"/>
  <c r="K71" i="2" s="1"/>
  <c r="K7" i="3"/>
  <c r="K92" i="3" s="1"/>
  <c r="M43" i="2"/>
  <c r="M55" i="2" s="1"/>
  <c r="M71" i="2" s="1"/>
  <c r="M7" i="3"/>
  <c r="M92" i="3" s="1"/>
  <c r="O43" i="2"/>
  <c r="O55" i="2" s="1"/>
  <c r="O71" i="2" s="1"/>
  <c r="O7" i="3"/>
  <c r="O92" i="3" s="1"/>
  <c r="Q43" i="2"/>
  <c r="Q55" i="2" s="1"/>
  <c r="Q88" i="2" s="1"/>
  <c r="Q7" i="3"/>
  <c r="Q92" i="3" s="1"/>
  <c r="S43" i="2"/>
  <c r="S55" i="2" s="1"/>
  <c r="S71" i="2" s="1"/>
  <c r="S7" i="3"/>
  <c r="S65" i="3" s="1"/>
  <c r="S79" i="3" s="1"/>
  <c r="S56" i="3" s="1"/>
  <c r="U43" i="2"/>
  <c r="U55" i="2" s="1"/>
  <c r="U71" i="2" s="1"/>
  <c r="U7" i="3"/>
  <c r="U92" i="3" s="1"/>
  <c r="W43" i="2"/>
  <c r="W55" i="2" s="1"/>
  <c r="W71" i="2" s="1"/>
  <c r="W7" i="3"/>
  <c r="W92" i="3" s="1"/>
  <c r="Y43" i="2"/>
  <c r="Y55" i="2" s="1"/>
  <c r="Y71" i="2" s="1"/>
  <c r="Y7" i="3"/>
  <c r="Y92" i="3" s="1"/>
  <c r="AA43" i="2"/>
  <c r="AA55" i="2" s="1"/>
  <c r="AA71" i="2" s="1"/>
  <c r="AA7" i="3"/>
  <c r="AA92" i="3" s="1"/>
  <c r="AC43" i="2"/>
  <c r="AC55" i="2" s="1"/>
  <c r="AC71" i="2" s="1"/>
  <c r="AC7" i="3"/>
  <c r="AC92" i="3" s="1"/>
  <c r="AE43" i="2"/>
  <c r="AE55" i="2" s="1"/>
  <c r="AE71" i="2" s="1"/>
  <c r="AE7" i="3"/>
  <c r="AE92" i="3" s="1"/>
  <c r="AG43" i="2"/>
  <c r="AG55" i="2" s="1"/>
  <c r="AG71" i="2" s="1"/>
  <c r="AG7" i="3"/>
  <c r="AG92" i="3" s="1"/>
  <c r="AI43" i="2"/>
  <c r="AI55" i="2" s="1"/>
  <c r="AI71" i="2" s="1"/>
  <c r="AI7" i="3"/>
  <c r="AI65" i="3" s="1"/>
  <c r="AI79" i="3" s="1"/>
  <c r="AI56" i="3" s="1"/>
  <c r="AK43" i="2"/>
  <c r="AK55" i="2" s="1"/>
  <c r="AK71" i="2" s="1"/>
  <c r="AK7" i="3"/>
  <c r="AK92" i="3" s="1"/>
  <c r="AM43" i="2"/>
  <c r="AM55" i="2" s="1"/>
  <c r="AM71" i="2" s="1"/>
  <c r="AM7" i="3"/>
  <c r="AM92" i="3" s="1"/>
  <c r="AO43" i="2"/>
  <c r="AO55" i="2" s="1"/>
  <c r="AO71" i="2" s="1"/>
  <c r="AO7" i="3"/>
  <c r="AO92" i="3" s="1"/>
  <c r="AQ43" i="2"/>
  <c r="AQ55" i="2" s="1"/>
  <c r="AQ88" i="2" s="1"/>
  <c r="AQ7" i="3"/>
  <c r="AQ92" i="3" s="1"/>
  <c r="AS43" i="2"/>
  <c r="AS55" i="2" s="1"/>
  <c r="AS71" i="2" s="1"/>
  <c r="AS7" i="3"/>
  <c r="AS92" i="3" s="1"/>
  <c r="AU7" i="3"/>
  <c r="AU65" i="3" s="1"/>
  <c r="AU79" i="3" s="1"/>
  <c r="AU56" i="3" s="1"/>
  <c r="AW43" i="2"/>
  <c r="AW55" i="2" s="1"/>
  <c r="AW88" i="2" s="1"/>
  <c r="AW7" i="3"/>
  <c r="AW92" i="3" s="1"/>
  <c r="AY43" i="2"/>
  <c r="AY55" i="2" s="1"/>
  <c r="AY88" i="2" s="1"/>
  <c r="AY7" i="3"/>
  <c r="AY92" i="3" s="1"/>
  <c r="BA43" i="2"/>
  <c r="BA55" i="2" s="1"/>
  <c r="BA88" i="2" s="1"/>
  <c r="BA7" i="3"/>
  <c r="BA92" i="3" s="1"/>
  <c r="BC43" i="2"/>
  <c r="BC55" i="2" s="1"/>
  <c r="BC88" i="2" s="1"/>
  <c r="BC7" i="3"/>
  <c r="BC65" i="3" s="1"/>
  <c r="BC79" i="3" s="1"/>
  <c r="BC56" i="3" s="1"/>
  <c r="CG43" i="2"/>
  <c r="CG55" i="2" s="1"/>
  <c r="CG88" i="2" s="1"/>
  <c r="CG7" i="3"/>
  <c r="CG92" i="3" s="1"/>
  <c r="AL48" i="2"/>
  <c r="AN48" i="2"/>
  <c r="AP48" i="2"/>
  <c r="AR48" i="2"/>
  <c r="AT48" i="2"/>
  <c r="BO75" i="2"/>
  <c r="AM75" i="2"/>
  <c r="O77" i="2"/>
  <c r="AE77" i="2"/>
  <c r="AR83" i="2"/>
  <c r="F161" i="55"/>
  <c r="F152" i="55" s="1"/>
  <c r="F143" i="55"/>
  <c r="N143" i="55"/>
  <c r="N161" i="55"/>
  <c r="N152" i="55" s="1"/>
  <c r="X161" i="55"/>
  <c r="X152" i="55" s="1"/>
  <c r="X136" i="55"/>
  <c r="E77" i="2"/>
  <c r="I77" i="2"/>
  <c r="K77" i="2"/>
  <c r="M77" i="2"/>
  <c r="Q77" i="2"/>
  <c r="S77" i="2"/>
  <c r="U77" i="2"/>
  <c r="Y77" i="2"/>
  <c r="AA77" i="2"/>
  <c r="AC77" i="2"/>
  <c r="AG77" i="2"/>
  <c r="AI77" i="2"/>
  <c r="AK77" i="2"/>
  <c r="AO77" i="2"/>
  <c r="AQ77" i="2"/>
  <c r="AS77" i="2"/>
  <c r="G77" i="2"/>
  <c r="W77" i="2"/>
  <c r="AL156" i="55"/>
  <c r="AL155" i="55"/>
  <c r="AL153" i="55"/>
  <c r="AT7" i="3"/>
  <c r="AT92" i="3" s="1"/>
  <c r="V34" i="55"/>
  <c r="AD34" i="55"/>
  <c r="U34" i="55"/>
  <c r="Y34" i="55"/>
  <c r="AL34" i="55"/>
  <c r="BX51" i="55"/>
  <c r="BU64" i="55"/>
  <c r="BU67" i="55" s="1"/>
  <c r="CI67" i="55"/>
  <c r="Y68" i="55"/>
  <c r="AK70" i="55"/>
  <c r="CK70" i="55" s="1"/>
  <c r="CK73" i="55" s="1"/>
  <c r="U121" i="55"/>
  <c r="Q46" i="55"/>
  <c r="Y46" i="55"/>
  <c r="BY51" i="55"/>
  <c r="U57" i="55"/>
  <c r="Y79" i="55"/>
  <c r="Q158" i="55"/>
  <c r="Y35" i="55"/>
  <c r="BY67" i="55"/>
  <c r="U68" i="55"/>
  <c r="Y158" i="55"/>
  <c r="Y24" i="55"/>
  <c r="AA46" i="55"/>
  <c r="BX62" i="55"/>
  <c r="BX73" i="55"/>
  <c r="AU108" i="55"/>
  <c r="AV109" i="55" s="1"/>
  <c r="BW9" i="55"/>
  <c r="BW12" i="55" s="1"/>
  <c r="CM9" i="55"/>
  <c r="CL17" i="3"/>
  <c r="CL102" i="3" s="1"/>
  <c r="AL127" i="3"/>
  <c r="AM127" i="3" s="1"/>
  <c r="BU127" i="3" s="1"/>
  <c r="BW17" i="3"/>
  <c r="AV97" i="3"/>
  <c r="AW97" i="3" s="1"/>
  <c r="AE76" i="3"/>
  <c r="AM76" i="3"/>
  <c r="F117" i="3"/>
  <c r="G117" i="3" s="1"/>
  <c r="BM117" i="3" s="1"/>
  <c r="BP118" i="3"/>
  <c r="U96" i="3"/>
  <c r="V96" i="3" s="1"/>
  <c r="W96" i="3" s="1"/>
  <c r="BQ96" i="3" s="1"/>
  <c r="U123" i="55"/>
  <c r="W83" i="3"/>
  <c r="W81" i="3" s="1"/>
  <c r="W80" i="3" s="1"/>
  <c r="W84" i="3" s="1"/>
  <c r="W123" i="55"/>
  <c r="BS58" i="3"/>
  <c r="BU23" i="3"/>
  <c r="BN33" i="3"/>
  <c r="BP33" i="3"/>
  <c r="BR33" i="3"/>
  <c r="BT33" i="3"/>
  <c r="BV33" i="3"/>
  <c r="BU33" i="3"/>
  <c r="CL66" i="3"/>
  <c r="CL113" i="3"/>
  <c r="BW40" i="3"/>
  <c r="CI42" i="3"/>
  <c r="CI127" i="3" s="1"/>
  <c r="CI128" i="3" s="1"/>
  <c r="BP58" i="3"/>
  <c r="CC66" i="3"/>
  <c r="CG66" i="3"/>
  <c r="R70" i="3"/>
  <c r="Q70" i="3" s="1"/>
  <c r="BN76" i="3"/>
  <c r="AI102" i="3"/>
  <c r="BT102" i="3" s="1"/>
  <c r="H118" i="3"/>
  <c r="L118" i="3"/>
  <c r="P118" i="3"/>
  <c r="U113" i="3"/>
  <c r="V113" i="3" s="1"/>
  <c r="Y113" i="3"/>
  <c r="Z113" i="3" s="1"/>
  <c r="AA113" i="3" s="1"/>
  <c r="BR113" i="3" s="1"/>
  <c r="BR118" i="3" s="1"/>
  <c r="AC113" i="3"/>
  <c r="AD113" i="3" s="1"/>
  <c r="AG113" i="3"/>
  <c r="AH113" i="3" s="1"/>
  <c r="AI113" i="3" s="1"/>
  <c r="BT113" i="3" s="1"/>
  <c r="AJ118" i="3"/>
  <c r="AN118" i="3"/>
  <c r="CD113" i="3"/>
  <c r="CD118" i="3" s="1"/>
  <c r="AU125" i="3"/>
  <c r="BW125" i="3" s="1"/>
  <c r="V83" i="3"/>
  <c r="V123" i="55"/>
  <c r="X123" i="55"/>
  <c r="BR123" i="55" s="1"/>
  <c r="BO66" i="3"/>
  <c r="BQ66" i="3"/>
  <c r="BS66" i="3"/>
  <c r="BU66" i="3"/>
  <c r="BO33" i="3"/>
  <c r="BQ33" i="3"/>
  <c r="BS33" i="3"/>
  <c r="CK113" i="3"/>
  <c r="CK118" i="3" s="1"/>
  <c r="BV36" i="3"/>
  <c r="BV43" i="3" s="1"/>
  <c r="CL36" i="3"/>
  <c r="AJ43" i="3"/>
  <c r="BT58" i="3"/>
  <c r="CE66" i="3"/>
  <c r="CI66" i="3"/>
  <c r="D66" i="3"/>
  <c r="D68" i="3" s="1"/>
  <c r="V68" i="3"/>
  <c r="AJ70" i="3"/>
  <c r="AJ72" i="3" s="1"/>
  <c r="CJ72" i="3" s="1"/>
  <c r="AI76" i="3"/>
  <c r="BM76" i="3"/>
  <c r="BO76" i="3"/>
  <c r="BQ76" i="3"/>
  <c r="S81" i="3"/>
  <c r="S80" i="3" s="1"/>
  <c r="S84" i="3" s="1"/>
  <c r="AU97" i="3"/>
  <c r="BW97" i="3" s="1"/>
  <c r="AJ108" i="3"/>
  <c r="AK108" i="3" s="1"/>
  <c r="AL108" i="3" s="1"/>
  <c r="AM108" i="3" s="1"/>
  <c r="BU108" i="3" s="1"/>
  <c r="E113" i="3"/>
  <c r="F113" i="3" s="1"/>
  <c r="AE114" i="3"/>
  <c r="BS114" i="3" s="1"/>
  <c r="AL121" i="3"/>
  <c r="AM121" i="3" s="1"/>
  <c r="CD128" i="3"/>
  <c r="CH128" i="3"/>
  <c r="BQ43" i="3"/>
  <c r="BN43" i="3"/>
  <c r="BP43" i="3"/>
  <c r="BR43" i="3"/>
  <c r="BT43" i="3"/>
  <c r="BU123" i="55"/>
  <c r="BV58" i="3"/>
  <c r="CJ96" i="3"/>
  <c r="CD99" i="3"/>
  <c r="CD69" i="3"/>
  <c r="CL99" i="3"/>
  <c r="CL69" i="3"/>
  <c r="BP59" i="3"/>
  <c r="BT59" i="3"/>
  <c r="CM65" i="3"/>
  <c r="CM79" i="3" s="1"/>
  <c r="CM56" i="3" s="1"/>
  <c r="S92" i="3"/>
  <c r="BX92" i="3"/>
  <c r="BT65" i="3"/>
  <c r="BT79" i="3" s="1"/>
  <c r="BT56" i="3" s="1"/>
  <c r="BT92" i="3"/>
  <c r="BP83" i="3"/>
  <c r="BP81" i="3" s="1"/>
  <c r="BP80" i="3" s="1"/>
  <c r="BP84" i="3" s="1"/>
  <c r="BT83" i="3"/>
  <c r="BT81" i="3" s="1"/>
  <c r="BT80" i="3" s="1"/>
  <c r="BT84" i="3" s="1"/>
  <c r="BR58" i="3"/>
  <c r="CH96" i="3"/>
  <c r="CL96" i="3"/>
  <c r="BR59" i="3"/>
  <c r="BV59" i="3"/>
  <c r="CF58" i="3"/>
  <c r="CJ83" i="3"/>
  <c r="BS83" i="3"/>
  <c r="BS81" i="3" s="1"/>
  <c r="BS80" i="3" s="1"/>
  <c r="BS84" i="3" s="1"/>
  <c r="BU83" i="3"/>
  <c r="BU81" i="3" s="1"/>
  <c r="BU80" i="3" s="1"/>
  <c r="BU84" i="3" s="1"/>
  <c r="BQ58" i="3"/>
  <c r="BU58" i="3"/>
  <c r="CF96" i="3"/>
  <c r="CF83" i="3"/>
  <c r="CK83" i="3"/>
  <c r="BM59" i="3"/>
  <c r="BQ59" i="3"/>
  <c r="BU59" i="3"/>
  <c r="BO59" i="3"/>
  <c r="BS59" i="3"/>
  <c r="CC59" i="3"/>
  <c r="CC104" i="3"/>
  <c r="CG59" i="3"/>
  <c r="CG104" i="3"/>
  <c r="CK59" i="3"/>
  <c r="CK104" i="3"/>
  <c r="BO43" i="3"/>
  <c r="BS43" i="3"/>
  <c r="CC128" i="3"/>
  <c r="CE43" i="3"/>
  <c r="CE121" i="3"/>
  <c r="CE128" i="3" s="1"/>
  <c r="CG121" i="3"/>
  <c r="CG128" i="3" s="1"/>
  <c r="CJ58" i="3"/>
  <c r="CE65" i="3"/>
  <c r="CE79" i="3" s="1"/>
  <c r="CE56" i="3" s="1"/>
  <c r="CH69" i="3"/>
  <c r="BV83" i="3"/>
  <c r="BP92" i="3"/>
  <c r="CI92" i="3"/>
  <c r="H128" i="3"/>
  <c r="I121" i="3"/>
  <c r="J121" i="3" s="1"/>
  <c r="P128" i="3"/>
  <c r="Q121" i="3"/>
  <c r="R121" i="3" s="1"/>
  <c r="Y128" i="3"/>
  <c r="Z121" i="3"/>
  <c r="AA121" i="3" s="1"/>
  <c r="BR121" i="3" s="1"/>
  <c r="BR128" i="3" s="1"/>
  <c r="AG128" i="3"/>
  <c r="AH121" i="3"/>
  <c r="AI121" i="3" s="1"/>
  <c r="AO128" i="3"/>
  <c r="AP121" i="3"/>
  <c r="AQ121" i="3" s="1"/>
  <c r="AQ128" i="3" s="1"/>
  <c r="AU107" i="3"/>
  <c r="BW107" i="3" s="1"/>
  <c r="AU108" i="3"/>
  <c r="BW108" i="3" s="1"/>
  <c r="L128" i="3"/>
  <c r="M121" i="3"/>
  <c r="N121" i="3" s="1"/>
  <c r="U128" i="3"/>
  <c r="V121" i="3"/>
  <c r="W121" i="3" s="1"/>
  <c r="BS123" i="55"/>
  <c r="BT123" i="55"/>
  <c r="CJ123" i="55"/>
  <c r="BV123" i="55"/>
  <c r="BW18" i="2"/>
  <c r="CM12" i="55"/>
  <c r="BW20" i="55"/>
  <c r="AC24" i="55"/>
  <c r="BV24" i="55"/>
  <c r="BV35" i="55"/>
  <c r="AL45" i="55"/>
  <c r="AT46" i="55"/>
  <c r="BX50" i="55"/>
  <c r="BY56" i="55"/>
  <c r="AC57" i="55"/>
  <c r="BX61" i="55"/>
  <c r="AC68" i="55"/>
  <c r="BY73" i="55"/>
  <c r="BW75" i="55"/>
  <c r="BV79" i="55"/>
  <c r="Z68" i="55"/>
  <c r="AS156" i="55"/>
  <c r="AS155" i="55"/>
  <c r="AS154" i="55"/>
  <c r="AS153" i="55"/>
  <c r="CG118" i="55"/>
  <c r="BR118" i="55"/>
  <c r="CI118" i="55"/>
  <c r="CJ118" i="55"/>
  <c r="CK118" i="55"/>
  <c r="BV118" i="55"/>
  <c r="CH118" i="55"/>
  <c r="E195" i="55"/>
  <c r="E184" i="55"/>
  <c r="E206" i="55"/>
  <c r="E161" i="55"/>
  <c r="E152" i="55" s="1"/>
  <c r="E143" i="55"/>
  <c r="E136" i="55"/>
  <c r="E171" i="55"/>
  <c r="G195" i="55"/>
  <c r="G206" i="55"/>
  <c r="G184" i="55"/>
  <c r="G171" i="55"/>
  <c r="G161" i="55"/>
  <c r="G152" i="55" s="1"/>
  <c r="G143" i="55"/>
  <c r="G136" i="55"/>
  <c r="I195" i="55"/>
  <c r="I184" i="55"/>
  <c r="I206" i="55"/>
  <c r="I161" i="55"/>
  <c r="I152" i="55" s="1"/>
  <c r="I143" i="55"/>
  <c r="I136" i="55"/>
  <c r="I171" i="55"/>
  <c r="K195" i="55"/>
  <c r="K206" i="55"/>
  <c r="K184" i="55"/>
  <c r="K171" i="55"/>
  <c r="K161" i="55"/>
  <c r="K152" i="55" s="1"/>
  <c r="K143" i="55"/>
  <c r="K136" i="55"/>
  <c r="M195" i="55"/>
  <c r="M184" i="55"/>
  <c r="M206" i="55"/>
  <c r="M161" i="55"/>
  <c r="M152" i="55" s="1"/>
  <c r="M143" i="55"/>
  <c r="M136" i="55"/>
  <c r="M171" i="55"/>
  <c r="O195" i="55"/>
  <c r="O206" i="55"/>
  <c r="O184" i="55"/>
  <c r="O171" i="55"/>
  <c r="O161" i="55"/>
  <c r="O152" i="55" s="1"/>
  <c r="O143" i="55"/>
  <c r="O136" i="55"/>
  <c r="Q195" i="55"/>
  <c r="Q184" i="55"/>
  <c r="Q206" i="55"/>
  <c r="Q161" i="55"/>
  <c r="Q152" i="55" s="1"/>
  <c r="Q143" i="55"/>
  <c r="Q136" i="55"/>
  <c r="Q171" i="55"/>
  <c r="S195" i="55"/>
  <c r="S206" i="55"/>
  <c r="S184" i="55"/>
  <c r="S161" i="55"/>
  <c r="S152" i="55" s="1"/>
  <c r="S171" i="55"/>
  <c r="S143" i="55"/>
  <c r="S136" i="55"/>
  <c r="U195" i="55"/>
  <c r="U184" i="55"/>
  <c r="U206" i="55"/>
  <c r="U143" i="55"/>
  <c r="U136" i="55"/>
  <c r="U161" i="55"/>
  <c r="U152" i="55" s="1"/>
  <c r="U171" i="55"/>
  <c r="W195" i="55"/>
  <c r="W206" i="55"/>
  <c r="W184" i="55"/>
  <c r="W161" i="55"/>
  <c r="W152" i="55" s="1"/>
  <c r="W171" i="55"/>
  <c r="W143" i="55"/>
  <c r="W136" i="55"/>
  <c r="Y195" i="55"/>
  <c r="Y184" i="55"/>
  <c r="Y206" i="55"/>
  <c r="Y161" i="55"/>
  <c r="Y152" i="55" s="1"/>
  <c r="Y143" i="55"/>
  <c r="Y136" i="55"/>
  <c r="Y171" i="55"/>
  <c r="AA195" i="55"/>
  <c r="AA206" i="55"/>
  <c r="AA184" i="55"/>
  <c r="AA161" i="55"/>
  <c r="AA152" i="55" s="1"/>
  <c r="AA171" i="55"/>
  <c r="AA143" i="55"/>
  <c r="AA136" i="55"/>
  <c r="AC195" i="55"/>
  <c r="AC184" i="55"/>
  <c r="AC206" i="55"/>
  <c r="AC143" i="55"/>
  <c r="AC136" i="55"/>
  <c r="AC171" i="55"/>
  <c r="AC161" i="55"/>
  <c r="AC152" i="55" s="1"/>
  <c r="AE195" i="55"/>
  <c r="AE206" i="55"/>
  <c r="AE184" i="55"/>
  <c r="AE161" i="55"/>
  <c r="AE152" i="55" s="1"/>
  <c r="AE171" i="55"/>
  <c r="AE136" i="55"/>
  <c r="AE143" i="55"/>
  <c r="AG195" i="55"/>
  <c r="AG184" i="55"/>
  <c r="AG206" i="55"/>
  <c r="AG161" i="55"/>
  <c r="AG152" i="55" s="1"/>
  <c r="AG136" i="55"/>
  <c r="AG171" i="55"/>
  <c r="AG143" i="55"/>
  <c r="AI195" i="55"/>
  <c r="AI206" i="55"/>
  <c r="AI184" i="55"/>
  <c r="AI171" i="55"/>
  <c r="AI161" i="55"/>
  <c r="AI152" i="55" s="1"/>
  <c r="AI136" i="55"/>
  <c r="AI143" i="55"/>
  <c r="AK195" i="55"/>
  <c r="AK184" i="55"/>
  <c r="AK206" i="55"/>
  <c r="AK161" i="55"/>
  <c r="AK152" i="55" s="1"/>
  <c r="AK143" i="55"/>
  <c r="AK136" i="55"/>
  <c r="AK171" i="55"/>
  <c r="AM195" i="55"/>
  <c r="AM206" i="55"/>
  <c r="AM184" i="55"/>
  <c r="AM171" i="55"/>
  <c r="AM136" i="55"/>
  <c r="AM161" i="55"/>
  <c r="AM152" i="55" s="1"/>
  <c r="AM143" i="55"/>
  <c r="AO195" i="55"/>
  <c r="AO184" i="55"/>
  <c r="AO206" i="55"/>
  <c r="AO171" i="55"/>
  <c r="AO161" i="55"/>
  <c r="AO152" i="55" s="1"/>
  <c r="AO143" i="55"/>
  <c r="AO136" i="55"/>
  <c r="AQ195" i="55"/>
  <c r="AQ206" i="55"/>
  <c r="AQ184" i="55"/>
  <c r="AQ171" i="55"/>
  <c r="AQ136" i="55"/>
  <c r="AQ143" i="55"/>
  <c r="AQ161" i="55"/>
  <c r="AQ152" i="55" s="1"/>
  <c r="AS195" i="55"/>
  <c r="AS184" i="55"/>
  <c r="AS206" i="55"/>
  <c r="AS161" i="55"/>
  <c r="AS152" i="55" s="1"/>
  <c r="AS143" i="55"/>
  <c r="AS171" i="55"/>
  <c r="AS136" i="55"/>
  <c r="AU195" i="55"/>
  <c r="AU206" i="55"/>
  <c r="AU184" i="55"/>
  <c r="AU171" i="55"/>
  <c r="AU136" i="55"/>
  <c r="AU161" i="55"/>
  <c r="AU152" i="55" s="1"/>
  <c r="AU143" i="55"/>
  <c r="AW195" i="55"/>
  <c r="AW184" i="55"/>
  <c r="AW206" i="55"/>
  <c r="AW171" i="55"/>
  <c r="AW161" i="55"/>
  <c r="AW152" i="55" s="1"/>
  <c r="AW143" i="55"/>
  <c r="AW136" i="55"/>
  <c r="AY195" i="55"/>
  <c r="AY206" i="55"/>
  <c r="AY184" i="55"/>
  <c r="AY171" i="55"/>
  <c r="AY136" i="55"/>
  <c r="AY143" i="55"/>
  <c r="AY161" i="55"/>
  <c r="AY152" i="55" s="1"/>
  <c r="BA195" i="55"/>
  <c r="BA184" i="55"/>
  <c r="BA206" i="55"/>
  <c r="BA161" i="55"/>
  <c r="BA152" i="55" s="1"/>
  <c r="BA143" i="55"/>
  <c r="BA136" i="55"/>
  <c r="BA171" i="55"/>
  <c r="BC195" i="55"/>
  <c r="BC206" i="55"/>
  <c r="BC184" i="55"/>
  <c r="BC171" i="55"/>
  <c r="BC136" i="55"/>
  <c r="BC161" i="55"/>
  <c r="BC152" i="55" s="1"/>
  <c r="BC143" i="55"/>
  <c r="BN195" i="55"/>
  <c r="BN184" i="55"/>
  <c r="BN206" i="55"/>
  <c r="BN171" i="55"/>
  <c r="BN161" i="55"/>
  <c r="BN152" i="55" s="1"/>
  <c r="BN143" i="55"/>
  <c r="BN136" i="55"/>
  <c r="BP195" i="55"/>
  <c r="BP206" i="55"/>
  <c r="BP184" i="55"/>
  <c r="BP171" i="55"/>
  <c r="BP136" i="55"/>
  <c r="BP143" i="55"/>
  <c r="BP161" i="55"/>
  <c r="BP152" i="55" s="1"/>
  <c r="BR195" i="55"/>
  <c r="BR184" i="55"/>
  <c r="BR206" i="55"/>
  <c r="BR161" i="55"/>
  <c r="BR152" i="55" s="1"/>
  <c r="BR143" i="55"/>
  <c r="BR171" i="55"/>
  <c r="BR136" i="55"/>
  <c r="BT195" i="55"/>
  <c r="BT206" i="55"/>
  <c r="BT184" i="55"/>
  <c r="BT171" i="55"/>
  <c r="BT161" i="55"/>
  <c r="BT152" i="55" s="1"/>
  <c r="BT136" i="55"/>
  <c r="BT143" i="55"/>
  <c r="BV195" i="55"/>
  <c r="BV184" i="55"/>
  <c r="BV206" i="55"/>
  <c r="BV171" i="55"/>
  <c r="BV161" i="55"/>
  <c r="BV152" i="55" s="1"/>
  <c r="BV143" i="55"/>
  <c r="BV136" i="55"/>
  <c r="BX195" i="55"/>
  <c r="BX206" i="55"/>
  <c r="BX184" i="55"/>
  <c r="BX171" i="55"/>
  <c r="BX143" i="55"/>
  <c r="BX161" i="55"/>
  <c r="BX152" i="55" s="1"/>
  <c r="BX136" i="55"/>
  <c r="CC195" i="55"/>
  <c r="CC184" i="55"/>
  <c r="CC206" i="55"/>
  <c r="CC161" i="55"/>
  <c r="CC152" i="55" s="1"/>
  <c r="CC143" i="55"/>
  <c r="CC136" i="55"/>
  <c r="CC171" i="55"/>
  <c r="CE195" i="55"/>
  <c r="CE206" i="55"/>
  <c r="CE184" i="55"/>
  <c r="CE171" i="55"/>
  <c r="CE161" i="55"/>
  <c r="CE152" i="55" s="1"/>
  <c r="CE136" i="55"/>
  <c r="CE143" i="55"/>
  <c r="CG195" i="55"/>
  <c r="CG184" i="55"/>
  <c r="CG206" i="55"/>
  <c r="CG171" i="55"/>
  <c r="CG161" i="55"/>
  <c r="CG152" i="55" s="1"/>
  <c r="CG143" i="55"/>
  <c r="CG136" i="55"/>
  <c r="CI195" i="55"/>
  <c r="CI206" i="55"/>
  <c r="CI184" i="55"/>
  <c r="CI171" i="55"/>
  <c r="CI143" i="55"/>
  <c r="CI136" i="55"/>
  <c r="CI161" i="55"/>
  <c r="CI152" i="55" s="1"/>
  <c r="CK195" i="55"/>
  <c r="CK184" i="55"/>
  <c r="CK206" i="55"/>
  <c r="CK143" i="55"/>
  <c r="CK136" i="55"/>
  <c r="CK161" i="55"/>
  <c r="CK152" i="55" s="1"/>
  <c r="CK171" i="55"/>
  <c r="CM195" i="55"/>
  <c r="CM206" i="55"/>
  <c r="CM184" i="55"/>
  <c r="CM171" i="55"/>
  <c r="CM143" i="55"/>
  <c r="CM136" i="55"/>
  <c r="CM161" i="55"/>
  <c r="CM152" i="55" s="1"/>
  <c r="CL108" i="55"/>
  <c r="CL13" i="55" s="1"/>
  <c r="AP16" i="55"/>
  <c r="BO20" i="55"/>
  <c r="P108" i="55"/>
  <c r="P24" i="55" s="1"/>
  <c r="P23" i="55"/>
  <c r="R24" i="55"/>
  <c r="R23" i="55"/>
  <c r="T108" i="55"/>
  <c r="T35" i="55" s="1"/>
  <c r="T23" i="55"/>
  <c r="BQ20" i="55"/>
  <c r="V23" i="55"/>
  <c r="X108" i="55"/>
  <c r="X79" i="55" s="1"/>
  <c r="X23" i="55"/>
  <c r="Z24" i="55"/>
  <c r="Z23" i="55"/>
  <c r="AB108" i="55"/>
  <c r="AC109" i="55" s="1"/>
  <c r="AB23" i="55"/>
  <c r="BS20" i="55"/>
  <c r="AD108" i="55"/>
  <c r="AD23" i="55"/>
  <c r="AF108" i="55"/>
  <c r="AF35" i="55" s="1"/>
  <c r="AF23" i="55"/>
  <c r="AH108" i="55"/>
  <c r="AH24" i="55" s="1"/>
  <c r="AL23" i="55"/>
  <c r="AH23" i="55"/>
  <c r="BP20" i="55"/>
  <c r="BT20" i="55"/>
  <c r="CF20" i="55"/>
  <c r="P21" i="55"/>
  <c r="T21" i="55"/>
  <c r="X21" i="55"/>
  <c r="AB21" i="55"/>
  <c r="AF21" i="55"/>
  <c r="R35" i="55"/>
  <c r="BW31" i="55"/>
  <c r="R32" i="55"/>
  <c r="Z32" i="55"/>
  <c r="AH32" i="55"/>
  <c r="T34" i="55"/>
  <c r="X34" i="55"/>
  <c r="AB34" i="55"/>
  <c r="AF34" i="55"/>
  <c r="AN34" i="55"/>
  <c r="R43" i="55"/>
  <c r="V43" i="55"/>
  <c r="Z43" i="55"/>
  <c r="AD43" i="55"/>
  <c r="AH43" i="55"/>
  <c r="AT43" i="55"/>
  <c r="BR42" i="55"/>
  <c r="CH42" i="55"/>
  <c r="T45" i="55"/>
  <c r="AB45" i="55"/>
  <c r="AJ45" i="55"/>
  <c r="R57" i="55"/>
  <c r="CJ53" i="55"/>
  <c r="BT53" i="55"/>
  <c r="BU56" i="55" s="1"/>
  <c r="AI31" i="55"/>
  <c r="BY62" i="55"/>
  <c r="CJ67" i="55"/>
  <c r="BO75" i="55"/>
  <c r="P78" i="55"/>
  <c r="R79" i="55"/>
  <c r="R78" i="55"/>
  <c r="T78" i="55"/>
  <c r="BQ75" i="55"/>
  <c r="V78" i="55"/>
  <c r="X78" i="55"/>
  <c r="Z78" i="55"/>
  <c r="AB78" i="55"/>
  <c r="BS75" i="55"/>
  <c r="AD78" i="55"/>
  <c r="AF78" i="55"/>
  <c r="AL78" i="55"/>
  <c r="AH78" i="55"/>
  <c r="BP75" i="55"/>
  <c r="BT75" i="55"/>
  <c r="CF75" i="55"/>
  <c r="P76" i="55"/>
  <c r="T76" i="55"/>
  <c r="X76" i="55"/>
  <c r="AB76" i="55"/>
  <c r="AF76" i="55"/>
  <c r="R101" i="55"/>
  <c r="V108" i="55"/>
  <c r="BT118" i="55"/>
  <c r="CL118" i="55"/>
  <c r="AC148" i="55"/>
  <c r="AC140" i="55"/>
  <c r="AG148" i="55"/>
  <c r="AG140" i="55"/>
  <c r="AO156" i="55"/>
  <c r="AO154" i="55"/>
  <c r="CI177" i="55"/>
  <c r="D206" i="55"/>
  <c r="D195" i="55"/>
  <c r="D184" i="55"/>
  <c r="D171" i="55"/>
  <c r="D161" i="55"/>
  <c r="D152" i="55" s="1"/>
  <c r="D143" i="55"/>
  <c r="F206" i="55"/>
  <c r="F195" i="55"/>
  <c r="F184" i="55"/>
  <c r="F171" i="55"/>
  <c r="F136" i="55"/>
  <c r="H206" i="55"/>
  <c r="H195" i="55"/>
  <c r="H184" i="55"/>
  <c r="H171" i="55"/>
  <c r="H161" i="55"/>
  <c r="H152" i="55" s="1"/>
  <c r="H143" i="55"/>
  <c r="J206" i="55"/>
  <c r="J195" i="55"/>
  <c r="J184" i="55"/>
  <c r="J171" i="55"/>
  <c r="J136" i="55"/>
  <c r="L206" i="55"/>
  <c r="L195" i="55"/>
  <c r="L184" i="55"/>
  <c r="L171" i="55"/>
  <c r="L161" i="55"/>
  <c r="L152" i="55" s="1"/>
  <c r="L143" i="55"/>
  <c r="N206" i="55"/>
  <c r="N195" i="55"/>
  <c r="N184" i="55"/>
  <c r="N171" i="55"/>
  <c r="N136" i="55"/>
  <c r="P206" i="55"/>
  <c r="P195" i="55"/>
  <c r="P184" i="55"/>
  <c r="P171" i="55"/>
  <c r="P161" i="55"/>
  <c r="P152" i="55" s="1"/>
  <c r="P143" i="55"/>
  <c r="R206" i="55"/>
  <c r="R195" i="55"/>
  <c r="R184" i="55"/>
  <c r="R171" i="55"/>
  <c r="R136" i="55"/>
  <c r="T206" i="55"/>
  <c r="T195" i="55"/>
  <c r="T184" i="55"/>
  <c r="T171" i="55"/>
  <c r="T161" i="55"/>
  <c r="T152" i="55" s="1"/>
  <c r="T143" i="55"/>
  <c r="V206" i="55"/>
  <c r="V195" i="55"/>
  <c r="V184" i="55"/>
  <c r="V171" i="55"/>
  <c r="V161" i="55"/>
  <c r="V152" i="55" s="1"/>
  <c r="V136" i="55"/>
  <c r="X206" i="55"/>
  <c r="X195" i="55"/>
  <c r="X184" i="55"/>
  <c r="X171" i="55"/>
  <c r="X143" i="55"/>
  <c r="Z206" i="55"/>
  <c r="Z195" i="55"/>
  <c r="Z184" i="55"/>
  <c r="Z171" i="55"/>
  <c r="Z161" i="55"/>
  <c r="Z152" i="55" s="1"/>
  <c r="Z136" i="55"/>
  <c r="AB206" i="55"/>
  <c r="AB195" i="55"/>
  <c r="AB184" i="55"/>
  <c r="AB171" i="55"/>
  <c r="AB161" i="55"/>
  <c r="AB152" i="55" s="1"/>
  <c r="AB143" i="55"/>
  <c r="AD206" i="55"/>
  <c r="AD195" i="55"/>
  <c r="AD184" i="55"/>
  <c r="AD171" i="55"/>
  <c r="AD161" i="55"/>
  <c r="AD152" i="55" s="1"/>
  <c r="AD136" i="55"/>
  <c r="AF206" i="55"/>
  <c r="AF195" i="55"/>
  <c r="AF184" i="55"/>
  <c r="AF171" i="55"/>
  <c r="AF143" i="55"/>
  <c r="AF161" i="55"/>
  <c r="AF152" i="55" s="1"/>
  <c r="AH206" i="55"/>
  <c r="AH195" i="55"/>
  <c r="AH184" i="55"/>
  <c r="AH171" i="55"/>
  <c r="AH143" i="55"/>
  <c r="AH136" i="55"/>
  <c r="AJ206" i="55"/>
  <c r="AJ195" i="55"/>
  <c r="AJ184" i="55"/>
  <c r="AJ171" i="55"/>
  <c r="AJ143" i="55"/>
  <c r="AJ161" i="55"/>
  <c r="AJ152" i="55" s="1"/>
  <c r="AJ136" i="55"/>
  <c r="AL206" i="55"/>
  <c r="AL195" i="55"/>
  <c r="AL184" i="55"/>
  <c r="AL171" i="55"/>
  <c r="AL161" i="55"/>
  <c r="AL152" i="55" s="1"/>
  <c r="AL143" i="55"/>
  <c r="AL136" i="55"/>
  <c r="AN206" i="55"/>
  <c r="AN195" i="55"/>
  <c r="AN184" i="55"/>
  <c r="AN171" i="55"/>
  <c r="AN161" i="55"/>
  <c r="AN152" i="55" s="1"/>
  <c r="AN143" i="55"/>
  <c r="AN136" i="55"/>
  <c r="AP206" i="55"/>
  <c r="AP195" i="55"/>
  <c r="AP184" i="55"/>
  <c r="AP171" i="55"/>
  <c r="AP161" i="55"/>
  <c r="AP152" i="55" s="1"/>
  <c r="AP143" i="55"/>
  <c r="AP136" i="55"/>
  <c r="AR206" i="55"/>
  <c r="AR195" i="55"/>
  <c r="AR184" i="55"/>
  <c r="AR171" i="55"/>
  <c r="AR161" i="55"/>
  <c r="AR152" i="55" s="1"/>
  <c r="AR143" i="55"/>
  <c r="AR136" i="55"/>
  <c r="AT206" i="55"/>
  <c r="AT195" i="55"/>
  <c r="AT184" i="55"/>
  <c r="AT171" i="55"/>
  <c r="AT161" i="55"/>
  <c r="AT152" i="55" s="1"/>
  <c r="AT143" i="55"/>
  <c r="AT136" i="55"/>
  <c r="AV206" i="55"/>
  <c r="AV195" i="55"/>
  <c r="AV184" i="55"/>
  <c r="AX206" i="55"/>
  <c r="AX195" i="55"/>
  <c r="AX184" i="55"/>
  <c r="AX171" i="55"/>
  <c r="AX161" i="55"/>
  <c r="AX152" i="55" s="1"/>
  <c r="AX143" i="55"/>
  <c r="AX136" i="55"/>
  <c r="BB206" i="55"/>
  <c r="BB195" i="55"/>
  <c r="BB184" i="55"/>
  <c r="BB171" i="55"/>
  <c r="BB161" i="55"/>
  <c r="BB152" i="55" s="1"/>
  <c r="BB143" i="55"/>
  <c r="BB136" i="55"/>
  <c r="BM206" i="55"/>
  <c r="BM195" i="55"/>
  <c r="BM184" i="55"/>
  <c r="BM171" i="55"/>
  <c r="BM161" i="55"/>
  <c r="BM152" i="55" s="1"/>
  <c r="BM143" i="55"/>
  <c r="BM136" i="55"/>
  <c r="BO206" i="55"/>
  <c r="BO195" i="55"/>
  <c r="BO184" i="55"/>
  <c r="BO171" i="55"/>
  <c r="BO161" i="55"/>
  <c r="BO152" i="55" s="1"/>
  <c r="BO143" i="55"/>
  <c r="BO136" i="55"/>
  <c r="BQ206" i="55"/>
  <c r="BQ195" i="55"/>
  <c r="BQ184" i="55"/>
  <c r="BQ171" i="55"/>
  <c r="BQ161" i="55"/>
  <c r="BQ152" i="55" s="1"/>
  <c r="BQ143" i="55"/>
  <c r="BQ136" i="55"/>
  <c r="BS206" i="55"/>
  <c r="BS195" i="55"/>
  <c r="BS184" i="55"/>
  <c r="BS171" i="55"/>
  <c r="BS161" i="55"/>
  <c r="BS152" i="55" s="1"/>
  <c r="BS143" i="55"/>
  <c r="BS136" i="55"/>
  <c r="BU206" i="55"/>
  <c r="BU195" i="55"/>
  <c r="BU184" i="55"/>
  <c r="BU171" i="55"/>
  <c r="BU161" i="55"/>
  <c r="BU152" i="55" s="1"/>
  <c r="BU143" i="55"/>
  <c r="BU136" i="55"/>
  <c r="BW206" i="55"/>
  <c r="BW195" i="55"/>
  <c r="BW184" i="55"/>
  <c r="BW171" i="55"/>
  <c r="BW161" i="55"/>
  <c r="BW152" i="55" s="1"/>
  <c r="BW143" i="55"/>
  <c r="BW136" i="55"/>
  <c r="BY206" i="55"/>
  <c r="BY195" i="55"/>
  <c r="BY184" i="55"/>
  <c r="BY171" i="55"/>
  <c r="BY161" i="55"/>
  <c r="BY152" i="55" s="1"/>
  <c r="BY143" i="55"/>
  <c r="BY136" i="55"/>
  <c r="CD206" i="55"/>
  <c r="CD195" i="55"/>
  <c r="CD184" i="55"/>
  <c r="CD171" i="55"/>
  <c r="CD161" i="55"/>
  <c r="CD152" i="55" s="1"/>
  <c r="CD143" i="55"/>
  <c r="CD136" i="55"/>
  <c r="CF206" i="55"/>
  <c r="CF195" i="55"/>
  <c r="CF184" i="55"/>
  <c r="CF171" i="55"/>
  <c r="CF161" i="55"/>
  <c r="CF152" i="55" s="1"/>
  <c r="CF143" i="55"/>
  <c r="CF136" i="55"/>
  <c r="CH206" i="55"/>
  <c r="CH195" i="55"/>
  <c r="CH184" i="55"/>
  <c r="CH171" i="55"/>
  <c r="CH161" i="55"/>
  <c r="CH152" i="55" s="1"/>
  <c r="CH143" i="55"/>
  <c r="CH136" i="55"/>
  <c r="CJ206" i="55"/>
  <c r="CJ195" i="55"/>
  <c r="CJ184" i="55"/>
  <c r="CJ171" i="55"/>
  <c r="CJ161" i="55"/>
  <c r="CJ152" i="55" s="1"/>
  <c r="CL206" i="55"/>
  <c r="CL195" i="55"/>
  <c r="CL184" i="55"/>
  <c r="CL171" i="55"/>
  <c r="CL161" i="55"/>
  <c r="CL152" i="55" s="1"/>
  <c r="CL143" i="55"/>
  <c r="CL136" i="55"/>
  <c r="CN206" i="55"/>
  <c r="CN195" i="55"/>
  <c r="CN184" i="55"/>
  <c r="CN171" i="55"/>
  <c r="CN161" i="55"/>
  <c r="CN152" i="55" s="1"/>
  <c r="BV12" i="55"/>
  <c r="CL12" i="55"/>
  <c r="BV13" i="55"/>
  <c r="CE20" i="55"/>
  <c r="CG20" i="55"/>
  <c r="CI20" i="55"/>
  <c r="M21" i="55"/>
  <c r="O21" i="55"/>
  <c r="Q21" i="55"/>
  <c r="S21" i="55"/>
  <c r="U21" i="55"/>
  <c r="W21" i="55"/>
  <c r="Y21" i="55"/>
  <c r="AC22" i="55" s="1"/>
  <c r="AA21" i="55"/>
  <c r="AE22" i="55" s="1"/>
  <c r="AC21" i="55"/>
  <c r="AG22" i="55" s="1"/>
  <c r="AG21" i="55"/>
  <c r="Q32" i="55"/>
  <c r="U32" i="55"/>
  <c r="Y32" i="55"/>
  <c r="AG32" i="55"/>
  <c r="Q43" i="55"/>
  <c r="S43" i="55"/>
  <c r="U43" i="55"/>
  <c r="W43" i="55"/>
  <c r="Y43" i="55"/>
  <c r="AA43" i="55"/>
  <c r="AC43" i="55"/>
  <c r="AE43" i="55"/>
  <c r="AG43" i="55"/>
  <c r="AI43" i="55"/>
  <c r="AO43" i="55"/>
  <c r="AS43" i="55"/>
  <c r="CI42" i="55"/>
  <c r="U45" i="55"/>
  <c r="W45" i="55"/>
  <c r="Y45" i="55"/>
  <c r="AA45" i="55"/>
  <c r="AC45" i="55"/>
  <c r="AE45" i="55"/>
  <c r="AG45" i="55"/>
  <c r="AI45" i="55"/>
  <c r="AS45" i="55"/>
  <c r="BY45" i="55"/>
  <c r="BY50" i="55"/>
  <c r="BX56" i="55"/>
  <c r="BY61" i="55"/>
  <c r="BX67" i="55"/>
  <c r="BY72" i="55"/>
  <c r="CE75" i="55"/>
  <c r="CG75" i="55"/>
  <c r="CI75" i="55"/>
  <c r="CF86" i="55"/>
  <c r="Q87" i="55"/>
  <c r="S90" i="55"/>
  <c r="S87" i="55"/>
  <c r="U90" i="55"/>
  <c r="U87" i="55"/>
  <c r="W87" i="55"/>
  <c r="Y90" i="55"/>
  <c r="CH86" i="55"/>
  <c r="Y87" i="55"/>
  <c r="AA87" i="55"/>
  <c r="AC90" i="55"/>
  <c r="AC87" i="55"/>
  <c r="AE87" i="55"/>
  <c r="T87" i="55"/>
  <c r="X87" i="55"/>
  <c r="AB87" i="55"/>
  <c r="BS86" i="55"/>
  <c r="CG86" i="55"/>
  <c r="U89" i="55"/>
  <c r="Y89" i="55"/>
  <c r="AC89" i="55"/>
  <c r="CE97" i="55"/>
  <c r="Q101" i="55"/>
  <c r="Q100" i="55"/>
  <c r="S100" i="55"/>
  <c r="U100" i="55"/>
  <c r="CG97" i="55"/>
  <c r="W100" i="55"/>
  <c r="Y101" i="55"/>
  <c r="Y100" i="55"/>
  <c r="AA101" i="55"/>
  <c r="AA100" i="55"/>
  <c r="AC101" i="55"/>
  <c r="AC100" i="55"/>
  <c r="CI97" i="55"/>
  <c r="AE100" i="55"/>
  <c r="AG101" i="55"/>
  <c r="AG100" i="55"/>
  <c r="AI100" i="55"/>
  <c r="BP97" i="55"/>
  <c r="BT97" i="55"/>
  <c r="CF97" i="55"/>
  <c r="O98" i="55"/>
  <c r="S98" i="55"/>
  <c r="W98" i="55"/>
  <c r="AA98" i="55"/>
  <c r="AE98" i="55"/>
  <c r="AI98" i="55"/>
  <c r="AM156" i="55"/>
  <c r="AM155" i="55"/>
  <c r="AM154" i="55"/>
  <c r="AM153" i="55"/>
  <c r="AQ156" i="55"/>
  <c r="AQ155" i="55"/>
  <c r="AQ154" i="55"/>
  <c r="AQ153" i="55"/>
  <c r="AM109" i="55"/>
  <c r="AQ109" i="55"/>
  <c r="AQ111" i="55"/>
  <c r="K166" i="55"/>
  <c r="K165" i="55"/>
  <c r="K164" i="55"/>
  <c r="K163" i="55"/>
  <c r="K162" i="55"/>
  <c r="M166" i="55"/>
  <c r="M165" i="55"/>
  <c r="M164" i="55"/>
  <c r="M163" i="55"/>
  <c r="M162" i="55"/>
  <c r="O166" i="55"/>
  <c r="O86" i="55" s="1"/>
  <c r="O165" i="55"/>
  <c r="O164" i="55"/>
  <c r="O53" i="55" s="1"/>
  <c r="O163" i="55"/>
  <c r="O42" i="55" s="1"/>
  <c r="S45" i="55" s="1"/>
  <c r="O162" i="55"/>
  <c r="AC138" i="55"/>
  <c r="AC169" i="55"/>
  <c r="AC137" i="55"/>
  <c r="AG138" i="55"/>
  <c r="AG137" i="55"/>
  <c r="AK165" i="55"/>
  <c r="AK163" i="55"/>
  <c r="AK42" i="55" s="1"/>
  <c r="AL43" i="55" s="1"/>
  <c r="AK164" i="55"/>
  <c r="AK156" i="55"/>
  <c r="AK75" i="55" s="1"/>
  <c r="AK155" i="55"/>
  <c r="AK154" i="55"/>
  <c r="AK20" i="55" s="1"/>
  <c r="AK162" i="55"/>
  <c r="BQ118" i="55"/>
  <c r="BS118" i="55"/>
  <c r="BU118" i="55"/>
  <c r="W122" i="55"/>
  <c r="D136" i="55"/>
  <c r="L136" i="55"/>
  <c r="T136" i="55"/>
  <c r="AB136" i="55"/>
  <c r="CN136" i="55"/>
  <c r="AC139" i="55"/>
  <c r="J143" i="55"/>
  <c r="R143" i="55"/>
  <c r="Z143" i="55"/>
  <c r="CJ143" i="55"/>
  <c r="J161" i="55"/>
  <c r="J152" i="55" s="1"/>
  <c r="R161" i="55"/>
  <c r="R152" i="55" s="1"/>
  <c r="BP86" i="55"/>
  <c r="BR86" i="55"/>
  <c r="BQ97" i="55"/>
  <c r="BS97" i="55"/>
  <c r="AN109" i="55"/>
  <c r="AP109" i="55"/>
  <c r="AR109" i="55"/>
  <c r="AT109" i="55"/>
  <c r="AP111" i="55"/>
  <c r="AR111" i="55"/>
  <c r="AT111" i="55"/>
  <c r="AB139" i="55"/>
  <c r="AB137" i="55"/>
  <c r="AD139" i="55"/>
  <c r="AD137" i="55"/>
  <c r="AF139" i="55"/>
  <c r="AF137" i="55"/>
  <c r="AH139" i="55"/>
  <c r="AH137" i="55"/>
  <c r="AJ139" i="55"/>
  <c r="AJ137" i="55"/>
  <c r="AD138" i="55"/>
  <c r="AH138" i="55"/>
  <c r="AB140" i="55"/>
  <c r="AF140" i="55"/>
  <c r="AJ140" i="55"/>
  <c r="AN153" i="55"/>
  <c r="AR153" i="55"/>
  <c r="AL154" i="55"/>
  <c r="AP154" i="55"/>
  <c r="AT154" i="55"/>
  <c r="AP156" i="55"/>
  <c r="J162" i="55"/>
  <c r="N162" i="55"/>
  <c r="L163" i="55"/>
  <c r="J164" i="55"/>
  <c r="L165" i="55"/>
  <c r="BQ167" i="55"/>
  <c r="CI167" i="55"/>
  <c r="CF162" i="55"/>
  <c r="BP162" i="55"/>
  <c r="S167" i="55"/>
  <c r="S173" i="55" s="1"/>
  <c r="CF164" i="55"/>
  <c r="BP164" i="55"/>
  <c r="CF166" i="55"/>
  <c r="BP166" i="55"/>
  <c r="CH162" i="55"/>
  <c r="BR162" i="55"/>
  <c r="AA167" i="55"/>
  <c r="AA173" i="55" s="1"/>
  <c r="CH164" i="55"/>
  <c r="BR164" i="55"/>
  <c r="CH166" i="55"/>
  <c r="BR166" i="55"/>
  <c r="BS167" i="55"/>
  <c r="CG167" i="55"/>
  <c r="CG177" i="55"/>
  <c r="AJ167" i="55"/>
  <c r="Q177" i="55"/>
  <c r="Q175" i="55"/>
  <c r="Q173" i="55"/>
  <c r="U177" i="55"/>
  <c r="U175" i="55"/>
  <c r="U173" i="55"/>
  <c r="W167" i="55"/>
  <c r="Y177" i="55"/>
  <c r="Y175" i="55"/>
  <c r="Y173" i="55"/>
  <c r="AC177" i="55"/>
  <c r="AC175" i="55"/>
  <c r="AC173" i="55"/>
  <c r="AE167" i="55"/>
  <c r="AE173" i="55" s="1"/>
  <c r="AG177" i="55"/>
  <c r="AG175" i="55"/>
  <c r="AG173" i="55"/>
  <c r="AI175" i="55"/>
  <c r="AI173" i="55"/>
  <c r="AI169" i="55"/>
  <c r="Q174" i="55"/>
  <c r="U174" i="55"/>
  <c r="Y174" i="55"/>
  <c r="AC174" i="55"/>
  <c r="AG174" i="55"/>
  <c r="AI176" i="55"/>
  <c r="P169" i="55"/>
  <c r="R169" i="55"/>
  <c r="T169" i="55"/>
  <c r="V169" i="55"/>
  <c r="X169" i="55"/>
  <c r="Z169" i="55"/>
  <c r="AB169" i="55"/>
  <c r="AD169" i="55"/>
  <c r="AF169" i="55"/>
  <c r="AH169" i="55"/>
  <c r="P174" i="55"/>
  <c r="R174" i="55"/>
  <c r="T174" i="55"/>
  <c r="V174" i="55"/>
  <c r="X174" i="55"/>
  <c r="Z174" i="55"/>
  <c r="AB174" i="55"/>
  <c r="AD174" i="55"/>
  <c r="AF174" i="55"/>
  <c r="AH174" i="55"/>
  <c r="AD176" i="55"/>
  <c r="AF176" i="55"/>
  <c r="AH176" i="55"/>
  <c r="AV102" i="3"/>
  <c r="AW102" i="3" s="1"/>
  <c r="CM17" i="3"/>
  <c r="CM102" i="3" s="1"/>
  <c r="U70" i="3"/>
  <c r="CG70" i="3"/>
  <c r="CL118" i="3"/>
  <c r="CD92" i="3"/>
  <c r="CD65" i="3"/>
  <c r="CD79" i="3" s="1"/>
  <c r="CD56" i="3" s="1"/>
  <c r="CH92" i="3"/>
  <c r="CH65" i="3"/>
  <c r="CH79" i="3" s="1"/>
  <c r="CH56" i="3" s="1"/>
  <c r="CL92" i="3"/>
  <c r="CL65" i="3"/>
  <c r="CL79" i="3" s="1"/>
  <c r="CL56" i="3" s="1"/>
  <c r="BQ11" i="3"/>
  <c r="CE96" i="3"/>
  <c r="CE83" i="3"/>
  <c r="CG11" i="3"/>
  <c r="CI96" i="3"/>
  <c r="CI83" i="3"/>
  <c r="CM12" i="3"/>
  <c r="CM97" i="3" s="1"/>
  <c r="CE99" i="3"/>
  <c r="CE69" i="3"/>
  <c r="CI99" i="3"/>
  <c r="CI69" i="3"/>
  <c r="CM99" i="3"/>
  <c r="CM69" i="3"/>
  <c r="CE100" i="3"/>
  <c r="CE58" i="3"/>
  <c r="CI100" i="3"/>
  <c r="CI58" i="3"/>
  <c r="CD33" i="3"/>
  <c r="CH33" i="3"/>
  <c r="CL33" i="3"/>
  <c r="CF128" i="3"/>
  <c r="CJ128" i="3"/>
  <c r="CD43" i="3"/>
  <c r="CH43" i="3"/>
  <c r="BN60" i="3"/>
  <c r="BR60" i="3"/>
  <c r="BV60" i="3"/>
  <c r="CF59" i="3"/>
  <c r="CJ59" i="3"/>
  <c r="BQ65" i="3"/>
  <c r="BQ79" i="3" s="1"/>
  <c r="BQ56" i="3" s="1"/>
  <c r="BY65" i="3"/>
  <c r="BY79" i="3" s="1"/>
  <c r="BY56" i="3" s="1"/>
  <c r="BP66" i="3"/>
  <c r="BT66" i="3"/>
  <c r="AK70" i="3"/>
  <c r="BO81" i="3"/>
  <c r="BO80" i="3" s="1"/>
  <c r="BO84" i="3" s="1"/>
  <c r="BN81" i="3"/>
  <c r="BN80" i="3" s="1"/>
  <c r="BN84" i="3" s="1"/>
  <c r="BM84" i="3"/>
  <c r="AH101" i="3"/>
  <c r="AI101" i="3" s="1"/>
  <c r="BT101" i="3" s="1"/>
  <c r="J102" i="3"/>
  <c r="K102" i="3" s="1"/>
  <c r="BN102" i="3" s="1"/>
  <c r="CC96" i="3"/>
  <c r="CK96" i="3"/>
  <c r="CG99" i="3"/>
  <c r="CC100" i="3"/>
  <c r="CK100" i="3"/>
  <c r="AL113" i="3"/>
  <c r="AK118" i="3"/>
  <c r="F121" i="3"/>
  <c r="V128" i="3"/>
  <c r="AA128" i="3"/>
  <c r="AE121" i="3"/>
  <c r="BT121" i="3"/>
  <c r="BV121" i="3"/>
  <c r="BV128" i="3" s="1"/>
  <c r="Z128" i="3"/>
  <c r="X96" i="3"/>
  <c r="Y96" i="3" s="1"/>
  <c r="Z96" i="3" s="1"/>
  <c r="AA96" i="3" s="1"/>
  <c r="BR96" i="3" s="1"/>
  <c r="X83" i="3"/>
  <c r="BR11" i="3"/>
  <c r="BT16" i="3"/>
  <c r="BV16" i="3"/>
  <c r="BN17" i="3"/>
  <c r="BP17" i="3"/>
  <c r="BR17" i="3"/>
  <c r="BV17" i="3"/>
  <c r="CF17" i="3"/>
  <c r="CF102" i="3" s="1"/>
  <c r="CJ17" i="3"/>
  <c r="CJ102" i="3" s="1"/>
  <c r="AP101" i="3"/>
  <c r="AQ101" i="3" s="1"/>
  <c r="BV101" i="3" s="1"/>
  <c r="AO102" i="3"/>
  <c r="AP102" i="3" s="1"/>
  <c r="AQ102" i="3" s="1"/>
  <c r="BV102" i="3" s="1"/>
  <c r="AS102" i="3"/>
  <c r="AT102" i="3" s="1"/>
  <c r="AU102" i="3" s="1"/>
  <c r="BW102" i="3" s="1"/>
  <c r="BW23" i="3"/>
  <c r="CF113" i="3"/>
  <c r="CF118" i="3" s="1"/>
  <c r="CF66" i="3"/>
  <c r="CJ113" i="3"/>
  <c r="CJ118" i="3" s="1"/>
  <c r="CJ66" i="3"/>
  <c r="CF33" i="3"/>
  <c r="CJ33" i="3"/>
  <c r="AR117" i="3"/>
  <c r="AS117" i="3" s="1"/>
  <c r="AT117" i="3" s="1"/>
  <c r="AU117" i="3" s="1"/>
  <c r="BW117" i="3" s="1"/>
  <c r="AR33" i="3"/>
  <c r="BW32" i="3"/>
  <c r="AT33" i="3"/>
  <c r="AI33" i="3"/>
  <c r="CK36" i="3"/>
  <c r="BU36" i="3"/>
  <c r="AS43" i="3"/>
  <c r="BW36" i="3"/>
  <c r="CM37" i="3"/>
  <c r="CM122" i="3" s="1"/>
  <c r="BW37" i="3"/>
  <c r="CF43" i="3"/>
  <c r="CJ43" i="3"/>
  <c r="AV125" i="3"/>
  <c r="AW125" i="3" s="1"/>
  <c r="CM40" i="3"/>
  <c r="CM125" i="3" s="1"/>
  <c r="D127" i="3"/>
  <c r="E127" i="3" s="1"/>
  <c r="F127" i="3" s="1"/>
  <c r="G127" i="3" s="1"/>
  <c r="BM127" i="3" s="1"/>
  <c r="BM42" i="3"/>
  <c r="CK42" i="3"/>
  <c r="CK127" i="3" s="1"/>
  <c r="BU42" i="3"/>
  <c r="BW42" i="3"/>
  <c r="D43" i="3"/>
  <c r="AL43" i="3"/>
  <c r="AK59" i="3"/>
  <c r="BP60" i="3"/>
  <c r="BT60" i="3"/>
  <c r="CD58" i="3"/>
  <c r="CH58" i="3"/>
  <c r="CL58" i="3"/>
  <c r="CD59" i="3"/>
  <c r="CH59" i="3"/>
  <c r="CL59" i="3"/>
  <c r="CD60" i="3"/>
  <c r="CH60" i="3"/>
  <c r="CL60" i="3"/>
  <c r="BN66" i="3"/>
  <c r="BR66" i="3"/>
  <c r="BV66" i="3"/>
  <c r="CC65" i="3"/>
  <c r="CC79" i="3" s="1"/>
  <c r="CC56" i="3" s="1"/>
  <c r="CK65" i="3"/>
  <c r="CK79" i="3" s="1"/>
  <c r="CK56" i="3" s="1"/>
  <c r="AF72" i="3"/>
  <c r="CI72" i="3" s="1"/>
  <c r="CI70" i="3"/>
  <c r="X68" i="3"/>
  <c r="AF68" i="3"/>
  <c r="BU72" i="3"/>
  <c r="BU73" i="3" s="1"/>
  <c r="BU76" i="3" s="1"/>
  <c r="CF69" i="3"/>
  <c r="CJ69" i="3"/>
  <c r="CN69" i="3"/>
  <c r="AG70" i="3"/>
  <c r="AG81" i="3" s="1"/>
  <c r="AF80" i="3"/>
  <c r="AF84" i="3" s="1"/>
  <c r="U83" i="3"/>
  <c r="AE84" i="3"/>
  <c r="AI84" i="3"/>
  <c r="AM84" i="3"/>
  <c r="CD83" i="3"/>
  <c r="CH83" i="3"/>
  <c r="CL83" i="3"/>
  <c r="BN92" i="3"/>
  <c r="BR92" i="3"/>
  <c r="BV92" i="3"/>
  <c r="CC99" i="3"/>
  <c r="CK99" i="3"/>
  <c r="CG100" i="3"/>
  <c r="BN118" i="3"/>
  <c r="N113" i="3"/>
  <c r="M118" i="3"/>
  <c r="BV118" i="3"/>
  <c r="AT113" i="3"/>
  <c r="AI114" i="3"/>
  <c r="BT114" i="3" s="1"/>
  <c r="K118" i="3"/>
  <c r="S118" i="3"/>
  <c r="AQ118" i="3"/>
  <c r="CH113" i="3"/>
  <c r="CH118" i="3" s="1"/>
  <c r="M128" i="3"/>
  <c r="AU122" i="3"/>
  <c r="BW122" i="3" s="1"/>
  <c r="BW22" i="3"/>
  <c r="BM28" i="3"/>
  <c r="CC33" i="3"/>
  <c r="CE33" i="3"/>
  <c r="CG33" i="3"/>
  <c r="CI33" i="3"/>
  <c r="CK33" i="3"/>
  <c r="D33" i="3"/>
  <c r="BM36" i="3"/>
  <c r="BM43" i="3" s="1"/>
  <c r="CC43" i="3"/>
  <c r="CG43" i="3"/>
  <c r="CI43" i="3"/>
  <c r="BO60" i="3"/>
  <c r="BQ60" i="3"/>
  <c r="BS60" i="3"/>
  <c r="BU60" i="3"/>
  <c r="CE59" i="3"/>
  <c r="CI59" i="3"/>
  <c r="CC60" i="3"/>
  <c r="CE60" i="3"/>
  <c r="CG60" i="3"/>
  <c r="CI60" i="3"/>
  <c r="CK60" i="3"/>
  <c r="S72" i="3"/>
  <c r="S73" i="3" s="1"/>
  <c r="S76" i="3" s="1"/>
  <c r="W72" i="3"/>
  <c r="W73" i="3" s="1"/>
  <c r="W76" i="3" s="1"/>
  <c r="AL101" i="3"/>
  <c r="AM101" i="3" s="1"/>
  <c r="BU101" i="3" s="1"/>
  <c r="J118" i="3"/>
  <c r="R118" i="3"/>
  <c r="AP118" i="3"/>
  <c r="AR118" i="3"/>
  <c r="I118" i="3"/>
  <c r="Q118" i="3"/>
  <c r="Y118" i="3"/>
  <c r="AO118" i="3"/>
  <c r="I128" i="3"/>
  <c r="Q128" i="3"/>
  <c r="AI127" i="3"/>
  <c r="BT127" i="3" s="1"/>
  <c r="AK128" i="3"/>
  <c r="AS121" i="3"/>
  <c r="AC127" i="3"/>
  <c r="AD127" i="3" s="1"/>
  <c r="AE127" i="3" s="1"/>
  <c r="BS127" i="3" s="1"/>
  <c r="AS127" i="3"/>
  <c r="AT127" i="3" s="1"/>
  <c r="AU127" i="3" s="1"/>
  <c r="BW127" i="3" s="1"/>
  <c r="T128" i="3"/>
  <c r="X128" i="3"/>
  <c r="AB128" i="3"/>
  <c r="AF128" i="3"/>
  <c r="AJ128" i="3"/>
  <c r="AN128" i="3"/>
  <c r="AR128" i="3"/>
  <c r="CM26" i="2"/>
  <c r="BM20" i="2"/>
  <c r="BM71" i="3" s="1"/>
  <c r="D88" i="2"/>
  <c r="AJ88" i="2"/>
  <c r="AT88" i="2"/>
  <c r="AT71" i="2"/>
  <c r="BX10" i="2"/>
  <c r="BP85" i="2"/>
  <c r="CM13" i="2"/>
  <c r="BN65" i="2"/>
  <c r="BN68" i="2" s="1"/>
  <c r="BP71" i="2"/>
  <c r="BP43" i="2"/>
  <c r="BP55" i="2" s="1"/>
  <c r="BP88" i="2" s="1"/>
  <c r="BT71" i="2"/>
  <c r="BT43" i="2"/>
  <c r="BT55" i="2" s="1"/>
  <c r="BT88" i="2" s="1"/>
  <c r="BX71" i="2"/>
  <c r="BX43" i="2"/>
  <c r="BX55" i="2" s="1"/>
  <c r="BX88" i="2" s="1"/>
  <c r="CE43" i="2"/>
  <c r="CE55" i="2" s="1"/>
  <c r="CE88" i="2" s="1"/>
  <c r="CE71" i="2"/>
  <c r="CI43" i="2"/>
  <c r="CI55" i="2" s="1"/>
  <c r="CI88" i="2" s="1"/>
  <c r="CI71" i="2"/>
  <c r="CM43" i="2"/>
  <c r="CM55" i="2" s="1"/>
  <c r="CM88" i="2" s="1"/>
  <c r="CM71" i="2"/>
  <c r="BO94" i="2"/>
  <c r="BO95" i="2" s="1"/>
  <c r="BP90" i="2"/>
  <c r="BP91" i="2" s="1"/>
  <c r="BO80" i="2"/>
  <c r="BT90" i="2"/>
  <c r="BT91" i="2" s="1"/>
  <c r="BS94" i="2"/>
  <c r="BS95" i="2" s="1"/>
  <c r="BS80" i="2"/>
  <c r="BS82" i="2" s="1"/>
  <c r="CD90" i="2"/>
  <c r="CD91" i="2" s="1"/>
  <c r="CC94" i="2"/>
  <c r="CC95" i="2" s="1"/>
  <c r="CC80" i="2"/>
  <c r="CH90" i="2"/>
  <c r="CH91" i="2" s="1"/>
  <c r="CH98" i="2" s="1"/>
  <c r="CG80" i="2"/>
  <c r="CG94" i="2"/>
  <c r="CG95" i="2" s="1"/>
  <c r="CL90" i="2"/>
  <c r="CL91" i="2" s="1"/>
  <c r="CK94" i="2"/>
  <c r="CK95" i="2" s="1"/>
  <c r="CK80" i="2"/>
  <c r="CM10" i="2"/>
  <c r="BQ71" i="2"/>
  <c r="BQ43" i="2"/>
  <c r="BQ55" i="2" s="1"/>
  <c r="BQ88" i="2" s="1"/>
  <c r="BY71" i="2"/>
  <c r="BY43" i="2"/>
  <c r="BY55" i="2" s="1"/>
  <c r="BY88" i="2" s="1"/>
  <c r="CD71" i="2"/>
  <c r="CD43" i="2"/>
  <c r="CD55" i="2" s="1"/>
  <c r="CD88" i="2" s="1"/>
  <c r="CH71" i="2"/>
  <c r="CH43" i="2"/>
  <c r="CH55" i="2" s="1"/>
  <c r="CH88" i="2" s="1"/>
  <c r="CL71" i="2"/>
  <c r="CL43" i="2"/>
  <c r="CL55" i="2" s="1"/>
  <c r="CL88" i="2" s="1"/>
  <c r="BN94" i="2"/>
  <c r="BN95" i="2" s="1"/>
  <c r="BO90" i="2"/>
  <c r="BO91" i="2" s="1"/>
  <c r="BN80" i="2"/>
  <c r="BP94" i="2"/>
  <c r="BP95" i="2" s="1"/>
  <c r="BQ90" i="2"/>
  <c r="BQ91" i="2" s="1"/>
  <c r="BP80" i="2"/>
  <c r="BR94" i="2"/>
  <c r="BR95" i="2" s="1"/>
  <c r="BS90" i="2"/>
  <c r="BS91" i="2" s="1"/>
  <c r="BR80" i="2"/>
  <c r="BR82" i="2" s="1"/>
  <c r="BT94" i="2"/>
  <c r="BT95" i="2" s="1"/>
  <c r="BU90" i="2"/>
  <c r="BU91" i="2" s="1"/>
  <c r="BT80" i="2"/>
  <c r="BT82" i="2" s="1"/>
  <c r="BV94" i="2"/>
  <c r="BV95" i="2" s="1"/>
  <c r="BW90" i="2"/>
  <c r="BW91" i="2" s="1"/>
  <c r="BV80" i="2"/>
  <c r="BV82" i="2" s="1"/>
  <c r="CD94" i="2"/>
  <c r="CD95" i="2" s="1"/>
  <c r="CE90" i="2"/>
  <c r="CE91" i="2" s="1"/>
  <c r="CD80" i="2"/>
  <c r="CF94" i="2"/>
  <c r="CF95" i="2" s="1"/>
  <c r="CG90" i="2"/>
  <c r="CG91" i="2" s="1"/>
  <c r="CG98" i="2" s="1"/>
  <c r="CF80" i="2"/>
  <c r="CH94" i="2"/>
  <c r="CH95" i="2" s="1"/>
  <c r="CI90" i="2"/>
  <c r="CI91" i="2" s="1"/>
  <c r="CH80" i="2"/>
  <c r="CJ94" i="2"/>
  <c r="CJ95" i="2" s="1"/>
  <c r="CK90" i="2"/>
  <c r="CK91" i="2" s="1"/>
  <c r="CK98" i="2" s="1"/>
  <c r="CJ80" i="2"/>
  <c r="CL94" i="2"/>
  <c r="CL95" i="2" s="1"/>
  <c r="CM90" i="2"/>
  <c r="CM91" i="2" s="1"/>
  <c r="CL80" i="2"/>
  <c r="BN13" i="2"/>
  <c r="BN14" i="2" s="1"/>
  <c r="BV13" i="2"/>
  <c r="BO14" i="2"/>
  <c r="BQ14" i="2"/>
  <c r="BS14" i="2"/>
  <c r="CD14" i="2"/>
  <c r="CF14" i="2"/>
  <c r="CH14" i="2"/>
  <c r="CJ14" i="2"/>
  <c r="CL14" i="2"/>
  <c r="D14" i="2"/>
  <c r="AL14" i="2"/>
  <c r="AN14" i="2"/>
  <c r="AP14" i="2"/>
  <c r="AR14" i="2"/>
  <c r="AT14" i="2"/>
  <c r="G20" i="2"/>
  <c r="G40" i="2" s="1"/>
  <c r="I20" i="2"/>
  <c r="I40" i="2" s="1"/>
  <c r="M20" i="2"/>
  <c r="M40" i="2" s="1"/>
  <c r="O20" i="2"/>
  <c r="O40" i="2" s="1"/>
  <c r="Q20" i="2"/>
  <c r="Q40" i="2" s="1"/>
  <c r="S20" i="2"/>
  <c r="S40" i="2" s="1"/>
  <c r="U20" i="2"/>
  <c r="U40" i="2" s="1"/>
  <c r="W20" i="2"/>
  <c r="W40" i="2" s="1"/>
  <c r="Y20" i="2"/>
  <c r="Y40" i="2" s="1"/>
  <c r="AA20" i="2"/>
  <c r="AA40" i="2" s="1"/>
  <c r="AC20" i="2"/>
  <c r="AC40" i="2" s="1"/>
  <c r="AE20" i="2"/>
  <c r="AG20" i="2"/>
  <c r="AG40" i="2" s="1"/>
  <c r="AI20" i="2"/>
  <c r="BW26" i="2"/>
  <c r="BO49" i="2"/>
  <c r="BS49" i="2"/>
  <c r="CC49" i="2"/>
  <c r="CE49" i="2"/>
  <c r="CG49" i="2"/>
  <c r="CI49" i="2"/>
  <c r="CK49" i="2"/>
  <c r="BN76" i="2"/>
  <c r="BP76" i="2"/>
  <c r="BR76" i="2"/>
  <c r="BT76" i="2"/>
  <c r="BV76" i="2"/>
  <c r="CC76" i="2"/>
  <c r="CC77" i="2" s="1"/>
  <c r="CC75" i="2"/>
  <c r="CE76" i="2"/>
  <c r="CE77" i="2" s="1"/>
  <c r="CE75" i="2"/>
  <c r="CE38" i="2"/>
  <c r="CG76" i="2"/>
  <c r="CG77" i="2" s="1"/>
  <c r="CI76" i="2"/>
  <c r="CK76" i="2"/>
  <c r="BO43" i="2"/>
  <c r="BO55" i="2" s="1"/>
  <c r="BO88" i="2" s="1"/>
  <c r="BW43" i="2"/>
  <c r="BW55" i="2" s="1"/>
  <c r="BW88" i="2" s="1"/>
  <c r="CJ43" i="2"/>
  <c r="CJ55" i="2" s="1"/>
  <c r="CJ88" i="2" s="1"/>
  <c r="BP65" i="2"/>
  <c r="BP68" i="2" s="1"/>
  <c r="BR65" i="2"/>
  <c r="BR68" i="2" s="1"/>
  <c r="AC65" i="2"/>
  <c r="AC68" i="2" s="1"/>
  <c r="AE65" i="2"/>
  <c r="AE68" i="2" s="1"/>
  <c r="H68" i="2"/>
  <c r="CC67" i="2"/>
  <c r="CC68" i="2" s="1"/>
  <c r="CD67" i="2"/>
  <c r="L68" i="2"/>
  <c r="CE67" i="2"/>
  <c r="CE68" i="2" s="1"/>
  <c r="P68" i="2"/>
  <c r="CF67" i="2"/>
  <c r="T68" i="2"/>
  <c r="CH67" i="2"/>
  <c r="AB68" i="2"/>
  <c r="CI67" i="2"/>
  <c r="CI68" i="2" s="1"/>
  <c r="AF68" i="2"/>
  <c r="CJ67" i="2"/>
  <c r="CK67" i="2"/>
  <c r="CL67" i="2"/>
  <c r="BM71" i="2"/>
  <c r="BN71" i="2"/>
  <c r="BN43" i="2"/>
  <c r="BN55" i="2" s="1"/>
  <c r="BN88" i="2" s="1"/>
  <c r="BR71" i="2"/>
  <c r="BR43" i="2"/>
  <c r="BR55" i="2" s="1"/>
  <c r="BR88" i="2" s="1"/>
  <c r="BV71" i="2"/>
  <c r="BV43" i="2"/>
  <c r="BV55" i="2" s="1"/>
  <c r="BV88" i="2" s="1"/>
  <c r="CC43" i="2"/>
  <c r="CC55" i="2" s="1"/>
  <c r="CC88" i="2" s="1"/>
  <c r="CC71" i="2"/>
  <c r="CK43" i="2"/>
  <c r="CK55" i="2" s="1"/>
  <c r="CK88" i="2" s="1"/>
  <c r="CK71" i="2"/>
  <c r="BM94" i="2"/>
  <c r="BM95" i="2" s="1"/>
  <c r="BN90" i="2"/>
  <c r="BN91" i="2" s="1"/>
  <c r="BM80" i="2"/>
  <c r="BQ94" i="2"/>
  <c r="BQ95" i="2" s="1"/>
  <c r="BR90" i="2"/>
  <c r="BR91" i="2" s="1"/>
  <c r="BU94" i="2"/>
  <c r="BU95" i="2" s="1"/>
  <c r="BV90" i="2"/>
  <c r="BV91" i="2" s="1"/>
  <c r="BU80" i="2"/>
  <c r="BU82" i="2" s="1"/>
  <c r="CE94" i="2"/>
  <c r="CE95" i="2" s="1"/>
  <c r="CF90" i="2"/>
  <c r="CF91" i="2" s="1"/>
  <c r="CE80" i="2"/>
  <c r="CI94" i="2"/>
  <c r="CI95" i="2" s="1"/>
  <c r="CJ90" i="2"/>
  <c r="CJ91" i="2" s="1"/>
  <c r="CJ98" i="2" s="1"/>
  <c r="CI80" i="2"/>
  <c r="BR14" i="2"/>
  <c r="BT14" i="2"/>
  <c r="CC14" i="2"/>
  <c r="CE14" i="2"/>
  <c r="CG14" i="2"/>
  <c r="CI14" i="2"/>
  <c r="CK14" i="2"/>
  <c r="K14" i="2"/>
  <c r="AM14" i="2"/>
  <c r="AO14" i="2"/>
  <c r="AQ14" i="2"/>
  <c r="AS14" i="2"/>
  <c r="F20" i="2"/>
  <c r="F40" i="2" s="1"/>
  <c r="H20" i="2"/>
  <c r="H40" i="2" s="1"/>
  <c r="J20" i="2"/>
  <c r="J40" i="2" s="1"/>
  <c r="L20" i="2"/>
  <c r="L40" i="2" s="1"/>
  <c r="N20" i="2"/>
  <c r="N40" i="2" s="1"/>
  <c r="P20" i="2"/>
  <c r="P40" i="2" s="1"/>
  <c r="R20" i="2"/>
  <c r="R40" i="2" s="1"/>
  <c r="T20" i="2"/>
  <c r="T40" i="2" s="1"/>
  <c r="V20" i="2"/>
  <c r="V40" i="2" s="1"/>
  <c r="X20" i="2"/>
  <c r="X40" i="2" s="1"/>
  <c r="Z20" i="2"/>
  <c r="Z40" i="2" s="1"/>
  <c r="AB20" i="2"/>
  <c r="AB40" i="2" s="1"/>
  <c r="AD20" i="2"/>
  <c r="AD40" i="2" s="1"/>
  <c r="AF20" i="2"/>
  <c r="AF40" i="2" s="1"/>
  <c r="AH20" i="2"/>
  <c r="AH40" i="2" s="1"/>
  <c r="AJ20" i="2"/>
  <c r="AJ40" i="2" s="1"/>
  <c r="AV107" i="3"/>
  <c r="AW107" i="3" s="1"/>
  <c r="BW28" i="2"/>
  <c r="BN29" i="2"/>
  <c r="BN38" i="2" s="1"/>
  <c r="BR29" i="2"/>
  <c r="BR38" i="2" s="1"/>
  <c r="BV29" i="2"/>
  <c r="CC29" i="2"/>
  <c r="CC38" i="2" s="1"/>
  <c r="CG29" i="2"/>
  <c r="CG38" i="2" s="1"/>
  <c r="CK29" i="2"/>
  <c r="CK38" i="2" s="1"/>
  <c r="AK27" i="2"/>
  <c r="AK29" i="2" s="1"/>
  <c r="BW32" i="2"/>
  <c r="BU31" i="2"/>
  <c r="BN49" i="2"/>
  <c r="BP49" i="2"/>
  <c r="BR49" i="2"/>
  <c r="BT49" i="2"/>
  <c r="CM31" i="2"/>
  <c r="CM33" i="2"/>
  <c r="AR49" i="2"/>
  <c r="CL34" i="2"/>
  <c r="CL49" i="2" s="1"/>
  <c r="BS43" i="2"/>
  <c r="BS55" i="2" s="1"/>
  <c r="BS88" i="2" s="1"/>
  <c r="CF43" i="2"/>
  <c r="CF55" i="2" s="1"/>
  <c r="CF88" i="2" s="1"/>
  <c r="CN43" i="2"/>
  <c r="CN55" i="2" s="1"/>
  <c r="CN88" i="2" s="1"/>
  <c r="AO49" i="2"/>
  <c r="AW56" i="2"/>
  <c r="AW58" i="2"/>
  <c r="AX58" i="2" s="1"/>
  <c r="AY58" i="2" s="1"/>
  <c r="CM58" i="2"/>
  <c r="AJ56" i="2"/>
  <c r="AI60" i="2"/>
  <c r="BW56" i="2"/>
  <c r="AT60" i="2"/>
  <c r="BX62" i="2"/>
  <c r="CG67" i="2"/>
  <c r="BU71" i="2"/>
  <c r="CG71" i="2"/>
  <c r="BM29" i="2"/>
  <c r="BM38" i="2" s="1"/>
  <c r="BM40" i="2" s="1"/>
  <c r="BQ29" i="2"/>
  <c r="BQ38" i="2" s="1"/>
  <c r="BU29" i="2"/>
  <c r="BU38" i="2" s="1"/>
  <c r="CD29" i="2"/>
  <c r="CD38" i="2" s="1"/>
  <c r="CH29" i="2"/>
  <c r="CH38" i="2" s="1"/>
  <c r="CL29" i="2"/>
  <c r="CL38" i="2" s="1"/>
  <c r="BM75" i="2"/>
  <c r="BM76" i="2"/>
  <c r="BM77" i="2" s="1"/>
  <c r="BQ76" i="2"/>
  <c r="BS76" i="2"/>
  <c r="BU76" i="2"/>
  <c r="CD76" i="2"/>
  <c r="CF76" i="2"/>
  <c r="CH76" i="2"/>
  <c r="CJ76" i="2"/>
  <c r="CL76" i="2"/>
  <c r="BM119" i="2"/>
  <c r="BQ119" i="2"/>
  <c r="AR56" i="2"/>
  <c r="AQ60" i="2"/>
  <c r="AM65" i="2"/>
  <c r="AM68" i="2" s="1"/>
  <c r="BS60" i="2"/>
  <c r="BU60" i="2"/>
  <c r="AO56" i="2"/>
  <c r="AO60" i="2" s="1"/>
  <c r="E65" i="2"/>
  <c r="G65" i="2"/>
  <c r="I65" i="2"/>
  <c r="K65" i="2"/>
  <c r="K68" i="2" s="1"/>
  <c r="M65" i="2"/>
  <c r="M68" i="2" s="1"/>
  <c r="O65" i="2"/>
  <c r="Q65" i="2"/>
  <c r="Q68" i="2" s="1"/>
  <c r="S65" i="2"/>
  <c r="S68" i="2" s="1"/>
  <c r="U65" i="2"/>
  <c r="W65" i="2"/>
  <c r="Y65" i="2"/>
  <c r="AA65" i="2"/>
  <c r="AA68" i="2" s="1"/>
  <c r="AG65" i="2"/>
  <c r="AG68" i="2" s="1"/>
  <c r="CM62" i="2"/>
  <c r="E68" i="2"/>
  <c r="G68" i="2"/>
  <c r="I68" i="2"/>
  <c r="O68" i="2"/>
  <c r="U68" i="2"/>
  <c r="W68" i="2"/>
  <c r="Y68" i="2"/>
  <c r="F83" i="2"/>
  <c r="V83" i="2"/>
  <c r="AL83" i="2"/>
  <c r="AP83" i="2"/>
  <c r="AT83" i="2"/>
  <c r="D77" i="2"/>
  <c r="F77" i="2"/>
  <c r="H77" i="2"/>
  <c r="J77" i="2"/>
  <c r="L77" i="2"/>
  <c r="N77" i="2"/>
  <c r="P77" i="2"/>
  <c r="R77" i="2"/>
  <c r="T77" i="2"/>
  <c r="V77" i="2"/>
  <c r="X77" i="2"/>
  <c r="Z77" i="2"/>
  <c r="AB77" i="2"/>
  <c r="AD77" i="2"/>
  <c r="AF77" i="2"/>
  <c r="AH77" i="2"/>
  <c r="AJ77" i="2"/>
  <c r="AL77" i="2"/>
  <c r="AN77" i="2"/>
  <c r="AP77" i="2"/>
  <c r="AR77" i="2"/>
  <c r="AT77" i="2"/>
  <c r="Q83" i="2"/>
  <c r="AG83" i="2"/>
  <c r="AM82" i="2"/>
  <c r="AO82" i="2"/>
  <c r="AQ83" i="2"/>
  <c r="AS83" i="2"/>
  <c r="F97" i="2"/>
  <c r="E98" i="2"/>
  <c r="BW72" i="2"/>
  <c r="CF77" i="2" l="1"/>
  <c r="BQ77" i="2"/>
  <c r="BR77" i="2"/>
  <c r="BN77" i="2"/>
  <c r="BV83" i="2"/>
  <c r="BR83" i="2"/>
  <c r="T88" i="2"/>
  <c r="AY77" i="55"/>
  <c r="CF31" i="55"/>
  <c r="AY22" i="55"/>
  <c r="AO83" i="2"/>
  <c r="AK83" i="2"/>
  <c r="AM83" i="2"/>
  <c r="AN60" i="2"/>
  <c r="BV38" i="2"/>
  <c r="CF68" i="2"/>
  <c r="AR88" i="2"/>
  <c r="AB88" i="2"/>
  <c r="L88" i="2"/>
  <c r="BR119" i="2"/>
  <c r="BN119" i="2"/>
  <c r="AN83" i="2"/>
  <c r="AM65" i="3"/>
  <c r="AM79" i="3" s="1"/>
  <c r="AM56" i="3" s="1"/>
  <c r="BQ65" i="2"/>
  <c r="BQ68" i="2" s="1"/>
  <c r="BM65" i="2"/>
  <c r="BM68" i="2" s="1"/>
  <c r="CG68" i="2"/>
  <c r="CH68" i="2"/>
  <c r="CD68" i="2"/>
  <c r="BW98" i="2"/>
  <c r="BS98" i="2"/>
  <c r="BO98" i="2"/>
  <c r="BT98" i="2"/>
  <c r="BP98" i="2"/>
  <c r="Q71" i="2"/>
  <c r="BP119" i="2"/>
  <c r="W158" i="55"/>
  <c r="W68" i="55"/>
  <c r="W90" i="55"/>
  <c r="W101" i="55"/>
  <c r="W111" i="55"/>
  <c r="U101" i="55"/>
  <c r="Q90" i="55"/>
  <c r="CG42" i="55"/>
  <c r="S32" i="55"/>
  <c r="CG31" i="55"/>
  <c r="AC111" i="55"/>
  <c r="V32" i="55"/>
  <c r="AD35" i="55"/>
  <c r="R109" i="55"/>
  <c r="AC79" i="55"/>
  <c r="AC46" i="55"/>
  <c r="U79" i="55"/>
  <c r="Q24" i="55"/>
  <c r="Y111" i="55"/>
  <c r="U111" i="55"/>
  <c r="Q79" i="55"/>
  <c r="U46" i="55"/>
  <c r="U24" i="55"/>
  <c r="Q68" i="55"/>
  <c r="U35" i="55"/>
  <c r="Q35" i="55"/>
  <c r="AR156" i="55"/>
  <c r="AR154" i="55"/>
  <c r="BQ42" i="55"/>
  <c r="AE31" i="55"/>
  <c r="AF32" i="55" s="1"/>
  <c r="CL121" i="3"/>
  <c r="CL128" i="3" s="1"/>
  <c r="AH128" i="3"/>
  <c r="AP128" i="3"/>
  <c r="AL128" i="3"/>
  <c r="E118" i="3"/>
  <c r="X72" i="3"/>
  <c r="CG72" i="3" s="1"/>
  <c r="CG73" i="3" s="1"/>
  <c r="CG76" i="3" s="1"/>
  <c r="AC88" i="2"/>
  <c r="AM88" i="2"/>
  <c r="AA32" i="55"/>
  <c r="Z90" i="55"/>
  <c r="BR31" i="55"/>
  <c r="AB35" i="55"/>
  <c r="Z158" i="55"/>
  <c r="AJ99" i="55"/>
  <c r="AC34" i="55"/>
  <c r="AC32" i="55"/>
  <c r="AK33" i="55" s="1"/>
  <c r="AI79" i="55"/>
  <c r="CI53" i="55"/>
  <c r="AD32" i="55"/>
  <c r="AL33" i="55" s="1"/>
  <c r="CH31" i="55"/>
  <c r="CH108" i="55" s="1"/>
  <c r="AC35" i="55"/>
  <c r="AA34" i="55"/>
  <c r="AA118" i="3"/>
  <c r="AS118" i="3"/>
  <c r="G88" i="2"/>
  <c r="AA88" i="2"/>
  <c r="M88" i="2"/>
  <c r="AO88" i="2"/>
  <c r="O88" i="2"/>
  <c r="BP77" i="2"/>
  <c r="BT83" i="2"/>
  <c r="AK88" i="2"/>
  <c r="BB88" i="2"/>
  <c r="Y88" i="2"/>
  <c r="E88" i="2"/>
  <c r="CH77" i="2"/>
  <c r="CD77" i="2"/>
  <c r="AS88" i="2"/>
  <c r="AG88" i="2"/>
  <c r="S88" i="2"/>
  <c r="K88" i="2"/>
  <c r="AE88" i="2"/>
  <c r="W88" i="2"/>
  <c r="AX88" i="2"/>
  <c r="AI88" i="2"/>
  <c r="U88" i="2"/>
  <c r="I88" i="2"/>
  <c r="AQ71" i="2"/>
  <c r="CG65" i="3"/>
  <c r="CG79" i="3" s="1"/>
  <c r="CG56" i="3" s="1"/>
  <c r="R65" i="3"/>
  <c r="R79" i="3" s="1"/>
  <c r="R56" i="3" s="1"/>
  <c r="BV77" i="2"/>
  <c r="BS83" i="2"/>
  <c r="BC71" i="2"/>
  <c r="AN88" i="2"/>
  <c r="AF88" i="2"/>
  <c r="X88" i="2"/>
  <c r="P88" i="2"/>
  <c r="H88" i="2"/>
  <c r="AQ65" i="3"/>
  <c r="AQ79" i="3" s="1"/>
  <c r="AQ56" i="3" s="1"/>
  <c r="G65" i="3"/>
  <c r="G79" i="3" s="1"/>
  <c r="G56" i="3" s="1"/>
  <c r="AE34" i="55"/>
  <c r="CI31" i="55"/>
  <c r="AB178" i="55"/>
  <c r="AB180" i="55" s="1"/>
  <c r="T178" i="55"/>
  <c r="T180" i="55" s="1"/>
  <c r="P178" i="55"/>
  <c r="P180" i="55" s="1"/>
  <c r="AH141" i="55"/>
  <c r="W32" i="55"/>
  <c r="AO153" i="55"/>
  <c r="BQ31" i="55"/>
  <c r="W34" i="55"/>
  <c r="AE108" i="55"/>
  <c r="AE79" i="55" s="1"/>
  <c r="AA177" i="55"/>
  <c r="S177" i="55"/>
  <c r="Z118" i="3"/>
  <c r="CJ70" i="3"/>
  <c r="AJ81" i="3"/>
  <c r="AJ80" i="3" s="1"/>
  <c r="AJ84" i="3" s="1"/>
  <c r="AG118" i="3"/>
  <c r="AH118" i="3"/>
  <c r="V81" i="3"/>
  <c r="V80" i="3" s="1"/>
  <c r="V84" i="3" s="1"/>
  <c r="AA175" i="55"/>
  <c r="S175" i="55"/>
  <c r="BO119" i="2"/>
  <c r="CF98" i="2"/>
  <c r="AJ83" i="2"/>
  <c r="CK68" i="2"/>
  <c r="CM98" i="2"/>
  <c r="CI98" i="2"/>
  <c r="CE98" i="2"/>
  <c r="CL98" i="2"/>
  <c r="CD98" i="2"/>
  <c r="AP88" i="2"/>
  <c r="AL88" i="2"/>
  <c r="AH88" i="2"/>
  <c r="AD88" i="2"/>
  <c r="Z88" i="2"/>
  <c r="V88" i="2"/>
  <c r="R88" i="2"/>
  <c r="N88" i="2"/>
  <c r="J88" i="2"/>
  <c r="F88" i="2"/>
  <c r="AO65" i="3"/>
  <c r="AO79" i="3" s="1"/>
  <c r="AO56" i="3" s="1"/>
  <c r="AM111" i="55"/>
  <c r="AV92" i="3"/>
  <c r="AV65" i="3"/>
  <c r="AV79" i="3" s="1"/>
  <c r="AV56" i="3" s="1"/>
  <c r="CM23" i="3"/>
  <c r="CM108" i="3" s="1"/>
  <c r="AH65" i="3"/>
  <c r="AH79" i="3" s="1"/>
  <c r="AH56" i="3" s="1"/>
  <c r="P79" i="55"/>
  <c r="AB57" i="55"/>
  <c r="W57" i="55"/>
  <c r="W24" i="55"/>
  <c r="W79" i="55"/>
  <c r="AA57" i="55"/>
  <c r="AU77" i="55"/>
  <c r="AL77" i="55"/>
  <c r="AD77" i="55"/>
  <c r="X57" i="55"/>
  <c r="BR89" i="55"/>
  <c r="AA109" i="55"/>
  <c r="AG35" i="55"/>
  <c r="AA79" i="55"/>
  <c r="W35" i="55"/>
  <c r="I65" i="3"/>
  <c r="I79" i="3" s="1"/>
  <c r="I56" i="3" s="1"/>
  <c r="CN65" i="3"/>
  <c r="CN79" i="3" s="1"/>
  <c r="CN56" i="3" s="1"/>
  <c r="AP65" i="3"/>
  <c r="AP79" i="3" s="1"/>
  <c r="AP56" i="3" s="1"/>
  <c r="Z65" i="3"/>
  <c r="Z79" i="3" s="1"/>
  <c r="Z56" i="3" s="1"/>
  <c r="J65" i="3"/>
  <c r="J79" i="3" s="1"/>
  <c r="J56" i="3" s="1"/>
  <c r="BO65" i="2"/>
  <c r="BO68" i="2" s="1"/>
  <c r="BU40" i="2"/>
  <c r="BN98" i="2"/>
  <c r="AW71" i="2"/>
  <c r="BW65" i="3"/>
  <c r="BW79" i="3" s="1"/>
  <c r="BW56" i="3" s="1"/>
  <c r="Y65" i="3"/>
  <c r="Y79" i="3" s="1"/>
  <c r="Y56" i="3" s="1"/>
  <c r="CF65" i="3"/>
  <c r="CF79" i="3" s="1"/>
  <c r="CF56" i="3" s="1"/>
  <c r="AL65" i="3"/>
  <c r="AL79" i="3" s="1"/>
  <c r="AL56" i="3" s="1"/>
  <c r="AD65" i="3"/>
  <c r="AD79" i="3" s="1"/>
  <c r="AD56" i="3" s="1"/>
  <c r="V65" i="3"/>
  <c r="V79" i="3" s="1"/>
  <c r="V56" i="3" s="1"/>
  <c r="N65" i="3"/>
  <c r="N79" i="3" s="1"/>
  <c r="N56" i="3" s="1"/>
  <c r="F65" i="3"/>
  <c r="F79" i="3" s="1"/>
  <c r="F56" i="3" s="1"/>
  <c r="CL77" i="2"/>
  <c r="BU83" i="2"/>
  <c r="BA71" i="2"/>
  <c r="CK77" i="2"/>
  <c r="AY71" i="2"/>
  <c r="BO65" i="3"/>
  <c r="BO79" i="3" s="1"/>
  <c r="BO56" i="3" s="1"/>
  <c r="AG65" i="3"/>
  <c r="AG79" i="3" s="1"/>
  <c r="AG56" i="3" s="1"/>
  <c r="Q65" i="3"/>
  <c r="Q79" i="3" s="1"/>
  <c r="Q56" i="3" s="1"/>
  <c r="CJ65" i="3"/>
  <c r="CJ79" i="3" s="1"/>
  <c r="CJ56" i="3" s="1"/>
  <c r="BB65" i="3"/>
  <c r="BB79" i="3" s="1"/>
  <c r="BB56" i="3" s="1"/>
  <c r="AX65" i="3"/>
  <c r="AX79" i="3" s="1"/>
  <c r="AX56" i="3" s="1"/>
  <c r="AR65" i="3"/>
  <c r="AR79" i="3" s="1"/>
  <c r="AR56" i="3" s="1"/>
  <c r="AN65" i="3"/>
  <c r="AN79" i="3" s="1"/>
  <c r="AN56" i="3" s="1"/>
  <c r="AJ65" i="3"/>
  <c r="AJ79" i="3" s="1"/>
  <c r="AJ56" i="3" s="1"/>
  <c r="AF65" i="3"/>
  <c r="AF79" i="3" s="1"/>
  <c r="AF56" i="3" s="1"/>
  <c r="AB65" i="3"/>
  <c r="AB79" i="3" s="1"/>
  <c r="AB56" i="3" s="1"/>
  <c r="X65" i="3"/>
  <c r="X79" i="3" s="1"/>
  <c r="X56" i="3" s="1"/>
  <c r="T65" i="3"/>
  <c r="T79" i="3" s="1"/>
  <c r="T56" i="3" s="1"/>
  <c r="P65" i="3"/>
  <c r="P79" i="3" s="1"/>
  <c r="P56" i="3" s="1"/>
  <c r="L65" i="3"/>
  <c r="L79" i="3" s="1"/>
  <c r="L56" i="3" s="1"/>
  <c r="H65" i="3"/>
  <c r="H79" i="3" s="1"/>
  <c r="H56" i="3" s="1"/>
  <c r="D65" i="3"/>
  <c r="D79" i="3" s="1"/>
  <c r="D56" i="3" s="1"/>
  <c r="N167" i="55"/>
  <c r="N169" i="55" s="1"/>
  <c r="K65" i="3"/>
  <c r="K79" i="3" s="1"/>
  <c r="K56" i="3" s="1"/>
  <c r="AE65" i="3"/>
  <c r="AE79" i="3" s="1"/>
  <c r="AE56" i="3" s="1"/>
  <c r="S46" i="55"/>
  <c r="S68" i="55"/>
  <c r="S24" i="55"/>
  <c r="AA111" i="55"/>
  <c r="S101" i="55"/>
  <c r="AA90" i="55"/>
  <c r="AG111" i="55"/>
  <c r="AG79" i="55"/>
  <c r="AG68" i="55"/>
  <c r="AG46" i="55"/>
  <c r="AG24" i="55"/>
  <c r="BQ123" i="55"/>
  <c r="W46" i="55"/>
  <c r="AA35" i="55"/>
  <c r="S79" i="55"/>
  <c r="AA68" i="55"/>
  <c r="S57" i="55"/>
  <c r="AA24" i="55"/>
  <c r="S35" i="55"/>
  <c r="AI101" i="55"/>
  <c r="AI68" i="55"/>
  <c r="AI24" i="55"/>
  <c r="AQ77" i="55"/>
  <c r="AL22" i="55"/>
  <c r="AD22" i="55"/>
  <c r="AH77" i="55"/>
  <c r="AK99" i="55"/>
  <c r="AH22" i="55"/>
  <c r="BR100" i="55"/>
  <c r="U109" i="55"/>
  <c r="Z101" i="55"/>
  <c r="R90" i="55"/>
  <c r="AB79" i="55"/>
  <c r="Z79" i="55"/>
  <c r="AI57" i="55"/>
  <c r="Z57" i="55"/>
  <c r="T57" i="55"/>
  <c r="P57" i="55"/>
  <c r="Z35" i="55"/>
  <c r="P35" i="55"/>
  <c r="AI158" i="55"/>
  <c r="S109" i="55"/>
  <c r="Z109" i="55"/>
  <c r="R68" i="55"/>
  <c r="R158" i="55"/>
  <c r="AM77" i="55"/>
  <c r="AU79" i="55"/>
  <c r="AU158" i="55"/>
  <c r="AC118" i="3"/>
  <c r="AW65" i="3"/>
  <c r="AW79" i="3" s="1"/>
  <c r="AW56" i="3" s="1"/>
  <c r="U118" i="3"/>
  <c r="U124" i="55"/>
  <c r="BC92" i="3"/>
  <c r="AU92" i="3"/>
  <c r="AH83" i="2"/>
  <c r="CJ77" i="2"/>
  <c r="BQ75" i="2"/>
  <c r="BA65" i="3"/>
  <c r="BA79" i="3" s="1"/>
  <c r="BA56" i="3" s="1"/>
  <c r="AT65" i="3"/>
  <c r="AT79" i="3" s="1"/>
  <c r="AT56" i="3" s="1"/>
  <c r="AY65" i="3"/>
  <c r="AY79" i="3" s="1"/>
  <c r="AY56" i="3" s="1"/>
  <c r="AF71" i="3"/>
  <c r="X71" i="3"/>
  <c r="AE177" i="55"/>
  <c r="W71" i="3"/>
  <c r="X178" i="55"/>
  <c r="X180" i="55" s="1"/>
  <c r="CK81" i="2"/>
  <c r="CL24" i="55"/>
  <c r="AU22" i="55"/>
  <c r="CI82" i="2"/>
  <c r="BP40" i="2"/>
  <c r="CL82" i="2"/>
  <c r="CH82" i="2"/>
  <c r="R71" i="3"/>
  <c r="AG178" i="55"/>
  <c r="AG180" i="55" s="1"/>
  <c r="Q178" i="55"/>
  <c r="Q180" i="55" s="1"/>
  <c r="AM22" i="55"/>
  <c r="BU92" i="3"/>
  <c r="BS92" i="3"/>
  <c r="BU77" i="2"/>
  <c r="BS77" i="2"/>
  <c r="BV98" i="2"/>
  <c r="BR98" i="2"/>
  <c r="CI77" i="2"/>
  <c r="BT77" i="2"/>
  <c r="AI40" i="2"/>
  <c r="AI71" i="3"/>
  <c r="AE40" i="2"/>
  <c r="AE71" i="3"/>
  <c r="E20" i="2"/>
  <c r="E40" i="2" s="1"/>
  <c r="CJ82" i="2"/>
  <c r="BU98" i="2"/>
  <c r="BQ98" i="2"/>
  <c r="CK82" i="2"/>
  <c r="CG82" i="2"/>
  <c r="R81" i="3"/>
  <c r="R80" i="3" s="1"/>
  <c r="R84" i="3" s="1"/>
  <c r="BS65" i="3"/>
  <c r="BS79" i="3" s="1"/>
  <c r="BS56" i="3" s="1"/>
  <c r="AS65" i="3"/>
  <c r="AS79" i="3" s="1"/>
  <c r="AS56" i="3" s="1"/>
  <c r="AK65" i="3"/>
  <c r="AK79" i="3" s="1"/>
  <c r="AK56" i="3" s="1"/>
  <c r="AC65" i="3"/>
  <c r="AC79" i="3" s="1"/>
  <c r="AC56" i="3" s="1"/>
  <c r="U65" i="3"/>
  <c r="U79" i="3" s="1"/>
  <c r="U56" i="3" s="1"/>
  <c r="M65" i="3"/>
  <c r="M79" i="3" s="1"/>
  <c r="M56" i="3" s="1"/>
  <c r="E65" i="3"/>
  <c r="E79" i="3" s="1"/>
  <c r="E56" i="3" s="1"/>
  <c r="CM36" i="3"/>
  <c r="R72" i="3"/>
  <c r="R73" i="3" s="1"/>
  <c r="R76" i="3" s="1"/>
  <c r="AJ71" i="3"/>
  <c r="BU65" i="3"/>
  <c r="BU79" i="3" s="1"/>
  <c r="BU56" i="3" s="1"/>
  <c r="BM65" i="3"/>
  <c r="BM79" i="3" s="1"/>
  <c r="BM56" i="3" s="1"/>
  <c r="CL43" i="3"/>
  <c r="V71" i="3"/>
  <c r="AF178" i="55"/>
  <c r="AF180" i="55" s="1"/>
  <c r="AH178" i="55"/>
  <c r="AH180" i="55" s="1"/>
  <c r="AD178" i="55"/>
  <c r="AD180" i="55" s="1"/>
  <c r="Z178" i="55"/>
  <c r="Z180" i="55" s="1"/>
  <c r="V178" i="55"/>
  <c r="V180" i="55" s="1"/>
  <c r="R178" i="55"/>
  <c r="R180" i="55" s="1"/>
  <c r="K167" i="55"/>
  <c r="K169" i="55" s="1"/>
  <c r="AG109" i="55"/>
  <c r="N108" i="55"/>
  <c r="N24" i="55" s="1"/>
  <c r="AJ77" i="55"/>
  <c r="AB77" i="55"/>
  <c r="AD79" i="55"/>
  <c r="AD57" i="55"/>
  <c r="AF22" i="55"/>
  <c r="AI22" i="55"/>
  <c r="AA65" i="3"/>
  <c r="AA79" i="3" s="1"/>
  <c r="AA56" i="3" s="1"/>
  <c r="AI92" i="3"/>
  <c r="W65" i="3"/>
  <c r="W79" i="3" s="1"/>
  <c r="W56" i="3" s="1"/>
  <c r="O65" i="3"/>
  <c r="O79" i="3" s="1"/>
  <c r="O56" i="3" s="1"/>
  <c r="S71" i="3"/>
  <c r="N31" i="55"/>
  <c r="R34" i="55" s="1"/>
  <c r="AU24" i="55"/>
  <c r="AU35" i="55"/>
  <c r="AU13" i="55"/>
  <c r="AK167" i="55"/>
  <c r="AK169" i="55" s="1"/>
  <c r="O167" i="55"/>
  <c r="O169" i="55" s="1"/>
  <c r="CE165" i="55"/>
  <c r="CE175" i="55" s="1"/>
  <c r="AV127" i="3"/>
  <c r="AW127" i="3" s="1"/>
  <c r="CM22" i="3"/>
  <c r="CM107" i="3" s="1"/>
  <c r="P89" i="55"/>
  <c r="AU109" i="55"/>
  <c r="CM72" i="2"/>
  <c r="AH79" i="55"/>
  <c r="AL111" i="55"/>
  <c r="AH35" i="55"/>
  <c r="AD24" i="55"/>
  <c r="AB24" i="55"/>
  <c r="AD46" i="55"/>
  <c r="AU111" i="55"/>
  <c r="CG123" i="55"/>
  <c r="BR83" i="3"/>
  <c r="AC128" i="3"/>
  <c r="D128" i="3"/>
  <c r="AF73" i="3"/>
  <c r="AF76" i="3" s="1"/>
  <c r="BU43" i="3"/>
  <c r="AI128" i="3"/>
  <c r="AD128" i="3"/>
  <c r="BQ83" i="3"/>
  <c r="BQ81" i="3" s="1"/>
  <c r="BQ80" i="3" s="1"/>
  <c r="BQ84" i="3" s="1"/>
  <c r="AI178" i="55"/>
  <c r="AI180" i="55" s="1"/>
  <c r="AC178" i="55"/>
  <c r="AC180" i="55" s="1"/>
  <c r="W176" i="55"/>
  <c r="W169" i="55"/>
  <c r="W174" i="55"/>
  <c r="W175" i="55"/>
  <c r="AJ177" i="55"/>
  <c r="AJ176" i="55"/>
  <c r="AJ157" i="55" s="1"/>
  <c r="AJ97" i="55" s="1"/>
  <c r="AJ169" i="55"/>
  <c r="AJ175" i="55"/>
  <c r="AJ156" i="55" s="1"/>
  <c r="AJ75" i="55" s="1"/>
  <c r="AK76" i="55" s="1"/>
  <c r="AJ173" i="55"/>
  <c r="CH177" i="55"/>
  <c r="BR167" i="55"/>
  <c r="CF177" i="55"/>
  <c r="BP167" i="55"/>
  <c r="BS100" i="55"/>
  <c r="W121" i="55"/>
  <c r="W124" i="55" s="1"/>
  <c r="X122" i="55"/>
  <c r="O87" i="55"/>
  <c r="P87" i="55"/>
  <c r="S89" i="55"/>
  <c r="CE163" i="55"/>
  <c r="M42" i="55"/>
  <c r="BP100" i="55"/>
  <c r="CG90" i="55"/>
  <c r="CG89" i="55"/>
  <c r="CH90" i="55"/>
  <c r="CH89" i="55"/>
  <c r="CG78" i="55"/>
  <c r="CI45" i="55"/>
  <c r="CG23" i="55"/>
  <c r="O108" i="55"/>
  <c r="O57" i="55" s="1"/>
  <c r="BO162" i="55"/>
  <c r="V158" i="55"/>
  <c r="V111" i="55"/>
  <c r="V109" i="55"/>
  <c r="V68" i="55"/>
  <c r="W109" i="55"/>
  <c r="V101" i="55"/>
  <c r="V90" i="55"/>
  <c r="CF78" i="55"/>
  <c r="BP78" i="55"/>
  <c r="BS78" i="55"/>
  <c r="V79" i="55"/>
  <c r="BW34" i="55"/>
  <c r="V35" i="55"/>
  <c r="BT23" i="55"/>
  <c r="BT108" i="55"/>
  <c r="BT79" i="55" s="1"/>
  <c r="AF158" i="55"/>
  <c r="AF111" i="55"/>
  <c r="AF101" i="55"/>
  <c r="AF68" i="55"/>
  <c r="AF46" i="55"/>
  <c r="BS108" i="55"/>
  <c r="BS23" i="55"/>
  <c r="X158" i="55"/>
  <c r="X111" i="55"/>
  <c r="X109" i="55"/>
  <c r="X101" i="55"/>
  <c r="X90" i="55"/>
  <c r="X68" i="55"/>
  <c r="X46" i="55"/>
  <c r="V24" i="55"/>
  <c r="T158" i="55"/>
  <c r="T121" i="55"/>
  <c r="T111" i="55"/>
  <c r="T109" i="55"/>
  <c r="T101" i="55"/>
  <c r="T90" i="55"/>
  <c r="T68" i="55"/>
  <c r="T46" i="55"/>
  <c r="Z111" i="55"/>
  <c r="CH78" i="55"/>
  <c r="CM75" i="55"/>
  <c r="CH23" i="55"/>
  <c r="BR108" i="55"/>
  <c r="BR35" i="55" s="1"/>
  <c r="BW23" i="55"/>
  <c r="Y109" i="55"/>
  <c r="V46" i="55"/>
  <c r="AE176" i="55"/>
  <c r="AE169" i="55"/>
  <c r="AE174" i="55"/>
  <c r="Y178" i="55"/>
  <c r="Y180" i="55" s="1"/>
  <c r="U178" i="55"/>
  <c r="U180" i="55" s="1"/>
  <c r="AE175" i="55"/>
  <c r="W177" i="55"/>
  <c r="W173" i="55"/>
  <c r="AJ174" i="55"/>
  <c r="AJ155" i="55" s="1"/>
  <c r="BR177" i="55"/>
  <c r="AA176" i="55"/>
  <c r="AA169" i="55"/>
  <c r="AA174" i="55"/>
  <c r="AA178" i="55" s="1"/>
  <c r="AA180" i="55" s="1"/>
  <c r="CH167" i="55"/>
  <c r="BP177" i="55"/>
  <c r="S176" i="55"/>
  <c r="S169" i="55"/>
  <c r="S174" i="55"/>
  <c r="S178" i="55" s="1"/>
  <c r="S180" i="55" s="1"/>
  <c r="CF167" i="55"/>
  <c r="BO165" i="55"/>
  <c r="BO163" i="55"/>
  <c r="L42" i="55"/>
  <c r="J167" i="55"/>
  <c r="J169" i="55" s="1"/>
  <c r="AJ141" i="55"/>
  <c r="AF141" i="55"/>
  <c r="AD141" i="55"/>
  <c r="AB141" i="55"/>
  <c r="BO166" i="55"/>
  <c r="BQ100" i="55"/>
  <c r="BO164" i="55"/>
  <c r="V121" i="55"/>
  <c r="AK108" i="55"/>
  <c r="AK79" i="55" s="1"/>
  <c r="CK20" i="55"/>
  <c r="AO23" i="55"/>
  <c r="AK23" i="55"/>
  <c r="AL21" i="55"/>
  <c r="CK75" i="55"/>
  <c r="AO78" i="55"/>
  <c r="AK78" i="55"/>
  <c r="AL76" i="55"/>
  <c r="AK45" i="55"/>
  <c r="CK42" i="55"/>
  <c r="AK43" i="55"/>
  <c r="AK31" i="55"/>
  <c r="AG141" i="55"/>
  <c r="AC141" i="55"/>
  <c r="O43" i="55"/>
  <c r="O31" i="55"/>
  <c r="P43" i="55"/>
  <c r="M167" i="55"/>
  <c r="M169" i="55" s="1"/>
  <c r="CE162" i="55"/>
  <c r="CE164" i="55"/>
  <c r="M53" i="55"/>
  <c r="CE166" i="55"/>
  <c r="M86" i="55"/>
  <c r="BT100" i="55"/>
  <c r="CI100" i="55"/>
  <c r="BS89" i="55"/>
  <c r="CF90" i="55"/>
  <c r="CI78" i="55"/>
  <c r="CE78" i="55"/>
  <c r="AO45" i="55"/>
  <c r="CI34" i="55"/>
  <c r="AK22" i="55"/>
  <c r="CI108" i="55"/>
  <c r="CI23" i="55"/>
  <c r="CE23" i="55"/>
  <c r="L167" i="55"/>
  <c r="L169" i="55" s="1"/>
  <c r="CI89" i="55"/>
  <c r="BQ89" i="55"/>
  <c r="AF77" i="55"/>
  <c r="BT78" i="55"/>
  <c r="AF79" i="55"/>
  <c r="BQ78" i="55"/>
  <c r="T79" i="55"/>
  <c r="AM34" i="55"/>
  <c r="AI34" i="55"/>
  <c r="AI32" i="55"/>
  <c r="AI35" i="55"/>
  <c r="CJ31" i="55"/>
  <c r="BT31" i="55"/>
  <c r="V57" i="55"/>
  <c r="BU42" i="55"/>
  <c r="CM31" i="55"/>
  <c r="X35" i="55"/>
  <c r="AJ22" i="55"/>
  <c r="AB22" i="55"/>
  <c r="CF108" i="55"/>
  <c r="CF23" i="55"/>
  <c r="BP23" i="55"/>
  <c r="BP108" i="55"/>
  <c r="BP24" i="55" s="1"/>
  <c r="AH158" i="55"/>
  <c r="AH111" i="55"/>
  <c r="AH109" i="55"/>
  <c r="AH68" i="55"/>
  <c r="AH101" i="55"/>
  <c r="AF24" i="55"/>
  <c r="AD158" i="55"/>
  <c r="AD111" i="55"/>
  <c r="AD109" i="55"/>
  <c r="AD68" i="55"/>
  <c r="AD101" i="55"/>
  <c r="AD90" i="55"/>
  <c r="AB158" i="55"/>
  <c r="AB111" i="55"/>
  <c r="AB109" i="55"/>
  <c r="AB101" i="55"/>
  <c r="AB90" i="55"/>
  <c r="AB68" i="55"/>
  <c r="AB46" i="55"/>
  <c r="X24" i="55"/>
  <c r="BQ108" i="55"/>
  <c r="BQ23" i="55"/>
  <c r="T24" i="55"/>
  <c r="P158" i="55"/>
  <c r="P101" i="55"/>
  <c r="P90" i="55"/>
  <c r="P68" i="55"/>
  <c r="P46" i="55"/>
  <c r="CL35" i="55"/>
  <c r="BW108" i="55"/>
  <c r="AI109" i="55"/>
  <c r="BR78" i="55"/>
  <c r="BW78" i="55"/>
  <c r="CJ45" i="55"/>
  <c r="AJ32" i="55"/>
  <c r="AZ33" i="55" s="1"/>
  <c r="AQ22" i="55"/>
  <c r="BR23" i="55"/>
  <c r="CM20" i="55"/>
  <c r="Q109" i="55"/>
  <c r="CG108" i="55"/>
  <c r="CL79" i="55"/>
  <c r="AH46" i="55"/>
  <c r="AS128" i="3"/>
  <c r="AT121" i="3"/>
  <c r="K121" i="3"/>
  <c r="J128" i="3"/>
  <c r="N128" i="3"/>
  <c r="O121" i="3"/>
  <c r="AT118" i="3"/>
  <c r="N118" i="3"/>
  <c r="O113" i="3"/>
  <c r="U81" i="3"/>
  <c r="U80" i="3" s="1"/>
  <c r="U84" i="3" s="1"/>
  <c r="CK70" i="3"/>
  <c r="CK72" i="3"/>
  <c r="AN81" i="3"/>
  <c r="AN80" i="3" s="1"/>
  <c r="AN84" i="3" s="1"/>
  <c r="E128" i="3"/>
  <c r="AK72" i="3"/>
  <c r="AL70" i="3"/>
  <c r="AK73" i="3"/>
  <c r="AK76" i="3" s="1"/>
  <c r="AK71" i="3"/>
  <c r="AJ73" i="3"/>
  <c r="AJ76" i="3" s="1"/>
  <c r="Q72" i="3"/>
  <c r="P70" i="3"/>
  <c r="Q73" i="3"/>
  <c r="Q76" i="3" s="1"/>
  <c r="Q71" i="3"/>
  <c r="U72" i="3"/>
  <c r="U73" i="3" s="1"/>
  <c r="U76" i="3" s="1"/>
  <c r="U71" i="3"/>
  <c r="T70" i="3"/>
  <c r="AI118" i="3"/>
  <c r="R128" i="3"/>
  <c r="S121" i="3"/>
  <c r="BM66" i="3"/>
  <c r="BM60" i="3"/>
  <c r="BM33" i="3"/>
  <c r="AD118" i="3"/>
  <c r="AE113" i="3"/>
  <c r="AK81" i="3"/>
  <c r="AK80" i="3" s="1"/>
  <c r="AK84" i="3" s="1"/>
  <c r="Q81" i="3"/>
  <c r="Q80" i="3" s="1"/>
  <c r="Q84" i="3" s="1"/>
  <c r="AG80" i="3"/>
  <c r="AG84" i="3" s="1"/>
  <c r="AH70" i="3"/>
  <c r="AG72" i="3"/>
  <c r="AG73" i="3" s="1"/>
  <c r="AG76" i="3" s="1"/>
  <c r="AG71" i="3"/>
  <c r="CJ73" i="3"/>
  <c r="CJ76" i="3" s="1"/>
  <c r="CI73" i="3"/>
  <c r="CI76" i="3" s="1"/>
  <c r="AV122" i="3"/>
  <c r="AW122" i="3" s="1"/>
  <c r="CK121" i="3"/>
  <c r="CK128" i="3" s="1"/>
  <c r="CK43" i="3"/>
  <c r="X81" i="3"/>
  <c r="X80" i="3" s="1"/>
  <c r="X84" i="3" s="1"/>
  <c r="AM128" i="3"/>
  <c r="BU121" i="3"/>
  <c r="BU128" i="3" s="1"/>
  <c r="BT128" i="3"/>
  <c r="AE128" i="3"/>
  <c r="BS121" i="3"/>
  <c r="BS128" i="3" s="1"/>
  <c r="W128" i="3"/>
  <c r="BQ121" i="3"/>
  <c r="BQ128" i="3" s="1"/>
  <c r="F128" i="3"/>
  <c r="G121" i="3"/>
  <c r="BT118" i="3"/>
  <c r="AL118" i="3"/>
  <c r="AM113" i="3"/>
  <c r="V118" i="3"/>
  <c r="W113" i="3"/>
  <c r="F118" i="3"/>
  <c r="G113" i="3"/>
  <c r="CI81" i="3"/>
  <c r="CI80" i="3" s="1"/>
  <c r="CI84" i="3" s="1"/>
  <c r="CG83" i="3"/>
  <c r="CG96" i="3"/>
  <c r="Y80" i="3"/>
  <c r="Y84" i="3" s="1"/>
  <c r="Y72" i="3"/>
  <c r="Y73" i="3" s="1"/>
  <c r="Y76" i="3" s="1"/>
  <c r="Y71" i="3"/>
  <c r="Z70" i="3"/>
  <c r="CJ81" i="3"/>
  <c r="CJ80" i="3" s="1"/>
  <c r="CJ84" i="3" s="1"/>
  <c r="AK38" i="2"/>
  <c r="AK40" i="2" s="1"/>
  <c r="AK85" i="2"/>
  <c r="F98" i="2"/>
  <c r="G97" i="2"/>
  <c r="AN65" i="2"/>
  <c r="AN68" i="2" s="1"/>
  <c r="BU65" i="2"/>
  <c r="BU68" i="2" s="1"/>
  <c r="AQ65" i="2"/>
  <c r="AQ68" i="2" s="1"/>
  <c r="AT65" i="2"/>
  <c r="AT68" i="2" s="1"/>
  <c r="AJ60" i="2"/>
  <c r="CJ56" i="2"/>
  <c r="CJ60" i="2" s="1"/>
  <c r="CJ65" i="2" s="1"/>
  <c r="AK56" i="2"/>
  <c r="AK60" i="2" s="1"/>
  <c r="BX58" i="2"/>
  <c r="CM32" i="2"/>
  <c r="CM28" i="2"/>
  <c r="CM81" i="2" s="1"/>
  <c r="BX25" i="2"/>
  <c r="AS85" i="2"/>
  <c r="AS20" i="2"/>
  <c r="AO85" i="2"/>
  <c r="AO20" i="2"/>
  <c r="CK85" i="2"/>
  <c r="CK20" i="2"/>
  <c r="CK40" i="2" s="1"/>
  <c r="CG85" i="2"/>
  <c r="CG20" i="2"/>
  <c r="CG40" i="2" s="1"/>
  <c r="CC85" i="2"/>
  <c r="CC20" i="2"/>
  <c r="CC40" i="2" s="1"/>
  <c r="BR85" i="2"/>
  <c r="BR20" i="2"/>
  <c r="BR40" i="2" s="1"/>
  <c r="AT85" i="2"/>
  <c r="AT20" i="2"/>
  <c r="AP85" i="2"/>
  <c r="AP20" i="2"/>
  <c r="AL85" i="2"/>
  <c r="AL20" i="2"/>
  <c r="AL40" i="2" s="1"/>
  <c r="CL85" i="2"/>
  <c r="CL20" i="2"/>
  <c r="CL40" i="2" s="1"/>
  <c r="CH85" i="2"/>
  <c r="CH20" i="2"/>
  <c r="CD85" i="2"/>
  <c r="CD20" i="2"/>
  <c r="CD40" i="2" s="1"/>
  <c r="BQ85" i="2"/>
  <c r="BQ20" i="2"/>
  <c r="AK49" i="2"/>
  <c r="BV14" i="2"/>
  <c r="AO65" i="2"/>
  <c r="AO68" i="2" s="1"/>
  <c r="BS65" i="2"/>
  <c r="BS68" i="2" s="1"/>
  <c r="AR60" i="2"/>
  <c r="CL56" i="2"/>
  <c r="CL60" i="2" s="1"/>
  <c r="CL65" i="2" s="1"/>
  <c r="CL68" i="2" s="1"/>
  <c r="AS56" i="2"/>
  <c r="AS60" i="2" s="1"/>
  <c r="CH40" i="2"/>
  <c r="CN62" i="2"/>
  <c r="BA62" i="2"/>
  <c r="BB62" i="2" s="1"/>
  <c r="BC62" i="2" s="1"/>
  <c r="BW57" i="2"/>
  <c r="AI65" i="2"/>
  <c r="AI68" i="2" s="1"/>
  <c r="AX56" i="2"/>
  <c r="CM24" i="2"/>
  <c r="AQ85" i="2"/>
  <c r="AQ20" i="2"/>
  <c r="AM85" i="2"/>
  <c r="AM20" i="2"/>
  <c r="K85" i="2"/>
  <c r="K20" i="2"/>
  <c r="K40" i="2" s="1"/>
  <c r="CI85" i="2"/>
  <c r="CI20" i="2"/>
  <c r="CI40" i="2" s="1"/>
  <c r="CE85" i="2"/>
  <c r="CE20" i="2"/>
  <c r="CE40" i="2" s="1"/>
  <c r="BT85" i="2"/>
  <c r="BT20" i="2"/>
  <c r="BT71" i="3" s="1"/>
  <c r="BN85" i="2"/>
  <c r="BN20" i="2"/>
  <c r="CJ68" i="2"/>
  <c r="CM19" i="2"/>
  <c r="CM17" i="2"/>
  <c r="AR85" i="2"/>
  <c r="AR20" i="2"/>
  <c r="AN85" i="2"/>
  <c r="AN20" i="2"/>
  <c r="D85" i="2"/>
  <c r="D20" i="2"/>
  <c r="D40" i="2" s="1"/>
  <c r="CJ85" i="2"/>
  <c r="CJ20" i="2"/>
  <c r="CJ40" i="2" s="1"/>
  <c r="CF85" i="2"/>
  <c r="CF20" i="2"/>
  <c r="CF40" i="2" s="1"/>
  <c r="BS85" i="2"/>
  <c r="BS20" i="2"/>
  <c r="BO85" i="2"/>
  <c r="BO20" i="2"/>
  <c r="BX13" i="2"/>
  <c r="CN10" i="2"/>
  <c r="BA10" i="2"/>
  <c r="BB10" i="2" s="1"/>
  <c r="BC10" i="2" s="1"/>
  <c r="BU85" i="2"/>
  <c r="BM85" i="2"/>
  <c r="BX26" i="2"/>
  <c r="AW72" i="2"/>
  <c r="BU52" i="2"/>
  <c r="CI68" i="3"/>
  <c r="CC51" i="2"/>
  <c r="X73" i="3" l="1"/>
  <c r="X76" i="3" s="1"/>
  <c r="AE32" i="55"/>
  <c r="AY33" i="55" s="1"/>
  <c r="BS31" i="55"/>
  <c r="BS35" i="55" s="1"/>
  <c r="AE46" i="55"/>
  <c r="CH13" i="55"/>
  <c r="CH24" i="55"/>
  <c r="CH79" i="55"/>
  <c r="AE68" i="55"/>
  <c r="AE111" i="55"/>
  <c r="N101" i="55"/>
  <c r="AF109" i="55"/>
  <c r="AE109" i="55"/>
  <c r="AE57" i="55"/>
  <c r="AI111" i="55"/>
  <c r="AE158" i="55"/>
  <c r="AE101" i="55"/>
  <c r="AE35" i="55"/>
  <c r="AE24" i="55"/>
  <c r="AE90" i="55"/>
  <c r="BF77" i="55"/>
  <c r="AX77" i="55"/>
  <c r="BF22" i="55"/>
  <c r="AX22" i="55"/>
  <c r="AU33" i="55"/>
  <c r="AV33" i="55"/>
  <c r="BD33" i="55"/>
  <c r="AN40" i="2"/>
  <c r="AN71" i="3"/>
  <c r="AR40" i="2"/>
  <c r="AR71" i="3"/>
  <c r="AQ40" i="2"/>
  <c r="AQ71" i="3"/>
  <c r="AP40" i="2"/>
  <c r="AP71" i="3"/>
  <c r="AT40" i="2"/>
  <c r="AT71" i="3"/>
  <c r="AO40" i="2"/>
  <c r="AO71" i="3"/>
  <c r="AS40" i="2"/>
  <c r="AS71" i="3"/>
  <c r="BE77" i="55"/>
  <c r="AW77" i="55"/>
  <c r="N46" i="55"/>
  <c r="CM121" i="3"/>
  <c r="AK24" i="55"/>
  <c r="P109" i="55"/>
  <c r="AB110" i="55" s="1"/>
  <c r="BY10" i="2"/>
  <c r="BD10" i="2"/>
  <c r="BY62" i="2"/>
  <c r="BD62" i="2"/>
  <c r="O46" i="55"/>
  <c r="N111" i="55"/>
  <c r="N57" i="55"/>
  <c r="N90" i="55"/>
  <c r="N68" i="55"/>
  <c r="N158" i="55"/>
  <c r="N79" i="55"/>
  <c r="R111" i="55"/>
  <c r="AX125" i="3"/>
  <c r="AY125" i="3" s="1"/>
  <c r="BX125" i="3" s="1"/>
  <c r="BX40" i="3"/>
  <c r="CN40" i="3"/>
  <c r="CN125" i="3" s="1"/>
  <c r="BO40" i="2"/>
  <c r="BO71" i="3"/>
  <c r="BS40" i="2"/>
  <c r="BS71" i="3"/>
  <c r="BT40" i="2"/>
  <c r="CG71" i="3"/>
  <c r="AK46" i="55"/>
  <c r="AE178" i="55"/>
  <c r="AE180" i="55" s="1"/>
  <c r="CG83" i="2"/>
  <c r="CK83" i="2"/>
  <c r="CJ83" i="2"/>
  <c r="CH83" i="2"/>
  <c r="CL83" i="2"/>
  <c r="BN40" i="2"/>
  <c r="BN71" i="3"/>
  <c r="AM40" i="2"/>
  <c r="AM71" i="3"/>
  <c r="BQ40" i="2"/>
  <c r="BQ71" i="3"/>
  <c r="CI71" i="3"/>
  <c r="CJ71" i="3"/>
  <c r="CI83" i="2"/>
  <c r="N35" i="55"/>
  <c r="AX97" i="3"/>
  <c r="BX17" i="3"/>
  <c r="AX102" i="3"/>
  <c r="AY102" i="3" s="1"/>
  <c r="BX102" i="3" s="1"/>
  <c r="CN17" i="3"/>
  <c r="CN102" i="3" s="1"/>
  <c r="CM42" i="3"/>
  <c r="CM127" i="3" s="1"/>
  <c r="BX33" i="2"/>
  <c r="CC44" i="2"/>
  <c r="CC48" i="2"/>
  <c r="CD113" i="55"/>
  <c r="CD51" i="2"/>
  <c r="CD68" i="3"/>
  <c r="CF113" i="55"/>
  <c r="CF127" i="55" s="1"/>
  <c r="CF51" i="2"/>
  <c r="CF174" i="55"/>
  <c r="CF175" i="55"/>
  <c r="CH174" i="55"/>
  <c r="CH113" i="55"/>
  <c r="CH127" i="55" s="1"/>
  <c r="CH51" i="2"/>
  <c r="CH175" i="55"/>
  <c r="CH68" i="3"/>
  <c r="CJ113" i="55"/>
  <c r="CJ51" i="2"/>
  <c r="CL113" i="55"/>
  <c r="CL51" i="2"/>
  <c r="F52" i="2"/>
  <c r="H52" i="2"/>
  <c r="L52" i="2"/>
  <c r="N52" i="2"/>
  <c r="D52" i="2"/>
  <c r="G52" i="2"/>
  <c r="K52" i="2"/>
  <c r="O52" i="2"/>
  <c r="T52" i="2"/>
  <c r="W52" i="2"/>
  <c r="Y52" i="2"/>
  <c r="AD52" i="2"/>
  <c r="AG52" i="2"/>
  <c r="CH173" i="55"/>
  <c r="CL68" i="3"/>
  <c r="CE68" i="3"/>
  <c r="CJ68" i="3"/>
  <c r="CE113" i="55"/>
  <c r="CE127" i="55" s="1"/>
  <c r="CE51" i="2"/>
  <c r="CG175" i="55"/>
  <c r="CG113" i="55"/>
  <c r="CG51" i="2"/>
  <c r="CG173" i="55"/>
  <c r="CG176" i="55"/>
  <c r="CG174" i="55"/>
  <c r="CI113" i="55"/>
  <c r="CI51" i="2"/>
  <c r="CI174" i="55"/>
  <c r="CI175" i="55"/>
  <c r="CI173" i="55"/>
  <c r="CI176" i="55"/>
  <c r="CK113" i="55"/>
  <c r="CK51" i="2"/>
  <c r="CK68" i="3"/>
  <c r="BU47" i="2"/>
  <c r="BU46" i="2"/>
  <c r="BU45" i="2" s="1"/>
  <c r="E52" i="2"/>
  <c r="I52" i="2"/>
  <c r="M52" i="2"/>
  <c r="S52" i="2"/>
  <c r="U52" i="2"/>
  <c r="X52" i="2"/>
  <c r="AB52" i="2"/>
  <c r="AF52" i="2"/>
  <c r="CF173" i="55"/>
  <c r="CE174" i="55"/>
  <c r="CF176" i="55"/>
  <c r="CH176" i="55"/>
  <c r="CC68" i="3"/>
  <c r="CF68" i="3"/>
  <c r="CG68" i="3"/>
  <c r="AV117" i="3"/>
  <c r="AW117" i="3" s="1"/>
  <c r="CM32" i="3"/>
  <c r="CM117" i="3" s="1"/>
  <c r="BW15" i="3"/>
  <c r="AU100" i="3"/>
  <c r="BW100" i="3" s="1"/>
  <c r="BR46" i="55"/>
  <c r="CG111" i="55"/>
  <c r="CG13" i="55"/>
  <c r="CM23" i="55"/>
  <c r="CM108" i="55"/>
  <c r="BW111" i="55"/>
  <c r="BW13" i="55"/>
  <c r="BQ111" i="55"/>
  <c r="BQ68" i="55"/>
  <c r="BQ46" i="55"/>
  <c r="CF13" i="55"/>
  <c r="BQ35" i="55"/>
  <c r="CJ34" i="55"/>
  <c r="AQ33" i="55"/>
  <c r="AM33" i="55"/>
  <c r="BQ79" i="55"/>
  <c r="CI111" i="55"/>
  <c r="CI68" i="55"/>
  <c r="CI90" i="55"/>
  <c r="CI79" i="55"/>
  <c r="M87" i="55"/>
  <c r="BO86" i="55"/>
  <c r="BP89" i="55" s="1"/>
  <c r="CE86" i="55"/>
  <c r="N87" i="55"/>
  <c r="Q89" i="55"/>
  <c r="CE53" i="55"/>
  <c r="CE167" i="55"/>
  <c r="CE173" i="55"/>
  <c r="AO34" i="55"/>
  <c r="AK34" i="55"/>
  <c r="AK32" i="55"/>
  <c r="CK31" i="55"/>
  <c r="AL32" i="55"/>
  <c r="AX33" i="55" s="1"/>
  <c r="AK35" i="55"/>
  <c r="BU31" i="55"/>
  <c r="CK45" i="55"/>
  <c r="BA77" i="55"/>
  <c r="AS77" i="55"/>
  <c r="AO77" i="55"/>
  <c r="BO177" i="55"/>
  <c r="BW24" i="55"/>
  <c r="CM78" i="55"/>
  <c r="BS111" i="55"/>
  <c r="BS68" i="55"/>
  <c r="BS46" i="55"/>
  <c r="BT111" i="55"/>
  <c r="BT68" i="55"/>
  <c r="BT46" i="55"/>
  <c r="BS79" i="55"/>
  <c r="CF79" i="55"/>
  <c r="BO167" i="55"/>
  <c r="CE42" i="55"/>
  <c r="M43" i="55"/>
  <c r="M31" i="55"/>
  <c r="M108" i="55"/>
  <c r="M57" i="55" s="1"/>
  <c r="Q45" i="55"/>
  <c r="N43" i="55"/>
  <c r="Y122" i="55"/>
  <c r="X121" i="55"/>
  <c r="CG121" i="55" s="1"/>
  <c r="CG124" i="55" s="1"/>
  <c r="AJ178" i="55"/>
  <c r="AJ180" i="55" s="1"/>
  <c r="AJ154" i="55"/>
  <c r="AJ20" i="55" s="1"/>
  <c r="AN33" i="55"/>
  <c r="AR33" i="55"/>
  <c r="BW79" i="55"/>
  <c r="AW35" i="55"/>
  <c r="BQ24" i="55"/>
  <c r="BP68" i="55"/>
  <c r="BP35" i="55"/>
  <c r="BP46" i="55"/>
  <c r="CF24" i="55"/>
  <c r="CM34" i="55"/>
  <c r="BU45" i="55"/>
  <c r="BT35" i="55"/>
  <c r="CI24" i="55"/>
  <c r="CI35" i="55"/>
  <c r="CI101" i="55"/>
  <c r="CE176" i="55"/>
  <c r="CE177" i="55"/>
  <c r="O32" i="55"/>
  <c r="O35" i="55"/>
  <c r="P32" i="55"/>
  <c r="S34" i="55"/>
  <c r="AP77" i="55"/>
  <c r="AT77" i="55"/>
  <c r="BB77" i="55"/>
  <c r="CL78" i="55"/>
  <c r="AP22" i="55"/>
  <c r="AT22" i="55"/>
  <c r="BB22" i="55"/>
  <c r="CL23" i="55"/>
  <c r="AK158" i="55"/>
  <c r="AK111" i="55"/>
  <c r="AO111" i="55"/>
  <c r="AK68" i="55"/>
  <c r="AL109" i="55"/>
  <c r="V124" i="55"/>
  <c r="BO42" i="55"/>
  <c r="CD42" i="55"/>
  <c r="L31" i="55"/>
  <c r="L108" i="55"/>
  <c r="L46" i="55" s="1"/>
  <c r="P45" i="55"/>
  <c r="W178" i="55"/>
  <c r="W180" i="55" s="1"/>
  <c r="BR111" i="55"/>
  <c r="BR68" i="55"/>
  <c r="BR24" i="55"/>
  <c r="BR79" i="55"/>
  <c r="CF121" i="55"/>
  <c r="CF124" i="55" s="1"/>
  <c r="T124" i="55"/>
  <c r="BQ121" i="55"/>
  <c r="BQ124" i="55" s="1"/>
  <c r="BS24" i="55"/>
  <c r="BT24" i="55"/>
  <c r="BW35" i="55"/>
  <c r="BT57" i="55"/>
  <c r="BP79" i="55"/>
  <c r="AK110" i="55"/>
  <c r="AO110" i="55" s="1"/>
  <c r="AS110" i="55" s="1"/>
  <c r="O158" i="55"/>
  <c r="O111" i="55"/>
  <c r="O109" i="55"/>
  <c r="AE110" i="55" s="1"/>
  <c r="O79" i="55"/>
  <c r="O68" i="55"/>
  <c r="O24" i="55"/>
  <c r="O101" i="55"/>
  <c r="S111" i="55"/>
  <c r="CG24" i="55"/>
  <c r="CI46" i="55"/>
  <c r="CG79" i="55"/>
  <c r="O90" i="55"/>
  <c r="AN78" i="55"/>
  <c r="AJ78" i="55"/>
  <c r="BU75" i="55"/>
  <c r="AJ76" i="55"/>
  <c r="AZ77" i="55" s="1"/>
  <c r="CJ75" i="55"/>
  <c r="AJ98" i="55"/>
  <c r="AJ100" i="55"/>
  <c r="AK97" i="55"/>
  <c r="CJ97" i="55"/>
  <c r="CH111" i="55"/>
  <c r="CG81" i="3"/>
  <c r="CG80" i="3" s="1"/>
  <c r="CG84" i="3" s="1"/>
  <c r="G128" i="3"/>
  <c r="BM121" i="3"/>
  <c r="BM128" i="3" s="1"/>
  <c r="BP121" i="3"/>
  <c r="BP128" i="3" s="1"/>
  <c r="S128" i="3"/>
  <c r="BO113" i="3"/>
  <c r="BO118" i="3" s="1"/>
  <c r="O118" i="3"/>
  <c r="O128" i="3"/>
  <c r="BO121" i="3"/>
  <c r="BO128" i="3" s="1"/>
  <c r="AU121" i="3"/>
  <c r="AT128" i="3"/>
  <c r="Z71" i="3"/>
  <c r="AA70" i="3"/>
  <c r="Z81" i="3"/>
  <c r="Z80" i="3" s="1"/>
  <c r="Z84" i="3" s="1"/>
  <c r="Z72" i="3"/>
  <c r="Z73" i="3" s="1"/>
  <c r="Z76" i="3" s="1"/>
  <c r="BM113" i="3"/>
  <c r="BM118" i="3" s="1"/>
  <c r="G118" i="3"/>
  <c r="BQ113" i="3"/>
  <c r="BQ118" i="3" s="1"/>
  <c r="W118" i="3"/>
  <c r="BU113" i="3"/>
  <c r="BU118" i="3" s="1"/>
  <c r="AM118" i="3"/>
  <c r="AH72" i="3"/>
  <c r="AH73" i="3" s="1"/>
  <c r="AH76" i="3" s="1"/>
  <c r="AH71" i="3"/>
  <c r="K70" i="3"/>
  <c r="AH81" i="3"/>
  <c r="AH80" i="3" s="1"/>
  <c r="AH84" i="3" s="1"/>
  <c r="BS113" i="3"/>
  <c r="BS118" i="3" s="1"/>
  <c r="AE118" i="3"/>
  <c r="AZ102" i="3"/>
  <c r="T71" i="3"/>
  <c r="T72" i="3"/>
  <c r="CF72" i="3" s="1"/>
  <c r="CF70" i="3"/>
  <c r="T81" i="3"/>
  <c r="T80" i="3" s="1"/>
  <c r="T84" i="3" s="1"/>
  <c r="P71" i="3"/>
  <c r="CE70" i="3"/>
  <c r="P72" i="3"/>
  <c r="CE72" i="3" s="1"/>
  <c r="P81" i="3"/>
  <c r="P80" i="3" s="1"/>
  <c r="P84" i="3" s="1"/>
  <c r="AL71" i="3"/>
  <c r="O70" i="3"/>
  <c r="AL81" i="3"/>
  <c r="AL72" i="3"/>
  <c r="AL73" i="3" s="1"/>
  <c r="AL76" i="3" s="1"/>
  <c r="AL80" i="3"/>
  <c r="AL84" i="3" s="1"/>
  <c r="AZ125" i="3"/>
  <c r="BA40" i="3"/>
  <c r="CK73" i="3"/>
  <c r="CK76" i="3" s="1"/>
  <c r="CK71" i="3"/>
  <c r="CK81" i="3"/>
  <c r="CK80" i="3" s="1"/>
  <c r="CK84" i="3" s="1"/>
  <c r="BN121" i="3"/>
  <c r="BN128" i="3" s="1"/>
  <c r="K128" i="3"/>
  <c r="BA13" i="2"/>
  <c r="BB13" i="2" s="1"/>
  <c r="BC13" i="2" s="1"/>
  <c r="CN13" i="2"/>
  <c r="AY56" i="2"/>
  <c r="CM57" i="2"/>
  <c r="BV85" i="2"/>
  <c r="BV20" i="2"/>
  <c r="BV40" i="2" s="1"/>
  <c r="CN25" i="2"/>
  <c r="BA25" i="2"/>
  <c r="BB25" i="2" s="1"/>
  <c r="BC25" i="2" s="1"/>
  <c r="AW81" i="2"/>
  <c r="G98" i="2"/>
  <c r="H97" i="2"/>
  <c r="CN26" i="2"/>
  <c r="BA26" i="2"/>
  <c r="BB26" i="2" s="1"/>
  <c r="BC26" i="2" s="1"/>
  <c r="BX19" i="2"/>
  <c r="BA45" i="2"/>
  <c r="BB46" i="2"/>
  <c r="AS65" i="2"/>
  <c r="AS68" i="2" s="1"/>
  <c r="AR65" i="2"/>
  <c r="AR68" i="2" s="1"/>
  <c r="BX32" i="2"/>
  <c r="CN58" i="2"/>
  <c r="BA58" i="2"/>
  <c r="BB58" i="2" s="1"/>
  <c r="BC58" i="2" s="1"/>
  <c r="AK65" i="2"/>
  <c r="AK68" i="2" s="1"/>
  <c r="AJ65" i="2"/>
  <c r="AJ68" i="2" s="1"/>
  <c r="F129" i="55"/>
  <c r="H129" i="55"/>
  <c r="L129" i="55"/>
  <c r="N129" i="55"/>
  <c r="N26" i="55" s="1"/>
  <c r="N29" i="55" s="1"/>
  <c r="CH52" i="2"/>
  <c r="BR52" i="2"/>
  <c r="D129" i="55"/>
  <c r="T129" i="55"/>
  <c r="T37" i="55" s="1"/>
  <c r="W129" i="55"/>
  <c r="Y129" i="55"/>
  <c r="AD129" i="55"/>
  <c r="AG129" i="55"/>
  <c r="E129" i="55"/>
  <c r="G129" i="55"/>
  <c r="I129" i="55"/>
  <c r="K129" i="55"/>
  <c r="M129" i="55"/>
  <c r="O129" i="55"/>
  <c r="S129" i="55"/>
  <c r="U129" i="55"/>
  <c r="X129" i="55"/>
  <c r="X81" i="55" s="1"/>
  <c r="AB129" i="55"/>
  <c r="AB92" i="55" s="1"/>
  <c r="AF129" i="55"/>
  <c r="AF37" i="55" s="1"/>
  <c r="BO175" i="55"/>
  <c r="CK108" i="55" l="1"/>
  <c r="CK79" i="55" s="1"/>
  <c r="CM35" i="55"/>
  <c r="AF110" i="55"/>
  <c r="O48" i="55"/>
  <c r="O51" i="55" s="1"/>
  <c r="AJ110" i="55"/>
  <c r="AN110" i="55" s="1"/>
  <c r="AR110" i="55" s="1"/>
  <c r="AV110" i="55" s="1"/>
  <c r="BA9" i="55"/>
  <c r="BX9" i="55"/>
  <c r="BX12" i="55" s="1"/>
  <c r="AW110" i="55"/>
  <c r="BA110" i="55" s="1"/>
  <c r="BE110" i="55" s="1"/>
  <c r="BI110" i="55" s="1"/>
  <c r="BB33" i="55"/>
  <c r="BF33" i="55"/>
  <c r="AW33" i="55"/>
  <c r="BA33" i="55"/>
  <c r="BE33" i="55"/>
  <c r="AW13" i="55"/>
  <c r="AW24" i="55"/>
  <c r="BD77" i="55"/>
  <c r="AV77" i="55"/>
  <c r="BB40" i="3"/>
  <c r="BC40" i="3" s="1"/>
  <c r="BD40" i="3" s="1"/>
  <c r="BD125" i="3" s="1"/>
  <c r="BE62" i="2"/>
  <c r="BF62" i="2" s="1"/>
  <c r="BG62" i="2" s="1"/>
  <c r="CO62" i="2"/>
  <c r="BE10" i="2"/>
  <c r="BF10" i="2" s="1"/>
  <c r="BG10" i="2" s="1"/>
  <c r="CO10" i="2"/>
  <c r="BY58" i="2"/>
  <c r="BD58" i="2"/>
  <c r="BY26" i="2"/>
  <c r="BD26" i="2"/>
  <c r="BY25" i="2"/>
  <c r="BD25" i="2"/>
  <c r="BY13" i="2"/>
  <c r="BD13" i="2"/>
  <c r="CH169" i="55"/>
  <c r="CE169" i="55"/>
  <c r="CM8" i="73"/>
  <c r="CI178" i="55"/>
  <c r="CI180" i="55" s="1"/>
  <c r="CF169" i="55"/>
  <c r="AX121" i="3"/>
  <c r="AX127" i="3"/>
  <c r="AX108" i="3"/>
  <c r="BX31" i="2"/>
  <c r="CN33" i="2"/>
  <c r="BA33" i="2"/>
  <c r="BX27" i="2"/>
  <c r="AX107" i="3"/>
  <c r="AB95" i="55"/>
  <c r="BN51" i="2"/>
  <c r="BN68" i="3"/>
  <c r="BP200" i="55"/>
  <c r="BP198" i="55"/>
  <c r="BP196" i="55"/>
  <c r="BP201" i="55"/>
  <c r="BP199" i="55"/>
  <c r="BP197" i="55"/>
  <c r="BP174" i="55"/>
  <c r="BP113" i="55"/>
  <c r="BP51" i="2"/>
  <c r="BP175" i="55"/>
  <c r="BP176" i="55"/>
  <c r="BP68" i="3"/>
  <c r="BP173" i="55"/>
  <c r="BR200" i="55"/>
  <c r="BR198" i="55"/>
  <c r="BR196" i="55"/>
  <c r="BR201" i="55"/>
  <c r="BR199" i="55"/>
  <c r="BR197" i="55"/>
  <c r="BR113" i="55"/>
  <c r="BR51" i="2"/>
  <c r="BR174" i="55"/>
  <c r="BR175" i="55"/>
  <c r="BR68" i="3"/>
  <c r="BR173" i="55"/>
  <c r="BR176" i="55"/>
  <c r="BT113" i="55"/>
  <c r="BT51" i="2"/>
  <c r="BT68" i="3"/>
  <c r="BV113" i="55"/>
  <c r="BV51" i="2"/>
  <c r="BV68" i="3"/>
  <c r="AT52" i="2"/>
  <c r="AP52" i="2"/>
  <c r="AL52" i="2"/>
  <c r="R52" i="2"/>
  <c r="AG70" i="55"/>
  <c r="AG48" i="55"/>
  <c r="AG81" i="55"/>
  <c r="AG37" i="55"/>
  <c r="AG103" i="55"/>
  <c r="AG26" i="55"/>
  <c r="AD81" i="55"/>
  <c r="AD37" i="55"/>
  <c r="Y92" i="55"/>
  <c r="Y70" i="55"/>
  <c r="Y103" i="55"/>
  <c r="Y37" i="55"/>
  <c r="Y26" i="55"/>
  <c r="Y81" i="55"/>
  <c r="Y48" i="55"/>
  <c r="W70" i="55"/>
  <c r="W26" i="55"/>
  <c r="W48" i="55"/>
  <c r="W92" i="55"/>
  <c r="W81" i="55"/>
  <c r="X82" i="55" s="1"/>
  <c r="W103" i="55"/>
  <c r="W37" i="55"/>
  <c r="T40" i="55"/>
  <c r="J52" i="2"/>
  <c r="AS52" i="2"/>
  <c r="AQ52" i="2"/>
  <c r="AO52" i="2"/>
  <c r="AM52" i="2"/>
  <c r="AK52" i="2"/>
  <c r="AI52" i="2"/>
  <c r="AE52" i="2"/>
  <c r="V52" i="2"/>
  <c r="AA52" i="2"/>
  <c r="Z52" i="2"/>
  <c r="O92" i="55"/>
  <c r="O95" i="55" s="1"/>
  <c r="O26" i="55"/>
  <c r="O27" i="55" s="1"/>
  <c r="O81" i="55"/>
  <c r="O84" i="55" s="1"/>
  <c r="AF70" i="55"/>
  <c r="X48" i="55"/>
  <c r="T70" i="55"/>
  <c r="N70" i="55"/>
  <c r="T81" i="55"/>
  <c r="X83" i="55" s="1"/>
  <c r="AD70" i="55"/>
  <c r="AB103" i="55"/>
  <c r="X26" i="55"/>
  <c r="CK44" i="2"/>
  <c r="CK48" i="2"/>
  <c r="CI127" i="55"/>
  <c r="CI169" i="55"/>
  <c r="CG44" i="2"/>
  <c r="CG48" i="2"/>
  <c r="AD48" i="55"/>
  <c r="AF103" i="55"/>
  <c r="X103" i="55"/>
  <c r="T48" i="55"/>
  <c r="AF81" i="55"/>
  <c r="T26" i="55"/>
  <c r="N48" i="55"/>
  <c r="N51" i="55" s="1"/>
  <c r="CJ44" i="2"/>
  <c r="CJ48" i="2"/>
  <c r="CH44" i="2"/>
  <c r="CH48" i="2"/>
  <c r="CD44" i="2"/>
  <c r="CD48" i="2"/>
  <c r="BM51" i="2"/>
  <c r="BO201" i="55"/>
  <c r="BO199" i="55"/>
  <c r="BO197" i="55"/>
  <c r="BO200" i="55"/>
  <c r="BO198" i="55"/>
  <c r="BO196" i="55"/>
  <c r="BO113" i="55"/>
  <c r="BO193" i="55" s="1"/>
  <c r="BO51" i="2"/>
  <c r="BO68" i="3"/>
  <c r="BQ201" i="55"/>
  <c r="BQ199" i="55"/>
  <c r="BQ197" i="55"/>
  <c r="BQ200" i="55"/>
  <c r="BQ198" i="55"/>
  <c r="BQ196" i="55"/>
  <c r="BQ113" i="55"/>
  <c r="BQ51" i="2"/>
  <c r="BQ174" i="55"/>
  <c r="BQ175" i="55"/>
  <c r="BQ176" i="55"/>
  <c r="BQ173" i="55"/>
  <c r="BQ68" i="3"/>
  <c r="BS201" i="55"/>
  <c r="BS199" i="55"/>
  <c r="BS197" i="55"/>
  <c r="BS175" i="55"/>
  <c r="BS200" i="55"/>
  <c r="BS198" i="55"/>
  <c r="BS196" i="55"/>
  <c r="BS113" i="55"/>
  <c r="BS51" i="2"/>
  <c r="BS173" i="55"/>
  <c r="BS176" i="55"/>
  <c r="BS174" i="55"/>
  <c r="BS68" i="3"/>
  <c r="BU113" i="55"/>
  <c r="BU51" i="2"/>
  <c r="BU68" i="3"/>
  <c r="AF40" i="55"/>
  <c r="AB81" i="55"/>
  <c r="AB37" i="55"/>
  <c r="X84" i="55"/>
  <c r="U92" i="55"/>
  <c r="U26" i="55"/>
  <c r="U37" i="55"/>
  <c r="U103" i="55"/>
  <c r="U81" i="55"/>
  <c r="U70" i="55"/>
  <c r="U48" i="55"/>
  <c r="S103" i="55"/>
  <c r="S48" i="55"/>
  <c r="S70" i="55"/>
  <c r="S92" i="55"/>
  <c r="S26" i="55"/>
  <c r="S37" i="55"/>
  <c r="T38" i="55" s="1"/>
  <c r="S81" i="55"/>
  <c r="S84" i="55" s="1"/>
  <c r="AR52" i="2"/>
  <c r="AN52" i="2"/>
  <c r="AJ52" i="2"/>
  <c r="P52" i="2"/>
  <c r="AH52" i="2"/>
  <c r="Q52" i="2"/>
  <c r="BR47" i="2"/>
  <c r="BR46" i="2"/>
  <c r="BR45" i="2" s="1"/>
  <c r="AC52" i="2"/>
  <c r="CH47" i="2"/>
  <c r="CH46" i="2"/>
  <c r="CH45" i="2" s="1"/>
  <c r="O103" i="55"/>
  <c r="O106" i="55" s="1"/>
  <c r="O70" i="55"/>
  <c r="L48" i="55"/>
  <c r="O37" i="55"/>
  <c r="O40" i="55" s="1"/>
  <c r="BO173" i="55"/>
  <c r="BO176" i="55"/>
  <c r="CE178" i="55"/>
  <c r="CE180" i="55" s="1"/>
  <c r="AD26" i="55"/>
  <c r="X92" i="55"/>
  <c r="T103" i="55"/>
  <c r="CF178" i="55"/>
  <c r="CF180" i="55" s="1"/>
  <c r="N92" i="55"/>
  <c r="X37" i="55"/>
  <c r="AF26" i="55"/>
  <c r="AD92" i="55"/>
  <c r="AB70" i="55"/>
  <c r="N37" i="55"/>
  <c r="N40" i="55" s="1"/>
  <c r="AF47" i="2"/>
  <c r="AF46" i="2"/>
  <c r="AF45" i="2" s="1"/>
  <c r="AB47" i="2"/>
  <c r="AB46" i="2"/>
  <c r="AB45" i="2" s="1"/>
  <c r="X47" i="2"/>
  <c r="X46" i="2"/>
  <c r="X45" i="2" s="1"/>
  <c r="U47" i="2"/>
  <c r="U46" i="2"/>
  <c r="U45" i="2" s="1"/>
  <c r="S47" i="2"/>
  <c r="S46" i="2"/>
  <c r="S45" i="2" s="1"/>
  <c r="M47" i="2"/>
  <c r="M46" i="2"/>
  <c r="M45" i="2" s="1"/>
  <c r="I47" i="2"/>
  <c r="I46" i="2"/>
  <c r="I45" i="2" s="1"/>
  <c r="E47" i="2"/>
  <c r="E46" i="2"/>
  <c r="E45" i="2" s="1"/>
  <c r="CI44" i="2"/>
  <c r="CI48" i="2"/>
  <c r="CG178" i="55"/>
  <c r="CG180" i="55" s="1"/>
  <c r="CG127" i="55"/>
  <c r="CG169" i="55"/>
  <c r="CE44" i="2"/>
  <c r="CE48" i="2"/>
  <c r="AB26" i="55"/>
  <c r="N81" i="55"/>
  <c r="N84" i="55" s="1"/>
  <c r="AF48" i="55"/>
  <c r="X70" i="55"/>
  <c r="T92" i="55"/>
  <c r="CH178" i="55"/>
  <c r="CH180" i="55" s="1"/>
  <c r="BO174" i="55"/>
  <c r="N103" i="55"/>
  <c r="AD103" i="55"/>
  <c r="AB48" i="55"/>
  <c r="BM68" i="3"/>
  <c r="AG47" i="2"/>
  <c r="AG46" i="2"/>
  <c r="AG45" i="2" s="1"/>
  <c r="AD47" i="2"/>
  <c r="AD46" i="2"/>
  <c r="AD45" i="2" s="1"/>
  <c r="Y47" i="2"/>
  <c r="Y46" i="2"/>
  <c r="Y45" i="2" s="1"/>
  <c r="W47" i="2"/>
  <c r="W46" i="2"/>
  <c r="W45" i="2" s="1"/>
  <c r="T47" i="2"/>
  <c r="T46" i="2"/>
  <c r="T45" i="2" s="1"/>
  <c r="O47" i="2"/>
  <c r="O46" i="2"/>
  <c r="O45" i="2" s="1"/>
  <c r="K47" i="2"/>
  <c r="K46" i="2"/>
  <c r="K45" i="2" s="1"/>
  <c r="G47" i="2"/>
  <c r="G46" i="2"/>
  <c r="G45" i="2" s="1"/>
  <c r="D47" i="2"/>
  <c r="D46" i="2"/>
  <c r="D45" i="2" s="1"/>
  <c r="N47" i="2"/>
  <c r="N46" i="2"/>
  <c r="N45" i="2" s="1"/>
  <c r="L47" i="2"/>
  <c r="L46" i="2"/>
  <c r="L45" i="2" s="1"/>
  <c r="H47" i="2"/>
  <c r="H46" i="2"/>
  <c r="H45" i="2" s="1"/>
  <c r="F47" i="2"/>
  <c r="F46" i="2"/>
  <c r="F45" i="2" s="1"/>
  <c r="CL44" i="2"/>
  <c r="CL48" i="2"/>
  <c r="CF44" i="2"/>
  <c r="CF48" i="2"/>
  <c r="CM79" i="55"/>
  <c r="BW59" i="2"/>
  <c r="BW60" i="2" s="1"/>
  <c r="AV100" i="3"/>
  <c r="AW100" i="3" s="1"/>
  <c r="CM15" i="3"/>
  <c r="BW58" i="3"/>
  <c r="CM18" i="2"/>
  <c r="AK103" i="55"/>
  <c r="AK101" i="55"/>
  <c r="AK100" i="55"/>
  <c r="CK97" i="55"/>
  <c r="AN77" i="55"/>
  <c r="AR77" i="55"/>
  <c r="BX75" i="55"/>
  <c r="Z122" i="55"/>
  <c r="Y121" i="55"/>
  <c r="M32" i="55"/>
  <c r="CE31" i="55"/>
  <c r="CE108" i="55" s="1"/>
  <c r="M35" i="55"/>
  <c r="M37" i="55" s="1"/>
  <c r="N32" i="55"/>
  <c r="Q34" i="55"/>
  <c r="BU34" i="55"/>
  <c r="BV34" i="55"/>
  <c r="AP33" i="55"/>
  <c r="AT33" i="55"/>
  <c r="AS33" i="55"/>
  <c r="AO33" i="55"/>
  <c r="CE90" i="55"/>
  <c r="CE89" i="55"/>
  <c r="CF89" i="55"/>
  <c r="CJ100" i="55"/>
  <c r="BU97" i="55"/>
  <c r="CJ78" i="55"/>
  <c r="BU78" i="55"/>
  <c r="BV78" i="55"/>
  <c r="L158" i="55"/>
  <c r="L101" i="55"/>
  <c r="L103" i="55" s="1"/>
  <c r="L90" i="55"/>
  <c r="L92" i="55" s="1"/>
  <c r="L68" i="55"/>
  <c r="L70" i="55" s="1"/>
  <c r="L24" i="55"/>
  <c r="L26" i="55" s="1"/>
  <c r="L57" i="55"/>
  <c r="L79" i="55"/>
  <c r="L81" i="55" s="1"/>
  <c r="P111" i="55"/>
  <c r="L35" i="55"/>
  <c r="L37" i="55" s="1"/>
  <c r="BO31" i="55"/>
  <c r="CD31" i="55"/>
  <c r="CD108" i="55" s="1"/>
  <c r="P34" i="55"/>
  <c r="BO108" i="55"/>
  <c r="CK68" i="55"/>
  <c r="CK13" i="55"/>
  <c r="CL111" i="55"/>
  <c r="CK24" i="55"/>
  <c r="CK78" i="55"/>
  <c r="AF33" i="55"/>
  <c r="AB33" i="55"/>
  <c r="AJ33" i="55"/>
  <c r="AI33" i="55"/>
  <c r="AE33" i="55"/>
  <c r="AJ108" i="55"/>
  <c r="AJ24" i="55" s="1"/>
  <c r="AN23" i="55"/>
  <c r="AJ23" i="55"/>
  <c r="BU20" i="55"/>
  <c r="AJ21" i="55"/>
  <c r="AZ22" i="55" s="1"/>
  <c r="CJ20" i="55"/>
  <c r="AK21" i="55"/>
  <c r="X124" i="55"/>
  <c r="M158" i="55"/>
  <c r="M109" i="55"/>
  <c r="Q111" i="55"/>
  <c r="M79" i="55"/>
  <c r="M81" i="55" s="1"/>
  <c r="M68" i="55"/>
  <c r="M70" i="55" s="1"/>
  <c r="M24" i="55"/>
  <c r="M26" i="55" s="1"/>
  <c r="M101" i="55"/>
  <c r="M103" i="55" s="1"/>
  <c r="N109" i="55"/>
  <c r="M46" i="55"/>
  <c r="M48" i="55" s="1"/>
  <c r="CK46" i="55"/>
  <c r="CK35" i="55"/>
  <c r="CK34" i="55"/>
  <c r="CL34" i="55"/>
  <c r="M90" i="55"/>
  <c r="M92" i="55" s="1"/>
  <c r="CM111" i="55"/>
  <c r="CM13" i="55"/>
  <c r="CM24" i="55"/>
  <c r="AI110" i="55"/>
  <c r="AM110" i="55" s="1"/>
  <c r="AQ110" i="55" s="1"/>
  <c r="AU110" i="55" s="1"/>
  <c r="AX122" i="3"/>
  <c r="AA72" i="3"/>
  <c r="BR70" i="3"/>
  <c r="AA73" i="3"/>
  <c r="AA76" i="3" s="1"/>
  <c r="AA71" i="3"/>
  <c r="AB70" i="3"/>
  <c r="AA81" i="3"/>
  <c r="AA80" i="3" s="1"/>
  <c r="AA84" i="3" s="1"/>
  <c r="CN12" i="3"/>
  <c r="BX12" i="3"/>
  <c r="AY97" i="3"/>
  <c r="BX97" i="3" s="1"/>
  <c r="BY40" i="3"/>
  <c r="BA125" i="3"/>
  <c r="O72" i="3"/>
  <c r="O73" i="3" s="1"/>
  <c r="O76" i="3" s="1"/>
  <c r="O71" i="3"/>
  <c r="N70" i="3"/>
  <c r="O81" i="3"/>
  <c r="O80" i="3" s="1"/>
  <c r="O84" i="3" s="1"/>
  <c r="CE73" i="3"/>
  <c r="CE76" i="3" s="1"/>
  <c r="CE71" i="3"/>
  <c r="CE81" i="3"/>
  <c r="CE80" i="3" s="1"/>
  <c r="CE84" i="3" s="1"/>
  <c r="P73" i="3"/>
  <c r="P76" i="3" s="1"/>
  <c r="CF73" i="3"/>
  <c r="CF76" i="3" s="1"/>
  <c r="CF71" i="3"/>
  <c r="CF81" i="3"/>
  <c r="CF80" i="3" s="1"/>
  <c r="CF84" i="3" s="1"/>
  <c r="T73" i="3"/>
  <c r="T76" i="3" s="1"/>
  <c r="BY17" i="3"/>
  <c r="BA102" i="3"/>
  <c r="BB102" i="3" s="1"/>
  <c r="BC102" i="3" s="1"/>
  <c r="BY102" i="3" s="1"/>
  <c r="K72" i="3"/>
  <c r="K73" i="3" s="1"/>
  <c r="K76" i="3" s="1"/>
  <c r="K71" i="3"/>
  <c r="J70" i="3"/>
  <c r="K81" i="3"/>
  <c r="K80" i="3" s="1"/>
  <c r="K84" i="3" s="1"/>
  <c r="BW121" i="3"/>
  <c r="H98" i="2"/>
  <c r="I97" i="2"/>
  <c r="CN32" i="2"/>
  <c r="BA32" i="2"/>
  <c r="BB32" i="2" s="1"/>
  <c r="BC32" i="2" s="1"/>
  <c r="BC46" i="2"/>
  <c r="BB45" i="2"/>
  <c r="BA19" i="2"/>
  <c r="BB19" i="2" s="1"/>
  <c r="BC19" i="2" s="1"/>
  <c r="CN19" i="2"/>
  <c r="BX56" i="2"/>
  <c r="AT129" i="55"/>
  <c r="AP129" i="55"/>
  <c r="AL129" i="55"/>
  <c r="R129" i="55"/>
  <c r="Q129" i="55"/>
  <c r="Z129" i="55"/>
  <c r="BN52" i="2"/>
  <c r="AY72" i="2"/>
  <c r="AR129" i="55"/>
  <c r="AN129" i="55"/>
  <c r="AJ129" i="55"/>
  <c r="P129" i="55"/>
  <c r="AH129" i="55"/>
  <c r="J129" i="55"/>
  <c r="AS129" i="55"/>
  <c r="AQ129" i="55"/>
  <c r="AO129" i="55"/>
  <c r="AM129" i="55"/>
  <c r="AK129" i="55"/>
  <c r="AK37" i="55" s="1"/>
  <c r="AI129" i="55"/>
  <c r="AE129" i="55"/>
  <c r="V129" i="55"/>
  <c r="AA129" i="55"/>
  <c r="AC129" i="55"/>
  <c r="AZ110" i="55" l="1"/>
  <c r="BD110" i="55" s="1"/>
  <c r="BH110" i="55" s="1"/>
  <c r="AY110" i="55"/>
  <c r="BC110" i="55" s="1"/>
  <c r="BG110" i="55" s="1"/>
  <c r="BK110" i="55" s="1"/>
  <c r="BB125" i="3"/>
  <c r="BC125" i="3" s="1"/>
  <c r="BY125" i="3" s="1"/>
  <c r="BZ10" i="2"/>
  <c r="BH10" i="2"/>
  <c r="BZ62" i="2"/>
  <c r="BH62" i="2"/>
  <c r="S83" i="55"/>
  <c r="AX79" i="55"/>
  <c r="AX35" i="55"/>
  <c r="AX24" i="55"/>
  <c r="AX13" i="55"/>
  <c r="BE22" i="55"/>
  <c r="AW22" i="55"/>
  <c r="BX20" i="55"/>
  <c r="BX23" i="55" s="1"/>
  <c r="CO40" i="3"/>
  <c r="CO125" i="3" s="1"/>
  <c r="BD22" i="55"/>
  <c r="AV22" i="55"/>
  <c r="BE40" i="3"/>
  <c r="BE13" i="2"/>
  <c r="BF13" i="2" s="1"/>
  <c r="BG13" i="2" s="1"/>
  <c r="CO13" i="2"/>
  <c r="BE25" i="2"/>
  <c r="BF25" i="2" s="1"/>
  <c r="BG25" i="2" s="1"/>
  <c r="CO25" i="2"/>
  <c r="BE26" i="2"/>
  <c r="BF26" i="2" s="1"/>
  <c r="BG26" i="2" s="1"/>
  <c r="CO26" i="2"/>
  <c r="BE58" i="2"/>
  <c r="BF58" i="2" s="1"/>
  <c r="BG58" i="2" s="1"/>
  <c r="CO58" i="2"/>
  <c r="O71" i="55"/>
  <c r="CM11" i="73"/>
  <c r="BY19" i="2"/>
  <c r="BD19" i="2"/>
  <c r="BY32" i="2"/>
  <c r="BD32" i="2"/>
  <c r="BD45" i="2"/>
  <c r="O73" i="55"/>
  <c r="S105" i="55"/>
  <c r="O38" i="55"/>
  <c r="O82" i="55"/>
  <c r="BO48" i="55"/>
  <c r="BO51" i="55" s="1"/>
  <c r="BO37" i="55"/>
  <c r="BO40" i="55" s="1"/>
  <c r="S39" i="55"/>
  <c r="O104" i="55"/>
  <c r="O93" i="55"/>
  <c r="S94" i="55"/>
  <c r="BO178" i="55"/>
  <c r="BO180" i="55" s="1"/>
  <c r="S28" i="55"/>
  <c r="O29" i="55"/>
  <c r="S72" i="55"/>
  <c r="BQ202" i="55"/>
  <c r="BQ204" i="55" s="1"/>
  <c r="CM148" i="73"/>
  <c r="CM196" i="73"/>
  <c r="BS202" i="55"/>
  <c r="BS204" i="55" s="1"/>
  <c r="BQ178" i="55"/>
  <c r="BQ180" i="55" s="1"/>
  <c r="BR178" i="55"/>
  <c r="BR180" i="55" s="1"/>
  <c r="BP178" i="55"/>
  <c r="BP180" i="55" s="1"/>
  <c r="AY108" i="3"/>
  <c r="BX108" i="3" s="1"/>
  <c r="CN23" i="3"/>
  <c r="CN108" i="3" s="1"/>
  <c r="CN27" i="2"/>
  <c r="BA27" i="2"/>
  <c r="BX42" i="3"/>
  <c r="AY121" i="3"/>
  <c r="BX121" i="3" s="1"/>
  <c r="BX36" i="3"/>
  <c r="BX22" i="3"/>
  <c r="BX23" i="3"/>
  <c r="AY107" i="3"/>
  <c r="BX107" i="3" s="1"/>
  <c r="BB33" i="2"/>
  <c r="CN36" i="3"/>
  <c r="CN121" i="3" s="1"/>
  <c r="BA31" i="2"/>
  <c r="CN31" i="2"/>
  <c r="AY127" i="3"/>
  <c r="BX127" i="3" s="1"/>
  <c r="AK39" i="55"/>
  <c r="AK40" i="55"/>
  <c r="BQ52" i="2"/>
  <c r="BT52" i="2"/>
  <c r="BV52" i="2"/>
  <c r="CL52" i="2"/>
  <c r="AC37" i="55"/>
  <c r="AD38" i="55" s="1"/>
  <c r="AC103" i="55"/>
  <c r="AG105" i="55" s="1"/>
  <c r="AC81" i="55"/>
  <c r="AD82" i="55" s="1"/>
  <c r="AC48" i="55"/>
  <c r="AD49" i="55" s="1"/>
  <c r="AC26" i="55"/>
  <c r="AD27" i="55" s="1"/>
  <c r="AC92" i="55"/>
  <c r="AD93" i="55" s="1"/>
  <c r="AC70" i="55"/>
  <c r="AC71" i="55" s="1"/>
  <c r="V103" i="55"/>
  <c r="BQ103" i="55" s="1"/>
  <c r="V48" i="55"/>
  <c r="BQ48" i="55" s="1"/>
  <c r="V37" i="55"/>
  <c r="W38" i="55" s="1"/>
  <c r="V92" i="55"/>
  <c r="BQ92" i="55" s="1"/>
  <c r="V26" i="55"/>
  <c r="W27" i="55" s="1"/>
  <c r="V70" i="55"/>
  <c r="BQ70" i="55" s="1"/>
  <c r="V81" i="55"/>
  <c r="BQ81" i="55" s="1"/>
  <c r="AI48" i="55"/>
  <c r="AI103" i="55"/>
  <c r="AI26" i="55"/>
  <c r="AI81" i="55"/>
  <c r="AI70" i="55"/>
  <c r="AI59" i="55"/>
  <c r="AI37" i="55"/>
  <c r="AM15" i="55"/>
  <c r="AM37" i="55"/>
  <c r="AM81" i="55"/>
  <c r="AM26" i="55"/>
  <c r="AQ15" i="55"/>
  <c r="AQ81" i="55"/>
  <c r="AQ26" i="55"/>
  <c r="AQ37" i="55"/>
  <c r="AH26" i="55"/>
  <c r="AH48" i="55"/>
  <c r="BT48" i="55" s="1"/>
  <c r="AH103" i="55"/>
  <c r="BT103" i="55" s="1"/>
  <c r="AH81" i="55"/>
  <c r="AH70" i="55"/>
  <c r="AH37" i="55"/>
  <c r="BO52" i="2"/>
  <c r="CG52" i="2"/>
  <c r="BS52" i="2"/>
  <c r="CI52" i="2"/>
  <c r="Q37" i="55"/>
  <c r="U39" i="55" s="1"/>
  <c r="Q26" i="55"/>
  <c r="U28" i="55" s="1"/>
  <c r="Q48" i="55"/>
  <c r="Q50" i="55" s="1"/>
  <c r="Q103" i="55"/>
  <c r="Q105" i="55" s="1"/>
  <c r="Q81" i="55"/>
  <c r="Q83" i="55" s="1"/>
  <c r="Q92" i="55"/>
  <c r="U94" i="55" s="1"/>
  <c r="Q70" i="55"/>
  <c r="Q72" i="55" s="1"/>
  <c r="R48" i="55"/>
  <c r="S49" i="55" s="1"/>
  <c r="R92" i="55"/>
  <c r="S93" i="55" s="1"/>
  <c r="R26" i="55"/>
  <c r="S27" i="55" s="1"/>
  <c r="R37" i="55"/>
  <c r="S38" i="55" s="1"/>
  <c r="R103" i="55"/>
  <c r="R105" i="55" s="1"/>
  <c r="R81" i="55"/>
  <c r="R70" i="55"/>
  <c r="S71" i="55" s="1"/>
  <c r="AP37" i="55"/>
  <c r="AP26" i="55"/>
  <c r="AP48" i="55"/>
  <c r="AP81" i="55"/>
  <c r="AD106" i="55"/>
  <c r="T95" i="55"/>
  <c r="T93" i="55"/>
  <c r="AF51" i="55"/>
  <c r="AF50" i="55"/>
  <c r="AB29" i="55"/>
  <c r="AB126" i="55"/>
  <c r="AB127" i="55" s="1"/>
  <c r="AD126" i="55"/>
  <c r="AD127" i="55" s="1"/>
  <c r="AD95" i="55"/>
  <c r="AB39" i="55"/>
  <c r="X39" i="55"/>
  <c r="X40" i="55"/>
  <c r="X38" i="55"/>
  <c r="X93" i="55"/>
  <c r="X94" i="55"/>
  <c r="X95" i="55"/>
  <c r="AH47" i="2"/>
  <c r="AH46" i="2"/>
  <c r="AH45" i="2" s="1"/>
  <c r="P47" i="2"/>
  <c r="P46" i="2"/>
  <c r="P45" i="2" s="1"/>
  <c r="AJ47" i="2"/>
  <c r="AJ46" i="2"/>
  <c r="AJ45" i="2" s="1"/>
  <c r="AN47" i="2"/>
  <c r="AN46" i="2"/>
  <c r="AN45" i="2" s="1"/>
  <c r="AR47" i="2"/>
  <c r="AR46" i="2"/>
  <c r="AR45" i="2" s="1"/>
  <c r="S29" i="55"/>
  <c r="S126" i="55"/>
  <c r="S127" i="55" s="1"/>
  <c r="S73" i="55"/>
  <c r="S106" i="55"/>
  <c r="U73" i="55"/>
  <c r="U71" i="55"/>
  <c r="U106" i="55"/>
  <c r="U104" i="55"/>
  <c r="Y28" i="55"/>
  <c r="U126" i="55"/>
  <c r="U127" i="55" s="1"/>
  <c r="U29" i="55"/>
  <c r="U27" i="55"/>
  <c r="AB83" i="55"/>
  <c r="AB84" i="55"/>
  <c r="BS178" i="55"/>
  <c r="BS180" i="55" s="1"/>
  <c r="BS137" i="55"/>
  <c r="BS138" i="55"/>
  <c r="AE138" i="55" s="1"/>
  <c r="CI138" i="55" s="1"/>
  <c r="BS140" i="55"/>
  <c r="AE140" i="55" s="1"/>
  <c r="CI140" i="55" s="1"/>
  <c r="BS193" i="55"/>
  <c r="BS169" i="55"/>
  <c r="BQ193" i="55"/>
  <c r="BQ169" i="55"/>
  <c r="BO48" i="2"/>
  <c r="BO44" i="2"/>
  <c r="BO202" i="55"/>
  <c r="BO204" i="55" s="1"/>
  <c r="BM44" i="2"/>
  <c r="BM48" i="2"/>
  <c r="AF83" i="55"/>
  <c r="AF84" i="55"/>
  <c r="X106" i="55"/>
  <c r="X104" i="55"/>
  <c r="X105" i="55"/>
  <c r="AD51" i="55"/>
  <c r="AB28" i="55"/>
  <c r="X126" i="55"/>
  <c r="X127" i="55" s="1"/>
  <c r="X27" i="55"/>
  <c r="X28" i="55"/>
  <c r="X29" i="55"/>
  <c r="AD73" i="55"/>
  <c r="N73" i="55"/>
  <c r="X51" i="55"/>
  <c r="X50" i="55"/>
  <c r="X49" i="55"/>
  <c r="W105" i="55"/>
  <c r="W106" i="55"/>
  <c r="W94" i="55"/>
  <c r="W95" i="55"/>
  <c r="W28" i="55"/>
  <c r="W29" i="55"/>
  <c r="W126" i="55"/>
  <c r="W127" i="55" s="1"/>
  <c r="Y50" i="55"/>
  <c r="Y51" i="55"/>
  <c r="Y49" i="55"/>
  <c r="Y29" i="55"/>
  <c r="Y27" i="55"/>
  <c r="Y104" i="55"/>
  <c r="Y105" i="55"/>
  <c r="Y106" i="55"/>
  <c r="Y126" i="55"/>
  <c r="Y127" i="55" s="1"/>
  <c r="Y95" i="55"/>
  <c r="Y93" i="55"/>
  <c r="Y94" i="55"/>
  <c r="AD84" i="55"/>
  <c r="AG106" i="55"/>
  <c r="AG104" i="55"/>
  <c r="AG84" i="55"/>
  <c r="AG82" i="55"/>
  <c r="AG73" i="55"/>
  <c r="AG71" i="55"/>
  <c r="R47" i="2"/>
  <c r="R46" i="2"/>
  <c r="R45" i="2" s="1"/>
  <c r="AL47" i="2"/>
  <c r="AL46" i="2"/>
  <c r="AL45" i="2" s="1"/>
  <c r="AP47" i="2"/>
  <c r="AP46" i="2"/>
  <c r="AP45" i="2" s="1"/>
  <c r="AT47" i="2"/>
  <c r="AT46" i="2"/>
  <c r="BR193" i="55"/>
  <c r="BR137" i="55"/>
  <c r="BR140" i="55"/>
  <c r="BR169" i="55"/>
  <c r="BR202" i="55"/>
  <c r="BR204" i="55" s="1"/>
  <c r="BP193" i="55"/>
  <c r="BP169" i="55"/>
  <c r="BN44" i="2"/>
  <c r="BN48" i="2"/>
  <c r="O49" i="55"/>
  <c r="AB94" i="55"/>
  <c r="BM52" i="2"/>
  <c r="CE52" i="2"/>
  <c r="BP52" i="2"/>
  <c r="CF52" i="2"/>
  <c r="CK52" i="2"/>
  <c r="AA81" i="55"/>
  <c r="AB82" i="55" s="1"/>
  <c r="AA92" i="55"/>
  <c r="AA70" i="55"/>
  <c r="AA48" i="55"/>
  <c r="AB49" i="55" s="1"/>
  <c r="AA103" i="55"/>
  <c r="AB104" i="55" s="1"/>
  <c r="AA37" i="55"/>
  <c r="AB38" i="55" s="1"/>
  <c r="AA26" i="55"/>
  <c r="AE26" i="55"/>
  <c r="AF27" i="55" s="1"/>
  <c r="AE70" i="55"/>
  <c r="AF71" i="55" s="1"/>
  <c r="AE37" i="55"/>
  <c r="AE38" i="55" s="1"/>
  <c r="AE48" i="55"/>
  <c r="AF49" i="55" s="1"/>
  <c r="AE81" i="55"/>
  <c r="AE103" i="55"/>
  <c r="AE92" i="55"/>
  <c r="AK81" i="55"/>
  <c r="AK48" i="55"/>
  <c r="AK26" i="55"/>
  <c r="AO26" i="55"/>
  <c r="AO48" i="55"/>
  <c r="AO37" i="55"/>
  <c r="AO81" i="55"/>
  <c r="AS15" i="55"/>
  <c r="AS26" i="55"/>
  <c r="AS37" i="55"/>
  <c r="AS48" i="55"/>
  <c r="AS81" i="55"/>
  <c r="P81" i="55"/>
  <c r="T83" i="55" s="1"/>
  <c r="P37" i="55"/>
  <c r="P26" i="55"/>
  <c r="T28" i="55" s="1"/>
  <c r="P92" i="55"/>
  <c r="P103" i="55"/>
  <c r="P48" i="55"/>
  <c r="T50" i="55" s="1"/>
  <c r="P70" i="55"/>
  <c r="T72" i="55" s="1"/>
  <c r="AN37" i="55"/>
  <c r="AN15" i="55"/>
  <c r="AN81" i="55"/>
  <c r="AN26" i="55"/>
  <c r="AR37" i="55"/>
  <c r="AV39" i="55" s="1"/>
  <c r="AR81" i="55"/>
  <c r="AV83" i="55" s="1"/>
  <c r="AR15" i="55"/>
  <c r="AR26" i="55"/>
  <c r="AV28" i="55" s="1"/>
  <c r="CC52" i="2"/>
  <c r="BN46" i="2"/>
  <c r="BN45" i="2" s="1"/>
  <c r="BN47" i="2"/>
  <c r="CD52" i="2"/>
  <c r="Z37" i="55"/>
  <c r="AD39" i="55" s="1"/>
  <c r="Z70" i="55"/>
  <c r="Z103" i="55"/>
  <c r="Z48" i="55"/>
  <c r="AD50" i="55" s="1"/>
  <c r="Z26" i="55"/>
  <c r="AD28" i="55" s="1"/>
  <c r="Z92" i="55"/>
  <c r="AD94" i="55" s="1"/>
  <c r="Z81" i="55"/>
  <c r="CJ52" i="2"/>
  <c r="AL37" i="55"/>
  <c r="AL26" i="55"/>
  <c r="AL48" i="55"/>
  <c r="AL81" i="55"/>
  <c r="AT15" i="55"/>
  <c r="AT37" i="55"/>
  <c r="AT26" i="55"/>
  <c r="AT81" i="55"/>
  <c r="AT48" i="55"/>
  <c r="AJ26" i="55"/>
  <c r="AB51" i="55"/>
  <c r="AB50" i="55"/>
  <c r="N106" i="55"/>
  <c r="X72" i="55"/>
  <c r="BR70" i="55"/>
  <c r="X73" i="55"/>
  <c r="X71" i="55"/>
  <c r="AB72" i="55"/>
  <c r="AB71" i="55"/>
  <c r="AB73" i="55"/>
  <c r="AG27" i="55"/>
  <c r="AF28" i="55"/>
  <c r="AF29" i="55"/>
  <c r="AF126" i="55"/>
  <c r="AF127" i="55" s="1"/>
  <c r="R94" i="55"/>
  <c r="N95" i="55"/>
  <c r="T106" i="55"/>
  <c r="T104" i="55"/>
  <c r="T105" i="55"/>
  <c r="AD29" i="55"/>
  <c r="AC47" i="2"/>
  <c r="AC46" i="2"/>
  <c r="AC45" i="2" s="1"/>
  <c r="Q47" i="2"/>
  <c r="Q46" i="2"/>
  <c r="Q45" i="2" s="1"/>
  <c r="S40" i="55"/>
  <c r="S95" i="55"/>
  <c r="S51" i="55"/>
  <c r="S50" i="55"/>
  <c r="U51" i="55"/>
  <c r="U49" i="55"/>
  <c r="U84" i="55"/>
  <c r="U82" i="55"/>
  <c r="U40" i="55"/>
  <c r="U38" i="55"/>
  <c r="U95" i="55"/>
  <c r="U93" i="55"/>
  <c r="AB40" i="55"/>
  <c r="AF39" i="55"/>
  <c r="BU44" i="2"/>
  <c r="BU48" i="2"/>
  <c r="BS48" i="2"/>
  <c r="BS44" i="2"/>
  <c r="BQ44" i="2"/>
  <c r="BQ48" i="2"/>
  <c r="T126" i="55"/>
  <c r="T127" i="55" s="1"/>
  <c r="T27" i="55"/>
  <c r="T29" i="55"/>
  <c r="T51" i="55"/>
  <c r="T49" i="55"/>
  <c r="AF105" i="55"/>
  <c r="AF106" i="55"/>
  <c r="AC104" i="55"/>
  <c r="AB106" i="55"/>
  <c r="AB105" i="55"/>
  <c r="T82" i="55"/>
  <c r="T84" i="55"/>
  <c r="T71" i="55"/>
  <c r="T73" i="55"/>
  <c r="AF72" i="55"/>
  <c r="AF73" i="55"/>
  <c r="BO169" i="55"/>
  <c r="Z47" i="2"/>
  <c r="Z46" i="2"/>
  <c r="Z45" i="2" s="1"/>
  <c r="AA47" i="2"/>
  <c r="AA46" i="2"/>
  <c r="AA45" i="2" s="1"/>
  <c r="V47" i="2"/>
  <c r="V46" i="2"/>
  <c r="V45" i="2" s="1"/>
  <c r="AE47" i="2"/>
  <c r="AE46" i="2"/>
  <c r="AE45" i="2" s="1"/>
  <c r="AI47" i="2"/>
  <c r="AI46" i="2"/>
  <c r="AI45" i="2" s="1"/>
  <c r="AK47" i="2"/>
  <c r="AK46" i="2"/>
  <c r="AK45" i="2" s="1"/>
  <c r="AM47" i="2"/>
  <c r="AM46" i="2"/>
  <c r="AM45" i="2" s="1"/>
  <c r="AO47" i="2"/>
  <c r="AO46" i="2"/>
  <c r="AO45" i="2" s="1"/>
  <c r="AQ47" i="2"/>
  <c r="AQ46" i="2"/>
  <c r="AQ45" i="2" s="1"/>
  <c r="AS47" i="2"/>
  <c r="AS46" i="2"/>
  <c r="AS45" i="2" s="1"/>
  <c r="J47" i="2"/>
  <c r="J46" i="2"/>
  <c r="J45" i="2" s="1"/>
  <c r="W39" i="55"/>
  <c r="W40" i="55"/>
  <c r="W84" i="55"/>
  <c r="W83" i="55"/>
  <c r="W82" i="55"/>
  <c r="W50" i="55"/>
  <c r="W51" i="55"/>
  <c r="W72" i="55"/>
  <c r="W73" i="55"/>
  <c r="Y83" i="55"/>
  <c r="Y84" i="55"/>
  <c r="Y82" i="55"/>
  <c r="Y39" i="55"/>
  <c r="Y40" i="55"/>
  <c r="Y38" i="55"/>
  <c r="Y73" i="55"/>
  <c r="Y72" i="55"/>
  <c r="Y71" i="55"/>
  <c r="AD40" i="55"/>
  <c r="AG29" i="55"/>
  <c r="AG126" i="55"/>
  <c r="AG127" i="55" s="1"/>
  <c r="AG39" i="55"/>
  <c r="AG38" i="55"/>
  <c r="AG40" i="55"/>
  <c r="AG51" i="55"/>
  <c r="AG49" i="55"/>
  <c r="BV44" i="2"/>
  <c r="BV48" i="2"/>
  <c r="BT44" i="2"/>
  <c r="BT48" i="2"/>
  <c r="BR48" i="2"/>
  <c r="BR44" i="2"/>
  <c r="BP44" i="2"/>
  <c r="BP48" i="2"/>
  <c r="BP202" i="55"/>
  <c r="BP204" i="55" s="1"/>
  <c r="AX117" i="3"/>
  <c r="AG130" i="55"/>
  <c r="S130" i="55"/>
  <c r="AD130" i="55"/>
  <c r="K130" i="55"/>
  <c r="AB130" i="55"/>
  <c r="E130" i="55"/>
  <c r="W130" i="55"/>
  <c r="G130" i="55"/>
  <c r="I130" i="55"/>
  <c r="F130" i="55"/>
  <c r="L130" i="55"/>
  <c r="D130" i="55"/>
  <c r="H130" i="55"/>
  <c r="N130" i="55"/>
  <c r="T130" i="55"/>
  <c r="Y130" i="55"/>
  <c r="M130" i="55"/>
  <c r="X130" i="55"/>
  <c r="AF130" i="55"/>
  <c r="O130" i="55"/>
  <c r="U130" i="55"/>
  <c r="AL9" i="3"/>
  <c r="AL25" i="3" s="1"/>
  <c r="AL119" i="2"/>
  <c r="AK9" i="3"/>
  <c r="AK119" i="2"/>
  <c r="AS9" i="3"/>
  <c r="AS25" i="3" s="1"/>
  <c r="AS119" i="2"/>
  <c r="AP9" i="3"/>
  <c r="AP25" i="3" s="1"/>
  <c r="AP119" i="2"/>
  <c r="AR9" i="3"/>
  <c r="AR119" i="2"/>
  <c r="AN9" i="3"/>
  <c r="AN119" i="2"/>
  <c r="R9" i="3"/>
  <c r="R25" i="3" s="1"/>
  <c r="R49" i="3" s="1"/>
  <c r="R119" i="2"/>
  <c r="AO9" i="3"/>
  <c r="AO119" i="2"/>
  <c r="V9" i="3"/>
  <c r="V25" i="3" s="1"/>
  <c r="V49" i="3" s="1"/>
  <c r="V119" i="2"/>
  <c r="AJ9" i="3"/>
  <c r="AJ119" i="2"/>
  <c r="AW58" i="3"/>
  <c r="CM100" i="3"/>
  <c r="CM58" i="3"/>
  <c r="CM59" i="2"/>
  <c r="CM60" i="2" s="1"/>
  <c r="BO70" i="55"/>
  <c r="BO73" i="55" s="1"/>
  <c r="BO103" i="55"/>
  <c r="AD110" i="55"/>
  <c r="AH110" i="55"/>
  <c r="AL110" i="55" s="1"/>
  <c r="AP110" i="55" s="1"/>
  <c r="AT110" i="55" s="1"/>
  <c r="M29" i="55"/>
  <c r="N27" i="55"/>
  <c r="M84" i="55"/>
  <c r="N82" i="55"/>
  <c r="AC110" i="55"/>
  <c r="AG110" i="55"/>
  <c r="BA22" i="55"/>
  <c r="AS22" i="55"/>
  <c r="AO22" i="55"/>
  <c r="AN22" i="55"/>
  <c r="AR22" i="55"/>
  <c r="BO68" i="55"/>
  <c r="BO79" i="55"/>
  <c r="BO24" i="55"/>
  <c r="BP111" i="55"/>
  <c r="BO35" i="55"/>
  <c r="BU100" i="55"/>
  <c r="AD33" i="55"/>
  <c r="AH33" i="55"/>
  <c r="CE111" i="55"/>
  <c r="CE13" i="55"/>
  <c r="CE24" i="55"/>
  <c r="CE79" i="55"/>
  <c r="CF111" i="55"/>
  <c r="Y124" i="55"/>
  <c r="BX78" i="55"/>
  <c r="AK105" i="55"/>
  <c r="AW198" i="73"/>
  <c r="M95" i="55"/>
  <c r="N93" i="55"/>
  <c r="M51" i="55"/>
  <c r="N49" i="55"/>
  <c r="M106" i="55"/>
  <c r="N104" i="55"/>
  <c r="M73" i="55"/>
  <c r="N71" i="55"/>
  <c r="CJ23" i="55"/>
  <c r="CJ108" i="55"/>
  <c r="CK23" i="55"/>
  <c r="BU23" i="55"/>
  <c r="BV23" i="55"/>
  <c r="BU108" i="55"/>
  <c r="BU24" i="55" s="1"/>
  <c r="AJ158" i="55"/>
  <c r="AJ111" i="55"/>
  <c r="AJ109" i="55"/>
  <c r="AJ68" i="55"/>
  <c r="AJ70" i="55" s="1"/>
  <c r="AJ46" i="55"/>
  <c r="AJ48" i="55" s="1"/>
  <c r="AN111" i="55"/>
  <c r="AJ35" i="55"/>
  <c r="AJ37" i="55" s="1"/>
  <c r="AJ57" i="55"/>
  <c r="AJ59" i="55" s="1"/>
  <c r="AK109" i="55"/>
  <c r="AJ79" i="55"/>
  <c r="AJ81" i="55" s="1"/>
  <c r="AJ101" i="55"/>
  <c r="AJ103" i="55" s="1"/>
  <c r="BO46" i="55"/>
  <c r="CD24" i="55"/>
  <c r="CD79" i="55"/>
  <c r="CD13" i="55"/>
  <c r="BO81" i="55"/>
  <c r="BO26" i="55"/>
  <c r="BO92" i="55"/>
  <c r="M40" i="55"/>
  <c r="N38" i="55"/>
  <c r="AG33" i="55"/>
  <c r="AC33" i="55"/>
  <c r="AA122" i="55"/>
  <c r="Z121" i="55"/>
  <c r="Z124" i="55" s="1"/>
  <c r="CN9" i="55"/>
  <c r="BA75" i="55"/>
  <c r="CK101" i="55"/>
  <c r="CK100" i="55"/>
  <c r="CN97" i="3"/>
  <c r="AZ97" i="3"/>
  <c r="AB71" i="3"/>
  <c r="AC70" i="3"/>
  <c r="AB72" i="3"/>
  <c r="CH72" i="3" s="1"/>
  <c r="AB81" i="3"/>
  <c r="AB80" i="3" s="1"/>
  <c r="AB84" i="3" s="1"/>
  <c r="CH70" i="3"/>
  <c r="CN37" i="3"/>
  <c r="BX37" i="3"/>
  <c r="J71" i="3"/>
  <c r="I70" i="3"/>
  <c r="J81" i="3"/>
  <c r="J80" i="3" s="1"/>
  <c r="J84" i="3" s="1"/>
  <c r="J72" i="3"/>
  <c r="J73" i="3" s="1"/>
  <c r="J76" i="3" s="1"/>
  <c r="N71" i="3"/>
  <c r="M70" i="3"/>
  <c r="N81" i="3"/>
  <c r="N80" i="3" s="1"/>
  <c r="N84" i="3" s="1"/>
  <c r="N72" i="3"/>
  <c r="N73" i="3" s="1"/>
  <c r="N76" i="3" s="1"/>
  <c r="BR72" i="3"/>
  <c r="BR73" i="3" s="1"/>
  <c r="BR76" i="3" s="1"/>
  <c r="BR71" i="3"/>
  <c r="BR81" i="3"/>
  <c r="BR80" i="3" s="1"/>
  <c r="BR84" i="3" s="1"/>
  <c r="AY122" i="3"/>
  <c r="CN56" i="2"/>
  <c r="BA56" i="2"/>
  <c r="BC45" i="2"/>
  <c r="BX24" i="2"/>
  <c r="CN22" i="3"/>
  <c r="CN107" i="3" s="1"/>
  <c r="BX17" i="2"/>
  <c r="AY81" i="2"/>
  <c r="BX81" i="2" s="1"/>
  <c r="BX28" i="2"/>
  <c r="J97" i="2"/>
  <c r="I98" i="2"/>
  <c r="BP129" i="55"/>
  <c r="BO129" i="55"/>
  <c r="BQ129" i="55"/>
  <c r="BT129" i="55"/>
  <c r="BV129" i="55"/>
  <c r="BS129" i="55"/>
  <c r="BR129" i="55"/>
  <c r="CD129" i="55"/>
  <c r="BU129" i="55"/>
  <c r="BX32" i="3"/>
  <c r="AZ72" i="2"/>
  <c r="BX72" i="2"/>
  <c r="BA20" i="55" l="1"/>
  <c r="BI10" i="2"/>
  <c r="BJ10" i="2" s="1"/>
  <c r="BK10" i="2" s="1"/>
  <c r="CA10" i="2" s="1"/>
  <c r="CP10" i="2"/>
  <c r="BZ26" i="2"/>
  <c r="BH26" i="2"/>
  <c r="BZ25" i="2"/>
  <c r="BH25" i="2"/>
  <c r="BZ13" i="2"/>
  <c r="BH13" i="2"/>
  <c r="BI62" i="2"/>
  <c r="BJ62" i="2" s="1"/>
  <c r="BK62" i="2" s="1"/>
  <c r="CA62" i="2" s="1"/>
  <c r="CP62" i="2"/>
  <c r="BF40" i="3"/>
  <c r="BG40" i="3" s="1"/>
  <c r="BH40" i="3" s="1"/>
  <c r="BH125" i="3" s="1"/>
  <c r="BE125" i="3"/>
  <c r="BI40" i="3"/>
  <c r="BJ40" i="3" s="1"/>
  <c r="BK40" i="3" s="1"/>
  <c r="BZ58" i="2"/>
  <c r="BH58" i="2"/>
  <c r="AX110" i="55"/>
  <c r="BB110" i="55" s="1"/>
  <c r="BF110" i="55" s="1"/>
  <c r="BJ110" i="55" s="1"/>
  <c r="BB47" i="2"/>
  <c r="BC47" i="2" s="1"/>
  <c r="CN20" i="55"/>
  <c r="AX60" i="3"/>
  <c r="AD104" i="55"/>
  <c r="BE32" i="2"/>
  <c r="BF32" i="2" s="1"/>
  <c r="BG32" i="2" s="1"/>
  <c r="CO32" i="2"/>
  <c r="BE19" i="2"/>
  <c r="BF19" i="2" s="1"/>
  <c r="BG19" i="2" s="1"/>
  <c r="CO19" i="2"/>
  <c r="U72" i="55"/>
  <c r="AX58" i="3"/>
  <c r="W71" i="55"/>
  <c r="Q94" i="55"/>
  <c r="Q28" i="55"/>
  <c r="BQ37" i="55"/>
  <c r="BQ40" i="55" s="1"/>
  <c r="BQ26" i="55"/>
  <c r="BQ29" i="55" s="1"/>
  <c r="BS37" i="55"/>
  <c r="BS40" i="55" s="1"/>
  <c r="BS103" i="55"/>
  <c r="BS106" i="55" s="1"/>
  <c r="BE47" i="2"/>
  <c r="R72" i="55"/>
  <c r="BE45" i="2"/>
  <c r="AF104" i="55"/>
  <c r="U105" i="55"/>
  <c r="BT81" i="55"/>
  <c r="BT84" i="55" s="1"/>
  <c r="BT70" i="55"/>
  <c r="BT73" i="55" s="1"/>
  <c r="BT26" i="55"/>
  <c r="BT29" i="55" s="1"/>
  <c r="U83" i="55"/>
  <c r="U50" i="55"/>
  <c r="AJ27" i="55"/>
  <c r="AG72" i="55"/>
  <c r="AG83" i="55"/>
  <c r="W93" i="55"/>
  <c r="AD71" i="55"/>
  <c r="Q39" i="55"/>
  <c r="AG28" i="55"/>
  <c r="W49" i="55"/>
  <c r="BS70" i="55"/>
  <c r="BS73" i="55" s="1"/>
  <c r="BU26" i="55"/>
  <c r="BU29" i="55" s="1"/>
  <c r="BS48" i="55"/>
  <c r="BS51" i="55" s="1"/>
  <c r="BR141" i="55"/>
  <c r="BR139" i="55" s="1"/>
  <c r="AK27" i="55"/>
  <c r="AJ29" i="55"/>
  <c r="W104" i="55"/>
  <c r="CJ26" i="55"/>
  <c r="CJ29" i="55" s="1"/>
  <c r="AJ28" i="55"/>
  <c r="S104" i="55"/>
  <c r="AN28" i="55"/>
  <c r="AG50" i="55"/>
  <c r="CM198" i="73"/>
  <c r="CM32" i="73"/>
  <c r="CM47" i="73"/>
  <c r="AZ127" i="3"/>
  <c r="BB31" i="2"/>
  <c r="BA36" i="3"/>
  <c r="BC33" i="2"/>
  <c r="BD33" i="2" s="1"/>
  <c r="CO33" i="2" s="1"/>
  <c r="AZ107" i="3"/>
  <c r="AZ121" i="3"/>
  <c r="BB27" i="2"/>
  <c r="BA23" i="3"/>
  <c r="AZ108" i="3"/>
  <c r="CN42" i="3"/>
  <c r="CN127" i="3" s="1"/>
  <c r="BQ73" i="55"/>
  <c r="BT106" i="55"/>
  <c r="BQ51" i="55"/>
  <c r="BQ106" i="55"/>
  <c r="AT84" i="55"/>
  <c r="AT83" i="55"/>
  <c r="AT82" i="55"/>
  <c r="AT39" i="55"/>
  <c r="AT38" i="55"/>
  <c r="AT40" i="55"/>
  <c r="AL84" i="55"/>
  <c r="AL82" i="55"/>
  <c r="AL29" i="55"/>
  <c r="AL126" i="55"/>
  <c r="AL127" i="55" s="1"/>
  <c r="AL28" i="55"/>
  <c r="AL27" i="55"/>
  <c r="CJ47" i="2"/>
  <c r="CJ46" i="2"/>
  <c r="CJ45" i="2" s="1"/>
  <c r="Z82" i="55"/>
  <c r="Z84" i="55"/>
  <c r="BR81" i="55"/>
  <c r="Z126" i="55"/>
  <c r="Z127" i="55" s="1"/>
  <c r="Z29" i="55"/>
  <c r="Z28" i="55"/>
  <c r="Z27" i="55"/>
  <c r="Z104" i="55"/>
  <c r="Z106" i="55"/>
  <c r="Z105" i="55"/>
  <c r="Z40" i="55"/>
  <c r="Z38" i="55"/>
  <c r="AR18" i="55"/>
  <c r="AR16" i="55"/>
  <c r="AR40" i="55"/>
  <c r="AR38" i="55"/>
  <c r="AR39" i="55"/>
  <c r="AN82" i="55"/>
  <c r="AN84" i="55"/>
  <c r="BV81" i="55"/>
  <c r="BV84" i="55" s="1"/>
  <c r="BV37" i="55"/>
  <c r="BV40" i="55" s="1"/>
  <c r="AN40" i="55"/>
  <c r="AN38" i="55"/>
  <c r="P51" i="55"/>
  <c r="P49" i="55"/>
  <c r="BP48" i="55"/>
  <c r="BP92" i="55"/>
  <c r="BP95" i="55" s="1"/>
  <c r="P95" i="55"/>
  <c r="BP37" i="55"/>
  <c r="P40" i="55"/>
  <c r="T39" i="55"/>
  <c r="P38" i="55"/>
  <c r="AS84" i="55"/>
  <c r="AS83" i="55"/>
  <c r="AS82" i="55"/>
  <c r="AS40" i="55"/>
  <c r="AS39" i="55"/>
  <c r="AS38" i="55"/>
  <c r="AS16" i="55"/>
  <c r="AS18" i="55"/>
  <c r="AS126" i="55"/>
  <c r="AS127" i="55" s="1"/>
  <c r="AO38" i="55"/>
  <c r="CL37" i="55"/>
  <c r="CL40" i="55" s="1"/>
  <c r="AO40" i="55"/>
  <c r="AO39" i="55"/>
  <c r="AO27" i="55"/>
  <c r="AO29" i="55"/>
  <c r="CL26" i="55"/>
  <c r="CL29" i="55" s="1"/>
  <c r="AO126" i="55"/>
  <c r="AO127" i="55" s="1"/>
  <c r="AO28" i="55"/>
  <c r="CK48" i="55"/>
  <c r="CK51" i="55" s="1"/>
  <c r="AK51" i="55"/>
  <c r="AK50" i="55"/>
  <c r="AE95" i="55"/>
  <c r="AE94" i="55"/>
  <c r="AE93" i="55"/>
  <c r="AE83" i="55"/>
  <c r="AE84" i="55"/>
  <c r="AE39" i="55"/>
  <c r="AE40" i="55"/>
  <c r="AF38" i="55"/>
  <c r="AE29" i="55"/>
  <c r="AE28" i="55"/>
  <c r="AE126" i="55"/>
  <c r="AE127" i="55" s="1"/>
  <c r="AE27" i="55"/>
  <c r="AA39" i="55"/>
  <c r="AA38" i="55"/>
  <c r="AA40" i="55"/>
  <c r="AA50" i="55"/>
  <c r="AA51" i="55"/>
  <c r="AA49" i="55"/>
  <c r="AA95" i="55"/>
  <c r="AA93" i="55"/>
  <c r="AA94" i="55"/>
  <c r="AB93" i="55"/>
  <c r="CK46" i="2"/>
  <c r="CK45" i="2" s="1"/>
  <c r="CK47" i="2"/>
  <c r="CF47" i="2"/>
  <c r="CF46" i="2"/>
  <c r="CF45" i="2" s="1"/>
  <c r="BP47" i="2"/>
  <c r="BP46" i="2"/>
  <c r="BP45" i="2" s="1"/>
  <c r="CE46" i="2"/>
  <c r="CE45" i="2" s="1"/>
  <c r="CE47" i="2"/>
  <c r="BM47" i="2"/>
  <c r="BM46" i="2"/>
  <c r="BM45" i="2" s="1"/>
  <c r="AD83" i="55"/>
  <c r="P93" i="55"/>
  <c r="BR26" i="55"/>
  <c r="BR103" i="55"/>
  <c r="BS141" i="55"/>
  <c r="BS139" i="55" s="1"/>
  <c r="AE139" i="55" s="1"/>
  <c r="AE137" i="55"/>
  <c r="BR92" i="55"/>
  <c r="BR37" i="55"/>
  <c r="BS26" i="55"/>
  <c r="T94" i="55"/>
  <c r="BQ95" i="55"/>
  <c r="AP82" i="55"/>
  <c r="AP83" i="55"/>
  <c r="AP84" i="55"/>
  <c r="AP29" i="55"/>
  <c r="AP28" i="55"/>
  <c r="AP27" i="55"/>
  <c r="AP126" i="55"/>
  <c r="AP127" i="55" s="1"/>
  <c r="R71" i="55"/>
  <c r="R73" i="55"/>
  <c r="R104" i="55"/>
  <c r="R106" i="55"/>
  <c r="R126" i="55"/>
  <c r="R127" i="55" s="1"/>
  <c r="R29" i="55"/>
  <c r="R28" i="55"/>
  <c r="R27" i="55"/>
  <c r="R51" i="55"/>
  <c r="R49" i="55"/>
  <c r="R50" i="55"/>
  <c r="Q95" i="55"/>
  <c r="Q93" i="55"/>
  <c r="Q106" i="55"/>
  <c r="Q104" i="55"/>
  <c r="Q29" i="55"/>
  <c r="Q126" i="55"/>
  <c r="Q127" i="55" s="1"/>
  <c r="Q27" i="55"/>
  <c r="CI46" i="2"/>
  <c r="CI45" i="2" s="1"/>
  <c r="CI47" i="2"/>
  <c r="BS47" i="2"/>
  <c r="BS46" i="2"/>
  <c r="BS45" i="2" s="1"/>
  <c r="CG46" i="2"/>
  <c r="CG45" i="2" s="1"/>
  <c r="CG47" i="2"/>
  <c r="BO47" i="2"/>
  <c r="BO46" i="2"/>
  <c r="BO45" i="2" s="1"/>
  <c r="AH40" i="55"/>
  <c r="AH38" i="55"/>
  <c r="AH39" i="55"/>
  <c r="AL83" i="55"/>
  <c r="AH83" i="55"/>
  <c r="AH82" i="55"/>
  <c r="AH84" i="55"/>
  <c r="AH126" i="55"/>
  <c r="AH127" i="55" s="1"/>
  <c r="AH51" i="55"/>
  <c r="AH50" i="55"/>
  <c r="AH49" i="55"/>
  <c r="AQ39" i="55"/>
  <c r="AQ38" i="55"/>
  <c r="AQ40" i="55"/>
  <c r="AQ83" i="55"/>
  <c r="AQ84" i="55"/>
  <c r="AQ82" i="55"/>
  <c r="AM126" i="55"/>
  <c r="AM127" i="55" s="1"/>
  <c r="AM27" i="55"/>
  <c r="AM29" i="55"/>
  <c r="AM28" i="55"/>
  <c r="AM40" i="55"/>
  <c r="AM38" i="55"/>
  <c r="AM39" i="55"/>
  <c r="BT37" i="55"/>
  <c r="AI39" i="55"/>
  <c r="AI38" i="55"/>
  <c r="AI40" i="55"/>
  <c r="AI72" i="55"/>
  <c r="AI73" i="55"/>
  <c r="AI29" i="55"/>
  <c r="AI28" i="55"/>
  <c r="AI126" i="55"/>
  <c r="AI127" i="55" s="1"/>
  <c r="AI27" i="55"/>
  <c r="AI50" i="55"/>
  <c r="AI51" i="55"/>
  <c r="AI49" i="55"/>
  <c r="Z72" i="55"/>
  <c r="V72" i="55"/>
  <c r="V73" i="55"/>
  <c r="V71" i="55"/>
  <c r="V94" i="55"/>
  <c r="V93" i="55"/>
  <c r="V95" i="55"/>
  <c r="V51" i="55"/>
  <c r="V50" i="55"/>
  <c r="V49" i="55"/>
  <c r="AC72" i="55"/>
  <c r="AC73" i="55"/>
  <c r="AC126" i="55"/>
  <c r="AC127" i="55" s="1"/>
  <c r="AC27" i="55"/>
  <c r="AC29" i="55"/>
  <c r="AC28" i="55"/>
  <c r="AC82" i="55"/>
  <c r="AC84" i="55"/>
  <c r="AC83" i="55"/>
  <c r="AC40" i="55"/>
  <c r="AC39" i="55"/>
  <c r="AC38" i="55"/>
  <c r="BQ84" i="55"/>
  <c r="BR73" i="55"/>
  <c r="BR72" i="55"/>
  <c r="AT51" i="55"/>
  <c r="AT50" i="55"/>
  <c r="AT49" i="55"/>
  <c r="AT29" i="55"/>
  <c r="AT27" i="55"/>
  <c r="AT28" i="55"/>
  <c r="AT126" i="55"/>
  <c r="AT127" i="55" s="1"/>
  <c r="AL51" i="55"/>
  <c r="AL49" i="55"/>
  <c r="AL50" i="55"/>
  <c r="AL40" i="55"/>
  <c r="AL39" i="55"/>
  <c r="AL38" i="55"/>
  <c r="Z95" i="55"/>
  <c r="Z93" i="55"/>
  <c r="Z94" i="55"/>
  <c r="Z51" i="55"/>
  <c r="Z49" i="55"/>
  <c r="Z50" i="55"/>
  <c r="Z73" i="55"/>
  <c r="Z71" i="55"/>
  <c r="CD47" i="2"/>
  <c r="CD46" i="2"/>
  <c r="CD45" i="2" s="1"/>
  <c r="CC46" i="2"/>
  <c r="CC45" i="2" s="1"/>
  <c r="CC47" i="2"/>
  <c r="AR126" i="55"/>
  <c r="AR127" i="55" s="1"/>
  <c r="AR27" i="55"/>
  <c r="AR29" i="55"/>
  <c r="AR28" i="55"/>
  <c r="AR84" i="55"/>
  <c r="AR83" i="55"/>
  <c r="AR82" i="55"/>
  <c r="BV26" i="55"/>
  <c r="BV29" i="55" s="1"/>
  <c r="AN126" i="55"/>
  <c r="AN127" i="55" s="1"/>
  <c r="AN27" i="55"/>
  <c r="AN29" i="55"/>
  <c r="AO16" i="55"/>
  <c r="AN16" i="55"/>
  <c r="AN18" i="55"/>
  <c r="BV15" i="55"/>
  <c r="BP70" i="55"/>
  <c r="P73" i="55"/>
  <c r="P71" i="55"/>
  <c r="P106" i="55"/>
  <c r="BP103" i="55"/>
  <c r="BP106" i="55" s="1"/>
  <c r="P104" i="55"/>
  <c r="P29" i="55"/>
  <c r="BP26" i="55"/>
  <c r="P126" i="55"/>
  <c r="P127" i="55" s="1"/>
  <c r="P27" i="55"/>
  <c r="P84" i="55"/>
  <c r="BP81" i="55"/>
  <c r="BP84" i="55" s="1"/>
  <c r="P82" i="55"/>
  <c r="AS51" i="55"/>
  <c r="AS49" i="55"/>
  <c r="AS50" i="55"/>
  <c r="AS27" i="55"/>
  <c r="AS29" i="55"/>
  <c r="AS28" i="55"/>
  <c r="AO82" i="55"/>
  <c r="AO84" i="55"/>
  <c r="CL81" i="55"/>
  <c r="CL84" i="55" s="1"/>
  <c r="AO83" i="55"/>
  <c r="AO49" i="55"/>
  <c r="AO51" i="55"/>
  <c r="AO50" i="55"/>
  <c r="AK126" i="55"/>
  <c r="AK127" i="55" s="1"/>
  <c r="CK26" i="55"/>
  <c r="CK29" i="55" s="1"/>
  <c r="AK29" i="55"/>
  <c r="AK28" i="55"/>
  <c r="CK81" i="55"/>
  <c r="CK84" i="55" s="1"/>
  <c r="AK84" i="55"/>
  <c r="AK83" i="55"/>
  <c r="AE106" i="55"/>
  <c r="AE105" i="55"/>
  <c r="AE104" i="55"/>
  <c r="AE50" i="55"/>
  <c r="AE51" i="55"/>
  <c r="AE49" i="55"/>
  <c r="AE73" i="55"/>
  <c r="AE71" i="55"/>
  <c r="AA29" i="55"/>
  <c r="AA27" i="55"/>
  <c r="AA28" i="55"/>
  <c r="AA126" i="55"/>
  <c r="AA127" i="55" s="1"/>
  <c r="AA105" i="55"/>
  <c r="AA104" i="55"/>
  <c r="AA106" i="55"/>
  <c r="AE72" i="55"/>
  <c r="AA73" i="55"/>
  <c r="AA72" i="55"/>
  <c r="AA71" i="55"/>
  <c r="AA84" i="55"/>
  <c r="AA83" i="55"/>
  <c r="AA82" i="55"/>
  <c r="AT45" i="2"/>
  <c r="AE82" i="55"/>
  <c r="BR48" i="55"/>
  <c r="AD72" i="55"/>
  <c r="AF82" i="55"/>
  <c r="BS81" i="55"/>
  <c r="AB27" i="55"/>
  <c r="BT51" i="55"/>
  <c r="AD105" i="55"/>
  <c r="AP50" i="55"/>
  <c r="AP49" i="55"/>
  <c r="AP51" i="55"/>
  <c r="AP39" i="55"/>
  <c r="AP38" i="55"/>
  <c r="AP40" i="55"/>
  <c r="S82" i="55"/>
  <c r="R84" i="55"/>
  <c r="R83" i="55"/>
  <c r="R82" i="55"/>
  <c r="R38" i="55"/>
  <c r="R40" i="55"/>
  <c r="R39" i="55"/>
  <c r="R93" i="55"/>
  <c r="R95" i="55"/>
  <c r="Q73" i="55"/>
  <c r="Q71" i="55"/>
  <c r="Q84" i="55"/>
  <c r="Q82" i="55"/>
  <c r="Q51" i="55"/>
  <c r="Q49" i="55"/>
  <c r="Q40" i="55"/>
  <c r="Q38" i="55"/>
  <c r="AI71" i="55"/>
  <c r="AH72" i="55"/>
  <c r="AH73" i="55"/>
  <c r="AH71" i="55"/>
  <c r="AH104" i="55"/>
  <c r="AH106" i="55"/>
  <c r="AH105" i="55"/>
  <c r="AH29" i="55"/>
  <c r="AH28" i="55"/>
  <c r="AH27" i="55"/>
  <c r="AQ29" i="55"/>
  <c r="AQ28" i="55"/>
  <c r="AQ27" i="55"/>
  <c r="AQ126" i="55"/>
  <c r="AQ127" i="55" s="1"/>
  <c r="AQ16" i="55"/>
  <c r="AQ18" i="55"/>
  <c r="CL15" i="55"/>
  <c r="AM82" i="55"/>
  <c r="AM84" i="55"/>
  <c r="AM83" i="55"/>
  <c r="AM18" i="55"/>
  <c r="BU15" i="55"/>
  <c r="BU18" i="55" s="1"/>
  <c r="CK15" i="55"/>
  <c r="AM16" i="55"/>
  <c r="BT59" i="55"/>
  <c r="BT62" i="55" s="1"/>
  <c r="AI62" i="55"/>
  <c r="AI83" i="55"/>
  <c r="AI84" i="55"/>
  <c r="AI82" i="55"/>
  <c r="AI106" i="55"/>
  <c r="AI105" i="55"/>
  <c r="AI104" i="55"/>
  <c r="Z83" i="55"/>
  <c r="V83" i="55"/>
  <c r="V82" i="55"/>
  <c r="V84" i="55"/>
  <c r="V126" i="55"/>
  <c r="V127" i="55" s="1"/>
  <c r="V29" i="55"/>
  <c r="V28" i="55"/>
  <c r="V27" i="55"/>
  <c r="Z39" i="55"/>
  <c r="V38" i="55"/>
  <c r="V40" i="55"/>
  <c r="V39" i="55"/>
  <c r="V106" i="55"/>
  <c r="V105" i="55"/>
  <c r="V104" i="55"/>
  <c r="AC95" i="55"/>
  <c r="AC94" i="55"/>
  <c r="AC93" i="55"/>
  <c r="BS92" i="55"/>
  <c r="AC50" i="55"/>
  <c r="AC51" i="55"/>
  <c r="AC49" i="55"/>
  <c r="AC105" i="55"/>
  <c r="AC106" i="55"/>
  <c r="CL47" i="2"/>
  <c r="CL46" i="2"/>
  <c r="CL45" i="2" s="1"/>
  <c r="BV47" i="2"/>
  <c r="BV46" i="2"/>
  <c r="BV45" i="2" s="1"/>
  <c r="BT46" i="2"/>
  <c r="BT45" i="2" s="1"/>
  <c r="BT47" i="2"/>
  <c r="BQ46" i="2"/>
  <c r="BQ45" i="2" s="1"/>
  <c r="BQ47" i="2"/>
  <c r="CK37" i="55"/>
  <c r="CK40" i="55" s="1"/>
  <c r="AY117" i="3"/>
  <c r="BX117" i="3" s="1"/>
  <c r="AL130" i="55"/>
  <c r="P130" i="55"/>
  <c r="AI130" i="55"/>
  <c r="R130" i="55"/>
  <c r="AK130" i="55"/>
  <c r="AA130" i="55"/>
  <c r="AM130" i="55"/>
  <c r="V130" i="55"/>
  <c r="Q130" i="55"/>
  <c r="AR130" i="55"/>
  <c r="AS130" i="55"/>
  <c r="AO130" i="55"/>
  <c r="AQ130" i="55"/>
  <c r="AC130" i="55"/>
  <c r="AJ130" i="55"/>
  <c r="AH130" i="55"/>
  <c r="AT130" i="55"/>
  <c r="AN130" i="55"/>
  <c r="J130" i="55"/>
  <c r="AP130" i="55"/>
  <c r="Z130" i="55"/>
  <c r="AE130" i="55"/>
  <c r="U9" i="3"/>
  <c r="U119" i="2"/>
  <c r="M9" i="3"/>
  <c r="M119" i="2"/>
  <c r="D9" i="3"/>
  <c r="D119" i="2"/>
  <c r="AD9" i="3"/>
  <c r="AD25" i="3" s="1"/>
  <c r="AD49" i="3" s="1"/>
  <c r="AD119" i="2"/>
  <c r="X9" i="3"/>
  <c r="X119" i="2"/>
  <c r="P9" i="3"/>
  <c r="P119" i="2"/>
  <c r="H9" i="3"/>
  <c r="H119" i="2"/>
  <c r="AC9" i="3"/>
  <c r="AC119" i="2"/>
  <c r="AG9" i="3"/>
  <c r="AG119" i="2"/>
  <c r="AM9" i="3"/>
  <c r="AM25" i="3" s="1"/>
  <c r="AM119" i="2"/>
  <c r="K9" i="3"/>
  <c r="K25" i="3" s="1"/>
  <c r="K49" i="3" s="1"/>
  <c r="K119" i="2"/>
  <c r="W9" i="3"/>
  <c r="W25" i="3" s="1"/>
  <c r="W49" i="3" s="1"/>
  <c r="W119" i="2"/>
  <c r="Y9" i="3"/>
  <c r="Y119" i="2"/>
  <c r="J9" i="3"/>
  <c r="J25" i="3" s="1"/>
  <c r="J49" i="3" s="1"/>
  <c r="J119" i="2"/>
  <c r="AI9" i="3"/>
  <c r="AI25" i="3" s="1"/>
  <c r="AI49" i="3" s="1"/>
  <c r="AI119" i="2"/>
  <c r="G9" i="3"/>
  <c r="G25" i="3" s="1"/>
  <c r="G49" i="3" s="1"/>
  <c r="G119" i="2"/>
  <c r="I9" i="3"/>
  <c r="I119" i="2"/>
  <c r="AJ25" i="3"/>
  <c r="AJ94" i="3"/>
  <c r="AO25" i="3"/>
  <c r="AN25" i="3"/>
  <c r="AN94" i="3"/>
  <c r="AP57" i="3"/>
  <c r="AP61" i="3" s="1"/>
  <c r="AP49" i="3"/>
  <c r="AK25" i="3"/>
  <c r="CK9" i="3"/>
  <c r="AF9" i="3"/>
  <c r="AF119" i="2"/>
  <c r="AB9" i="3"/>
  <c r="AB119" i="2"/>
  <c r="T9" i="3"/>
  <c r="T119" i="2"/>
  <c r="L9" i="3"/>
  <c r="L119" i="2"/>
  <c r="AE9" i="3"/>
  <c r="AE25" i="3" s="1"/>
  <c r="AE49" i="3" s="1"/>
  <c r="AE119" i="2"/>
  <c r="AT9" i="3"/>
  <c r="AT25" i="3" s="1"/>
  <c r="AT119" i="2"/>
  <c r="S9" i="3"/>
  <c r="S25" i="3" s="1"/>
  <c r="S49" i="3" s="1"/>
  <c r="S119" i="2"/>
  <c r="E9" i="3"/>
  <c r="E119" i="2"/>
  <c r="N9" i="3"/>
  <c r="N25" i="3" s="1"/>
  <c r="N49" i="3" s="1"/>
  <c r="N119" i="2"/>
  <c r="F9" i="3"/>
  <c r="F25" i="3" s="1"/>
  <c r="F49" i="3" s="1"/>
  <c r="F119" i="2"/>
  <c r="AQ9" i="3"/>
  <c r="AQ25" i="3" s="1"/>
  <c r="AQ119" i="2"/>
  <c r="O9" i="3"/>
  <c r="O25" i="3" s="1"/>
  <c r="O49" i="3" s="1"/>
  <c r="O119" i="2"/>
  <c r="Q9" i="3"/>
  <c r="Q119" i="2"/>
  <c r="AR25" i="3"/>
  <c r="AR94" i="3"/>
  <c r="AS57" i="3"/>
  <c r="AS61" i="3" s="1"/>
  <c r="AS49" i="3"/>
  <c r="AL57" i="3"/>
  <c r="AL61" i="3" s="1"/>
  <c r="AL49" i="3"/>
  <c r="AW60" i="2"/>
  <c r="AX100" i="3"/>
  <c r="AU96" i="3"/>
  <c r="BW96" i="3" s="1"/>
  <c r="BW11" i="3"/>
  <c r="BO95" i="55"/>
  <c r="BO84" i="55"/>
  <c r="AJ106" i="55"/>
  <c r="AJ104" i="55"/>
  <c r="BU103" i="55"/>
  <c r="AJ105" i="55"/>
  <c r="AJ40" i="55"/>
  <c r="AJ38" i="55"/>
  <c r="AJ39" i="55"/>
  <c r="BU37" i="55"/>
  <c r="AN39" i="55"/>
  <c r="CJ37" i="55"/>
  <c r="CJ40" i="55" s="1"/>
  <c r="AK38" i="55"/>
  <c r="AJ51" i="55"/>
  <c r="BU48" i="55"/>
  <c r="AJ50" i="55"/>
  <c r="AJ49" i="55"/>
  <c r="AK49" i="55"/>
  <c r="CJ48" i="55"/>
  <c r="CJ51" i="55" s="1"/>
  <c r="CJ111" i="55"/>
  <c r="CJ68" i="55"/>
  <c r="CJ46" i="55"/>
  <c r="CJ57" i="55"/>
  <c r="CJ35" i="55"/>
  <c r="CJ101" i="55"/>
  <c r="CJ79" i="55"/>
  <c r="CK111" i="55"/>
  <c r="CJ24" i="55"/>
  <c r="BW11" i="2"/>
  <c r="AK104" i="55"/>
  <c r="AJ126" i="55"/>
  <c r="AJ127" i="55" s="1"/>
  <c r="BW113" i="55"/>
  <c r="BW51" i="2"/>
  <c r="BW48" i="2" s="1"/>
  <c r="CM113" i="55"/>
  <c r="CM51" i="2"/>
  <c r="CM48" i="2" s="1"/>
  <c r="CN75" i="55"/>
  <c r="CN12" i="55"/>
  <c r="AA121" i="55"/>
  <c r="AA124" i="55" s="1"/>
  <c r="AB122" i="55"/>
  <c r="BO126" i="55"/>
  <c r="BO29" i="55"/>
  <c r="BU81" i="55"/>
  <c r="AJ83" i="55"/>
  <c r="AJ82" i="55"/>
  <c r="AJ84" i="55"/>
  <c r="AN83" i="55"/>
  <c r="CJ81" i="55"/>
  <c r="CJ84" i="55" s="1"/>
  <c r="AK82" i="55"/>
  <c r="AJ62" i="55"/>
  <c r="BU59" i="55"/>
  <c r="AJ60" i="55"/>
  <c r="CJ59" i="55"/>
  <c r="CJ62" i="55" s="1"/>
  <c r="AJ73" i="55"/>
  <c r="AJ72" i="55"/>
  <c r="BU70" i="55"/>
  <c r="AJ71" i="55"/>
  <c r="AK71" i="55"/>
  <c r="CJ70" i="55"/>
  <c r="CJ73" i="55" s="1"/>
  <c r="BU111" i="55"/>
  <c r="BU13" i="55"/>
  <c r="BU68" i="55"/>
  <c r="BU57" i="55"/>
  <c r="BV111" i="55"/>
  <c r="BU46" i="55"/>
  <c r="BU79" i="55"/>
  <c r="BU35" i="55"/>
  <c r="AW60" i="3"/>
  <c r="BW28" i="3"/>
  <c r="AU113" i="3"/>
  <c r="BA12" i="55"/>
  <c r="BB9" i="55"/>
  <c r="CM11" i="2"/>
  <c r="BX122" i="3"/>
  <c r="M72" i="3"/>
  <c r="L70" i="3"/>
  <c r="M73" i="3"/>
  <c r="M76" i="3" s="1"/>
  <c r="M71" i="3"/>
  <c r="M81" i="3"/>
  <c r="M80" i="3" s="1"/>
  <c r="M84" i="3" s="1"/>
  <c r="I72" i="3"/>
  <c r="I73" i="3" s="1"/>
  <c r="I76" i="3" s="1"/>
  <c r="H70" i="3"/>
  <c r="I71" i="3"/>
  <c r="I81" i="3"/>
  <c r="I80" i="3" s="1"/>
  <c r="I84" i="3" s="1"/>
  <c r="CN122" i="3"/>
  <c r="AZ122" i="3"/>
  <c r="BA37" i="3"/>
  <c r="CH73" i="3"/>
  <c r="CH76" i="3" s="1"/>
  <c r="CH71" i="3"/>
  <c r="CH81" i="3"/>
  <c r="CH80" i="3" s="1"/>
  <c r="CH84" i="3" s="1"/>
  <c r="AC72" i="3"/>
  <c r="AC73" i="3" s="1"/>
  <c r="AC76" i="3" s="1"/>
  <c r="AC71" i="3"/>
  <c r="AD70" i="3"/>
  <c r="AC81" i="3"/>
  <c r="AC80" i="3" s="1"/>
  <c r="AC84" i="3" s="1"/>
  <c r="AB73" i="3"/>
  <c r="AB76" i="3" s="1"/>
  <c r="BA97" i="3"/>
  <c r="J98" i="2"/>
  <c r="K97" i="2"/>
  <c r="BX57" i="2"/>
  <c r="CN24" i="2"/>
  <c r="BA24" i="2"/>
  <c r="BA22" i="3" s="1"/>
  <c r="CN28" i="2"/>
  <c r="CN81" i="2" s="1"/>
  <c r="AZ81" i="2"/>
  <c r="BA28" i="2"/>
  <c r="BA42" i="3" s="1"/>
  <c r="BA17" i="2"/>
  <c r="CN17" i="2"/>
  <c r="BB56" i="2"/>
  <c r="BA72" i="2"/>
  <c r="AY58" i="3"/>
  <c r="CN32" i="3"/>
  <c r="CN117" i="3" s="1"/>
  <c r="BZ40" i="3" l="1"/>
  <c r="BF125" i="3"/>
  <c r="BG125" i="3" s="1"/>
  <c r="BZ125" i="3" s="1"/>
  <c r="CP40" i="3"/>
  <c r="CP125" i="3" s="1"/>
  <c r="BI13" i="2"/>
  <c r="BJ13" i="2" s="1"/>
  <c r="BK13" i="2" s="1"/>
  <c r="CA13" i="2" s="1"/>
  <c r="CP13" i="2"/>
  <c r="BI25" i="2"/>
  <c r="BJ25" i="2" s="1"/>
  <c r="BK25" i="2" s="1"/>
  <c r="CA25" i="2" s="1"/>
  <c r="CP25" i="2"/>
  <c r="CP26" i="2"/>
  <c r="BI26" i="2"/>
  <c r="BJ26" i="2" s="1"/>
  <c r="BK26" i="2" s="1"/>
  <c r="CA26" i="2" s="1"/>
  <c r="BZ19" i="2"/>
  <c r="BH19" i="2"/>
  <c r="BH24" i="3" s="1"/>
  <c r="BH109" i="3" s="1"/>
  <c r="BZ32" i="2"/>
  <c r="BH32" i="2"/>
  <c r="BI58" i="2"/>
  <c r="BJ58" i="2" s="1"/>
  <c r="BK58" i="2" s="1"/>
  <c r="CA58" i="2" s="1"/>
  <c r="CP58" i="2"/>
  <c r="BS39" i="55"/>
  <c r="BI125" i="3"/>
  <c r="BJ125" i="3" s="1"/>
  <c r="BK125" i="3" s="1"/>
  <c r="CA125" i="3" s="1"/>
  <c r="CA40" i="3"/>
  <c r="CN23" i="55"/>
  <c r="BX8" i="73"/>
  <c r="BQ94" i="55"/>
  <c r="BQ39" i="55"/>
  <c r="AX198" i="73"/>
  <c r="BU28" i="55"/>
  <c r="BP83" i="55"/>
  <c r="BP94" i="55"/>
  <c r="BT50" i="55"/>
  <c r="BV28" i="55"/>
  <c r="BQ126" i="55"/>
  <c r="BQ127" i="55" s="1"/>
  <c r="BT105" i="55"/>
  <c r="BE33" i="2"/>
  <c r="BF45" i="2"/>
  <c r="BQ28" i="55"/>
  <c r="BS105" i="55"/>
  <c r="BF47" i="2"/>
  <c r="BS72" i="55"/>
  <c r="BT72" i="55"/>
  <c r="AV113" i="3"/>
  <c r="AW113" i="3" s="1"/>
  <c r="AW118" i="3" s="1"/>
  <c r="CM28" i="3"/>
  <c r="CM66" i="3" s="1"/>
  <c r="CM68" i="3" s="1"/>
  <c r="BP28" i="55"/>
  <c r="CM28" i="73"/>
  <c r="CM43" i="73"/>
  <c r="BX196" i="73"/>
  <c r="BU9" i="3"/>
  <c r="BU25" i="3" s="1"/>
  <c r="BA108" i="3"/>
  <c r="BC27" i="2"/>
  <c r="BD27" i="2" s="1"/>
  <c r="CO27" i="2" s="1"/>
  <c r="BB23" i="3"/>
  <c r="BA121" i="3"/>
  <c r="BY33" i="2"/>
  <c r="BA127" i="3"/>
  <c r="BA107" i="3"/>
  <c r="BC31" i="2"/>
  <c r="BD31" i="2" s="1"/>
  <c r="CO31" i="2" s="1"/>
  <c r="BB36" i="3"/>
  <c r="BS94" i="55"/>
  <c r="BS95" i="55"/>
  <c r="CK18" i="55"/>
  <c r="CK126" i="55"/>
  <c r="CK127" i="55" s="1"/>
  <c r="CL18" i="55"/>
  <c r="CL126" i="55"/>
  <c r="CL127" i="55" s="1"/>
  <c r="BR51" i="55"/>
  <c r="BR50" i="55"/>
  <c r="BP73" i="55"/>
  <c r="BP72" i="55"/>
  <c r="BQ83" i="55"/>
  <c r="BT40" i="55"/>
  <c r="BT39" i="55"/>
  <c r="BS29" i="55"/>
  <c r="BS126" i="55"/>
  <c r="BS127" i="55" s="1"/>
  <c r="BS28" i="55"/>
  <c r="BR94" i="55"/>
  <c r="BR95" i="55"/>
  <c r="BR126" i="55"/>
  <c r="BR127" i="55" s="1"/>
  <c r="BR28" i="55"/>
  <c r="BR29" i="55"/>
  <c r="BP51" i="55"/>
  <c r="BP50" i="55"/>
  <c r="BT28" i="55"/>
  <c r="BQ50" i="55"/>
  <c r="BS83" i="55"/>
  <c r="BS84" i="55"/>
  <c r="BT83" i="55"/>
  <c r="BP29" i="55"/>
  <c r="BP126" i="55"/>
  <c r="BV126" i="55"/>
  <c r="BV127" i="55" s="1"/>
  <c r="BV17" i="55"/>
  <c r="BV18" i="55"/>
  <c r="BR39" i="55"/>
  <c r="BR40" i="55"/>
  <c r="CI137" i="55"/>
  <c r="AE141" i="55"/>
  <c r="AE145" i="55" s="1"/>
  <c r="BR106" i="55"/>
  <c r="BR105" i="55"/>
  <c r="BP40" i="55"/>
  <c r="BP39" i="55"/>
  <c r="BR84" i="55"/>
  <c r="BR83" i="55"/>
  <c r="BS50" i="55"/>
  <c r="BT126" i="55"/>
  <c r="BT127" i="55" s="1"/>
  <c r="BQ105" i="55"/>
  <c r="BQ72" i="55"/>
  <c r="AZ117" i="3"/>
  <c r="BT130" i="55"/>
  <c r="BT101" i="55" s="1"/>
  <c r="CD130" i="55"/>
  <c r="BQ130" i="55"/>
  <c r="BQ101" i="55" s="1"/>
  <c r="BS130" i="55"/>
  <c r="BS101" i="55" s="1"/>
  <c r="BR130" i="55"/>
  <c r="BR101" i="55" s="1"/>
  <c r="BV130" i="55"/>
  <c r="BU130" i="55"/>
  <c r="BU101" i="55" s="1"/>
  <c r="BO130" i="55"/>
  <c r="BP130" i="55"/>
  <c r="BP101" i="55" s="1"/>
  <c r="AR57" i="3"/>
  <c r="AR61" i="3" s="1"/>
  <c r="AR49" i="3"/>
  <c r="E25" i="3"/>
  <c r="E49" i="3" s="1"/>
  <c r="CC9" i="3"/>
  <c r="AT57" i="3"/>
  <c r="AT61" i="3" s="1"/>
  <c r="AT49" i="3"/>
  <c r="L25" i="3"/>
  <c r="L49" i="3" s="1"/>
  <c r="BO9" i="3"/>
  <c r="BO25" i="3" s="1"/>
  <c r="BO57" i="3" s="1"/>
  <c r="BO61" i="3" s="1"/>
  <c r="L94" i="3"/>
  <c r="AB25" i="3"/>
  <c r="AB49" i="3" s="1"/>
  <c r="AB94" i="3"/>
  <c r="BS9" i="3"/>
  <c r="BS25" i="3" s="1"/>
  <c r="AK57" i="3"/>
  <c r="AK61" i="3" s="1"/>
  <c r="AK49" i="3"/>
  <c r="BV9" i="3"/>
  <c r="BV25" i="3" s="1"/>
  <c r="CD9" i="3"/>
  <c r="I25" i="3"/>
  <c r="I49" i="3" s="1"/>
  <c r="Y25" i="3"/>
  <c r="Y49" i="3" s="1"/>
  <c r="AG25" i="3"/>
  <c r="AG49" i="3" s="1"/>
  <c r="H25" i="3"/>
  <c r="H49" i="3" s="1"/>
  <c r="BN9" i="3"/>
  <c r="BN25" i="3" s="1"/>
  <c r="BN57" i="3" s="1"/>
  <c r="BN61" i="3" s="1"/>
  <c r="H94" i="3"/>
  <c r="X25" i="3"/>
  <c r="X49" i="3" s="1"/>
  <c r="X94" i="3"/>
  <c r="D25" i="3"/>
  <c r="D49" i="3" s="1"/>
  <c r="D94" i="3"/>
  <c r="BM9" i="3"/>
  <c r="BM25" i="3" s="1"/>
  <c r="BM57" i="3" s="1"/>
  <c r="BM61" i="3" s="1"/>
  <c r="AN57" i="3"/>
  <c r="AN61" i="3" s="1"/>
  <c r="AN49" i="3"/>
  <c r="AK94" i="3"/>
  <c r="AJ110" i="3"/>
  <c r="AJ134" i="3" s="1"/>
  <c r="M25" i="3"/>
  <c r="M49" i="3" s="1"/>
  <c r="CE9" i="3"/>
  <c r="AH9" i="3"/>
  <c r="AH25" i="3" s="1"/>
  <c r="AH49" i="3" s="1"/>
  <c r="AH119" i="2"/>
  <c r="CF9" i="3"/>
  <c r="Q25" i="3"/>
  <c r="Q49" i="3" s="1"/>
  <c r="AQ49" i="3"/>
  <c r="AQ57" i="3"/>
  <c r="AQ61" i="3" s="1"/>
  <c r="T25" i="3"/>
  <c r="T49" i="3" s="1"/>
  <c r="BQ9" i="3"/>
  <c r="BQ25" i="3" s="1"/>
  <c r="BQ57" i="3" s="1"/>
  <c r="BQ61" i="3" s="1"/>
  <c r="T94" i="3"/>
  <c r="AF25" i="3"/>
  <c r="AF49" i="3" s="1"/>
  <c r="AF94" i="3"/>
  <c r="AO57" i="3"/>
  <c r="AO61" i="3" s="1"/>
  <c r="AO49" i="3"/>
  <c r="AJ57" i="3"/>
  <c r="AJ61" i="3" s="1"/>
  <c r="AJ49" i="3"/>
  <c r="AM57" i="3"/>
  <c r="AM61" i="3" s="1"/>
  <c r="AM49" i="3"/>
  <c r="AC25" i="3"/>
  <c r="AC49" i="3" s="1"/>
  <c r="CI9" i="3"/>
  <c r="P25" i="3"/>
  <c r="P49" i="3" s="1"/>
  <c r="P94" i="3"/>
  <c r="BP9" i="3"/>
  <c r="BP25" i="3" s="1"/>
  <c r="BP57" i="3" s="1"/>
  <c r="BP61" i="3" s="1"/>
  <c r="AA9" i="3"/>
  <c r="AA25" i="3" s="1"/>
  <c r="AA49" i="3" s="1"/>
  <c r="AA119" i="2"/>
  <c r="Z9" i="3"/>
  <c r="Z25" i="3" s="1"/>
  <c r="Z49" i="3" s="1"/>
  <c r="Z119" i="2"/>
  <c r="AR110" i="3"/>
  <c r="AR134" i="3" s="1"/>
  <c r="AS94" i="3"/>
  <c r="CK94" i="3"/>
  <c r="CK110" i="3" s="1"/>
  <c r="CK134" i="3" s="1"/>
  <c r="CK25" i="3"/>
  <c r="AO94" i="3"/>
  <c r="AN110" i="3"/>
  <c r="AN134" i="3" s="1"/>
  <c r="CL9" i="3"/>
  <c r="U25" i="3"/>
  <c r="U49" i="3" s="1"/>
  <c r="CG49" i="3" s="1"/>
  <c r="CG9" i="3"/>
  <c r="CM11" i="3"/>
  <c r="CN72" i="2"/>
  <c r="AY100" i="3"/>
  <c r="BX100" i="3" s="1"/>
  <c r="BX15" i="3"/>
  <c r="AX60" i="2"/>
  <c r="BR121" i="55"/>
  <c r="BR124" i="55" s="1"/>
  <c r="AV96" i="3"/>
  <c r="AW96" i="3" s="1"/>
  <c r="CM123" i="55"/>
  <c r="BW83" i="3"/>
  <c r="BX18" i="2"/>
  <c r="BB12" i="55"/>
  <c r="BC9" i="55"/>
  <c r="BW113" i="3"/>
  <c r="BW118" i="3" s="1"/>
  <c r="AU118" i="3"/>
  <c r="BW66" i="3"/>
  <c r="BW68" i="3" s="1"/>
  <c r="BW33" i="3"/>
  <c r="BW60" i="3"/>
  <c r="BU72" i="55"/>
  <c r="BU73" i="55"/>
  <c r="BB20" i="55"/>
  <c r="BA23" i="55"/>
  <c r="AC122" i="55"/>
  <c r="AB121" i="55"/>
  <c r="CN78" i="55"/>
  <c r="CM19" i="3"/>
  <c r="AU104" i="3"/>
  <c r="BW104" i="3" s="1"/>
  <c r="BW19" i="3"/>
  <c r="BW44" i="2"/>
  <c r="BU40" i="55"/>
  <c r="BU39" i="55"/>
  <c r="BV39" i="55"/>
  <c r="CM44" i="2"/>
  <c r="BU62" i="55"/>
  <c r="BU61" i="55"/>
  <c r="BU84" i="55"/>
  <c r="BU83" i="55"/>
  <c r="BV83" i="55"/>
  <c r="BU126" i="55"/>
  <c r="BU127" i="55" s="1"/>
  <c r="CJ126" i="55"/>
  <c r="CJ127" i="55" s="1"/>
  <c r="AV104" i="3"/>
  <c r="BU50" i="55"/>
  <c r="BU51" i="55"/>
  <c r="BU106" i="55"/>
  <c r="BU105" i="55"/>
  <c r="AY198" i="73"/>
  <c r="BB75" i="55"/>
  <c r="BA78" i="55"/>
  <c r="BW123" i="55"/>
  <c r="BB97" i="3"/>
  <c r="BY12" i="3"/>
  <c r="BB37" i="3"/>
  <c r="AD71" i="3"/>
  <c r="G70" i="3"/>
  <c r="AD81" i="3"/>
  <c r="AD80" i="3" s="1"/>
  <c r="AD84" i="3" s="1"/>
  <c r="AD72" i="3"/>
  <c r="AD73" i="3" s="1"/>
  <c r="AD76" i="3" s="1"/>
  <c r="BA122" i="3"/>
  <c r="H71" i="3"/>
  <c r="CC70" i="3"/>
  <c r="H72" i="3"/>
  <c r="CC72" i="3" s="1"/>
  <c r="H81" i="3"/>
  <c r="H80" i="3" s="1"/>
  <c r="H84" i="3" s="1"/>
  <c r="L71" i="3"/>
  <c r="L72" i="3"/>
  <c r="CD72" i="3" s="1"/>
  <c r="L81" i="3"/>
  <c r="L80" i="3" s="1"/>
  <c r="L84" i="3" s="1"/>
  <c r="CD70" i="3"/>
  <c r="BB24" i="2"/>
  <c r="BB22" i="3" s="1"/>
  <c r="BC56" i="2"/>
  <c r="BD56" i="2" s="1"/>
  <c r="BB17" i="2"/>
  <c r="BA81" i="2"/>
  <c r="BB28" i="2"/>
  <c r="BB42" i="3" s="1"/>
  <c r="CN57" i="2"/>
  <c r="BA57" i="2"/>
  <c r="K98" i="2"/>
  <c r="L97" i="2"/>
  <c r="BB72" i="2"/>
  <c r="BA32" i="3"/>
  <c r="BI19" i="2" l="1"/>
  <c r="CP19" i="2"/>
  <c r="BI24" i="3"/>
  <c r="BI109" i="3" s="1"/>
  <c r="CP32" i="2"/>
  <c r="BI32" i="2"/>
  <c r="BJ32" i="2" s="1"/>
  <c r="BK32" i="2" s="1"/>
  <c r="CA32" i="2" s="1"/>
  <c r="AV118" i="3"/>
  <c r="BX11" i="73"/>
  <c r="AW104" i="3"/>
  <c r="AX104" i="3" s="1"/>
  <c r="BE56" i="2"/>
  <c r="BF56" i="2" s="1"/>
  <c r="BG56" i="2" s="1"/>
  <c r="CO56" i="2"/>
  <c r="CM60" i="3"/>
  <c r="BU57" i="3"/>
  <c r="BU61" i="3" s="1"/>
  <c r="BY9" i="55"/>
  <c r="BY12" i="55" s="1"/>
  <c r="BD9" i="55"/>
  <c r="CO9" i="55" s="1"/>
  <c r="CL49" i="3"/>
  <c r="BE31" i="2"/>
  <c r="BD36" i="3"/>
  <c r="BD121" i="3" s="1"/>
  <c r="BD23" i="3"/>
  <c r="BD108" i="3" s="1"/>
  <c r="BE27" i="2"/>
  <c r="BF33" i="2"/>
  <c r="BG45" i="2"/>
  <c r="BG47" i="2"/>
  <c r="CM113" i="3"/>
  <c r="CM118" i="3" s="1"/>
  <c r="CM33" i="3"/>
  <c r="CD49" i="3"/>
  <c r="BS57" i="3"/>
  <c r="BS61" i="3" s="1"/>
  <c r="BT49" i="3"/>
  <c r="BX148" i="73"/>
  <c r="BX130" i="73" s="1"/>
  <c r="AX96" i="3"/>
  <c r="CM29" i="73"/>
  <c r="CM65" i="73"/>
  <c r="CM38" i="73"/>
  <c r="CM30" i="73"/>
  <c r="CM53" i="73"/>
  <c r="CM44" i="73"/>
  <c r="CM45" i="73"/>
  <c r="BT9" i="3"/>
  <c r="BT25" i="3" s="1"/>
  <c r="BX198" i="73"/>
  <c r="BY31" i="2"/>
  <c r="BC36" i="3"/>
  <c r="BB127" i="3"/>
  <c r="BB121" i="3"/>
  <c r="BY27" i="2"/>
  <c r="BC23" i="3"/>
  <c r="BB107" i="3"/>
  <c r="BB108" i="3"/>
  <c r="CI49" i="3"/>
  <c r="CE49" i="3"/>
  <c r="BN49" i="3"/>
  <c r="AE144" i="55"/>
  <c r="AE146" i="55"/>
  <c r="CI141" i="55"/>
  <c r="CI145" i="55" s="1"/>
  <c r="BP49" i="3"/>
  <c r="CH9" i="3"/>
  <c r="CH94" i="3" s="1"/>
  <c r="CH110" i="3" s="1"/>
  <c r="CH134" i="3" s="1"/>
  <c r="BA117" i="3"/>
  <c r="BS119" i="2"/>
  <c r="BQ49" i="3"/>
  <c r="BU119" i="2"/>
  <c r="BT119" i="2"/>
  <c r="CG25" i="3"/>
  <c r="CG94" i="3"/>
  <c r="CG110" i="3" s="1"/>
  <c r="CG134" i="3" s="1"/>
  <c r="AO110" i="3"/>
  <c r="AO134" i="3" s="1"/>
  <c r="AP94" i="3"/>
  <c r="CI94" i="3"/>
  <c r="CI110" i="3" s="1"/>
  <c r="CI134" i="3" s="1"/>
  <c r="CI25" i="3"/>
  <c r="CJ49" i="3"/>
  <c r="BU49" i="3"/>
  <c r="AF110" i="3"/>
  <c r="AF134" i="3" s="1"/>
  <c r="AG94" i="3"/>
  <c r="CF49" i="3"/>
  <c r="CE25" i="3"/>
  <c r="CE94" i="3"/>
  <c r="CE110" i="3" s="1"/>
  <c r="CE134" i="3" s="1"/>
  <c r="BV49" i="3"/>
  <c r="D50" i="3"/>
  <c r="BM49" i="3"/>
  <c r="BM50" i="3" s="1"/>
  <c r="I94" i="3"/>
  <c r="H110" i="3"/>
  <c r="H134" i="3" s="1"/>
  <c r="CJ9" i="3"/>
  <c r="CD25" i="3"/>
  <c r="CD94" i="3"/>
  <c r="CD110" i="3" s="1"/>
  <c r="CD134" i="3" s="1"/>
  <c r="CK49" i="3"/>
  <c r="BS49" i="3"/>
  <c r="L110" i="3"/>
  <c r="L134" i="3" s="1"/>
  <c r="M94" i="3"/>
  <c r="CL94" i="3"/>
  <c r="CL110" i="3" s="1"/>
  <c r="CL134" i="3" s="1"/>
  <c r="CL25" i="3"/>
  <c r="P110" i="3"/>
  <c r="P134" i="3" s="1"/>
  <c r="Q94" i="3"/>
  <c r="BR9" i="3"/>
  <c r="BR25" i="3" s="1"/>
  <c r="CH49" i="3"/>
  <c r="CC94" i="3"/>
  <c r="CC110" i="3" s="1"/>
  <c r="CC134" i="3" s="1"/>
  <c r="CC25" i="3"/>
  <c r="BV119" i="2"/>
  <c r="CK57" i="3"/>
  <c r="CK61" i="3" s="1"/>
  <c r="CF94" i="3"/>
  <c r="CF110" i="3" s="1"/>
  <c r="CF134" i="3" s="1"/>
  <c r="CF25" i="3"/>
  <c r="CF5" i="3" s="1"/>
  <c r="X110" i="3"/>
  <c r="X134" i="3" s="1"/>
  <c r="Y94" i="3"/>
  <c r="AT94" i="3"/>
  <c r="AT110" i="3" s="1"/>
  <c r="AT134" i="3" s="1"/>
  <c r="AS110" i="3"/>
  <c r="AS134" i="3" s="1"/>
  <c r="T110" i="3"/>
  <c r="T134" i="3" s="1"/>
  <c r="U94" i="3"/>
  <c r="AK110" i="3"/>
  <c r="AK134" i="3" s="1"/>
  <c r="AL94" i="3"/>
  <c r="E94" i="3"/>
  <c r="D110" i="3"/>
  <c r="D134" i="3" s="1"/>
  <c r="D135" i="3" s="1"/>
  <c r="D138" i="3" s="1"/>
  <c r="BR49" i="3"/>
  <c r="BV57" i="3"/>
  <c r="BV61" i="3" s="1"/>
  <c r="AB110" i="3"/>
  <c r="AB134" i="3" s="1"/>
  <c r="AC94" i="3"/>
  <c r="BO49" i="3"/>
  <c r="CC49" i="3"/>
  <c r="CM96" i="3"/>
  <c r="CM83" i="3"/>
  <c r="BX59" i="2"/>
  <c r="BX60" i="2" s="1"/>
  <c r="AY60" i="2"/>
  <c r="BX58" i="3"/>
  <c r="AZ100" i="3"/>
  <c r="AZ58" i="3"/>
  <c r="CN15" i="3"/>
  <c r="BA18" i="2"/>
  <c r="CN18" i="2"/>
  <c r="BX51" i="2"/>
  <c r="BX48" i="2" s="1"/>
  <c r="BX113" i="55"/>
  <c r="AY60" i="3"/>
  <c r="BX28" i="3"/>
  <c r="AB124" i="55"/>
  <c r="CH121" i="55"/>
  <c r="CH124" i="55" s="1"/>
  <c r="BB23" i="55"/>
  <c r="BC20" i="55"/>
  <c r="BB78" i="55"/>
  <c r="BC75" i="55"/>
  <c r="BD75" i="55" s="1"/>
  <c r="BX11" i="2"/>
  <c r="CM104" i="3"/>
  <c r="AX113" i="3"/>
  <c r="AD122" i="55"/>
  <c r="AC121" i="55"/>
  <c r="BC12" i="55"/>
  <c r="CD73" i="3"/>
  <c r="CD76" i="3" s="1"/>
  <c r="CD71" i="3"/>
  <c r="CD81" i="3"/>
  <c r="CD80" i="3" s="1"/>
  <c r="CD84" i="3" s="1"/>
  <c r="BB122" i="3"/>
  <c r="BC37" i="3"/>
  <c r="BD37" i="3" s="1"/>
  <c r="BD122" i="3" s="1"/>
  <c r="L73" i="3"/>
  <c r="L76" i="3" s="1"/>
  <c r="CC73" i="3"/>
  <c r="CC76" i="3" s="1"/>
  <c r="CC71" i="3"/>
  <c r="CC81" i="3"/>
  <c r="CC80" i="3" s="1"/>
  <c r="CC84" i="3" s="1"/>
  <c r="H73" i="3"/>
  <c r="H76" i="3" s="1"/>
  <c r="G72" i="3"/>
  <c r="G73" i="3" s="1"/>
  <c r="G76" i="3" s="1"/>
  <c r="G71" i="3"/>
  <c r="F70" i="3"/>
  <c r="G81" i="3"/>
  <c r="G80" i="3" s="1"/>
  <c r="G84" i="3" s="1"/>
  <c r="BC97" i="3"/>
  <c r="BB57" i="2"/>
  <c r="BC17" i="2"/>
  <c r="BD17" i="2" s="1"/>
  <c r="L98" i="2"/>
  <c r="M97" i="2"/>
  <c r="BB81" i="2"/>
  <c r="BC28" i="2"/>
  <c r="BY56" i="2"/>
  <c r="BC24" i="2"/>
  <c r="BB32" i="3"/>
  <c r="BA15" i="3"/>
  <c r="BC72" i="2"/>
  <c r="CQ9" i="55" l="1"/>
  <c r="BJ19" i="2"/>
  <c r="BZ56" i="2"/>
  <c r="BH56" i="2"/>
  <c r="CP56" i="2" s="1"/>
  <c r="CC57" i="3"/>
  <c r="CC61" i="3" s="1"/>
  <c r="CC5" i="3"/>
  <c r="CG57" i="3"/>
  <c r="CG61" i="3" s="1"/>
  <c r="CG5" i="3"/>
  <c r="CD57" i="3"/>
  <c r="CD61" i="3" s="1"/>
  <c r="CD5" i="3"/>
  <c r="CE57" i="3"/>
  <c r="CE61" i="3" s="1"/>
  <c r="CE5" i="3"/>
  <c r="AZ171" i="73"/>
  <c r="AZ139" i="73"/>
  <c r="AZ124" i="73"/>
  <c r="AZ112" i="73"/>
  <c r="AZ147" i="73"/>
  <c r="AZ132" i="73"/>
  <c r="AZ7" i="2"/>
  <c r="AZ7" i="55"/>
  <c r="BX32" i="73"/>
  <c r="CO23" i="3"/>
  <c r="CO108" i="3" s="1"/>
  <c r="BD20" i="55"/>
  <c r="BY37" i="3"/>
  <c r="CO75" i="55"/>
  <c r="BE37" i="3"/>
  <c r="CO37" i="3"/>
  <c r="CO122" i="3" s="1"/>
  <c r="BE17" i="2"/>
  <c r="BF17" i="2" s="1"/>
  <c r="BG17" i="2" s="1"/>
  <c r="CO17" i="2"/>
  <c r="BY36" i="3"/>
  <c r="CO36" i="3"/>
  <c r="CO121" i="3" s="1"/>
  <c r="BY23" i="3"/>
  <c r="BC121" i="3"/>
  <c r="BY121" i="3" s="1"/>
  <c r="BA58" i="3"/>
  <c r="CO12" i="55"/>
  <c r="AY104" i="3"/>
  <c r="BX104" i="3" s="1"/>
  <c r="BE75" i="55"/>
  <c r="BD78" i="55"/>
  <c r="BE9" i="55"/>
  <c r="BD12" i="55"/>
  <c r="BF27" i="2"/>
  <c r="BE23" i="3"/>
  <c r="BC22" i="3"/>
  <c r="BC107" i="3" s="1"/>
  <c r="BY107" i="3" s="1"/>
  <c r="BD24" i="2"/>
  <c r="CO24" i="2" s="1"/>
  <c r="BC42" i="3"/>
  <c r="BD28" i="2"/>
  <c r="CO28" i="2" s="1"/>
  <c r="CO81" i="2" s="1"/>
  <c r="BG33" i="2"/>
  <c r="BF31" i="2"/>
  <c r="BE36" i="3"/>
  <c r="BR57" i="3"/>
  <c r="BR61" i="3" s="1"/>
  <c r="BT57" i="3"/>
  <c r="BT61" i="3" s="1"/>
  <c r="CH25" i="3"/>
  <c r="CI144" i="55"/>
  <c r="CI147" i="55" s="1"/>
  <c r="CI148" i="55" s="1"/>
  <c r="CM54" i="73"/>
  <c r="CM153" i="73"/>
  <c r="CM39" i="73"/>
  <c r="CM152" i="73"/>
  <c r="CM66" i="73"/>
  <c r="CM154" i="73" s="1"/>
  <c r="CM155" i="73" s="1"/>
  <c r="BX47" i="73"/>
  <c r="AW153" i="73"/>
  <c r="BX28" i="73"/>
  <c r="AW154" i="73"/>
  <c r="AW152" i="73"/>
  <c r="BC108" i="3"/>
  <c r="BY108" i="3" s="1"/>
  <c r="AE147" i="55"/>
  <c r="AE148" i="55" s="1"/>
  <c r="BB117" i="3"/>
  <c r="AH94" i="3"/>
  <c r="AG110" i="3"/>
  <c r="AG134" i="3" s="1"/>
  <c r="AD94" i="3"/>
  <c r="AC110" i="3"/>
  <c r="AC134" i="3" s="1"/>
  <c r="Y110" i="3"/>
  <c r="Y134" i="3" s="1"/>
  <c r="Z94" i="3"/>
  <c r="R94" i="3"/>
  <c r="Q110" i="3"/>
  <c r="Q134" i="3" s="1"/>
  <c r="N94" i="3"/>
  <c r="M110" i="3"/>
  <c r="M134" i="3" s="1"/>
  <c r="CJ94" i="3"/>
  <c r="CJ110" i="3" s="1"/>
  <c r="CJ134" i="3" s="1"/>
  <c r="CJ25" i="3"/>
  <c r="E47" i="3"/>
  <c r="D53" i="3"/>
  <c r="U110" i="3"/>
  <c r="U134" i="3" s="1"/>
  <c r="V94" i="3"/>
  <c r="E110" i="3"/>
  <c r="E134" i="3" s="1"/>
  <c r="E135" i="3" s="1"/>
  <c r="E138" i="3" s="1"/>
  <c r="F94" i="3"/>
  <c r="CF57" i="3"/>
  <c r="CF61" i="3" s="1"/>
  <c r="CL57" i="3"/>
  <c r="CL61" i="3" s="1"/>
  <c r="I110" i="3"/>
  <c r="I134" i="3" s="1"/>
  <c r="J94" i="3"/>
  <c r="CI57" i="3"/>
  <c r="CI61" i="3" s="1"/>
  <c r="AL110" i="3"/>
  <c r="AL134" i="3" s="1"/>
  <c r="AM94" i="3"/>
  <c r="BM53" i="3"/>
  <c r="BN47" i="3"/>
  <c r="BN50" i="3" s="1"/>
  <c r="AP110" i="3"/>
  <c r="AP134" i="3" s="1"/>
  <c r="AQ94" i="3"/>
  <c r="BA100" i="3"/>
  <c r="CN100" i="3"/>
  <c r="CN58" i="3"/>
  <c r="CN59" i="2"/>
  <c r="CN60" i="2" s="1"/>
  <c r="BA59" i="2"/>
  <c r="BY20" i="55"/>
  <c r="BX44" i="2"/>
  <c r="BB18" i="2"/>
  <c r="AE122" i="55"/>
  <c r="AD121" i="55"/>
  <c r="AD124" i="55" s="1"/>
  <c r="AX118" i="3"/>
  <c r="AY113" i="3"/>
  <c r="BC78" i="55"/>
  <c r="AC124" i="55"/>
  <c r="BX19" i="3"/>
  <c r="BY75" i="55"/>
  <c r="BC23" i="55"/>
  <c r="BX33" i="3"/>
  <c r="BX66" i="3"/>
  <c r="BX68" i="3" s="1"/>
  <c r="BX60" i="3"/>
  <c r="BY97" i="3"/>
  <c r="F71" i="3"/>
  <c r="E70" i="3"/>
  <c r="F81" i="3"/>
  <c r="F80" i="3" s="1"/>
  <c r="F84" i="3" s="1"/>
  <c r="F72" i="3"/>
  <c r="F73" i="3" s="1"/>
  <c r="F76" i="3" s="1"/>
  <c r="BC122" i="3"/>
  <c r="BY24" i="2"/>
  <c r="BC81" i="2"/>
  <c r="BY81" i="2" s="1"/>
  <c r="BY28" i="2"/>
  <c r="N97" i="2"/>
  <c r="M98" i="2"/>
  <c r="BY17" i="2"/>
  <c r="BC57" i="2"/>
  <c r="BD57" i="2" s="1"/>
  <c r="BB15" i="3"/>
  <c r="BB58" i="3" s="1"/>
  <c r="BY72" i="2"/>
  <c r="BE121" i="3" l="1"/>
  <c r="BK19" i="2"/>
  <c r="CA19" i="2" s="1"/>
  <c r="BE108" i="3"/>
  <c r="BZ17" i="2"/>
  <c r="BH17" i="2"/>
  <c r="BJ24" i="3"/>
  <c r="BJ109" i="3" s="1"/>
  <c r="CM157" i="73"/>
  <c r="CM158" i="73"/>
  <c r="BF37" i="3"/>
  <c r="BG37" i="3" s="1"/>
  <c r="BH37" i="3" s="1"/>
  <c r="BH122" i="3" s="1"/>
  <c r="BE122" i="3"/>
  <c r="BI37" i="3"/>
  <c r="BJ37" i="3" s="1"/>
  <c r="BK37" i="3" s="1"/>
  <c r="BZ33" i="2"/>
  <c r="BH33" i="2"/>
  <c r="CP33" i="2" s="1"/>
  <c r="BI56" i="2"/>
  <c r="CH57" i="3"/>
  <c r="CH61" i="3" s="1"/>
  <c r="CH5" i="3"/>
  <c r="AZ184" i="55"/>
  <c r="AZ136" i="55"/>
  <c r="AZ206" i="55"/>
  <c r="AZ171" i="55"/>
  <c r="AZ161" i="55"/>
  <c r="AZ152" i="55" s="1"/>
  <c r="AZ195" i="55"/>
  <c r="AZ143" i="55"/>
  <c r="AZ43" i="2"/>
  <c r="AZ55" i="2" s="1"/>
  <c r="AZ7" i="3"/>
  <c r="CO20" i="55"/>
  <c r="BE20" i="55"/>
  <c r="BD23" i="55"/>
  <c r="BY23" i="55"/>
  <c r="BZ37" i="3"/>
  <c r="AW157" i="73"/>
  <c r="AW158" i="73"/>
  <c r="AW155" i="73"/>
  <c r="CQ75" i="55"/>
  <c r="CO78" i="55"/>
  <c r="BY22" i="3"/>
  <c r="BY42" i="3"/>
  <c r="BE57" i="2"/>
  <c r="BF57" i="2" s="1"/>
  <c r="BG57" i="2" s="1"/>
  <c r="CO57" i="2"/>
  <c r="BF9" i="55"/>
  <c r="BE12" i="55"/>
  <c r="BE78" i="55"/>
  <c r="BF75" i="55"/>
  <c r="BC127" i="3"/>
  <c r="BY127" i="3" s="1"/>
  <c r="BD81" i="2"/>
  <c r="BE28" i="2"/>
  <c r="BD42" i="3"/>
  <c r="BE24" i="2"/>
  <c r="BD22" i="3"/>
  <c r="BG27" i="2"/>
  <c r="BH27" i="2" s="1"/>
  <c r="BF23" i="3"/>
  <c r="BF108" i="3" s="1"/>
  <c r="BG31" i="2"/>
  <c r="BH31" i="2" s="1"/>
  <c r="CP31" i="2" s="1"/>
  <c r="BF36" i="3"/>
  <c r="CN28" i="73"/>
  <c r="CN32" i="73"/>
  <c r="BX43" i="73"/>
  <c r="BX65" i="73" s="1"/>
  <c r="BX30" i="73"/>
  <c r="BX38" i="73"/>
  <c r="BC32" i="3"/>
  <c r="F110" i="3"/>
  <c r="F134" i="3" s="1"/>
  <c r="F135" i="3" s="1"/>
  <c r="F138" i="3" s="1"/>
  <c r="G94" i="3"/>
  <c r="AD110" i="3"/>
  <c r="AD134" i="3" s="1"/>
  <c r="AE94" i="3"/>
  <c r="V110" i="3"/>
  <c r="V134" i="3" s="1"/>
  <c r="W94" i="3"/>
  <c r="CJ57" i="3"/>
  <c r="CJ61" i="3" s="1"/>
  <c r="J110" i="3"/>
  <c r="J134" i="3" s="1"/>
  <c r="K94" i="3"/>
  <c r="Z110" i="3"/>
  <c r="Z134" i="3" s="1"/>
  <c r="AA94" i="3"/>
  <c r="BV94" i="3"/>
  <c r="BV110" i="3" s="1"/>
  <c r="BV134" i="3" s="1"/>
  <c r="AQ110" i="3"/>
  <c r="AQ134" i="3" s="1"/>
  <c r="R110" i="3"/>
  <c r="R134" i="3" s="1"/>
  <c r="S94" i="3"/>
  <c r="BN53" i="3"/>
  <c r="BO47" i="3"/>
  <c r="BO50" i="3" s="1"/>
  <c r="AM110" i="3"/>
  <c r="AM134" i="3" s="1"/>
  <c r="BU94" i="3"/>
  <c r="BU110" i="3" s="1"/>
  <c r="BU134" i="3" s="1"/>
  <c r="CC47" i="3"/>
  <c r="E50" i="3"/>
  <c r="N110" i="3"/>
  <c r="N134" i="3" s="1"/>
  <c r="O94" i="3"/>
  <c r="AH110" i="3"/>
  <c r="AH134" i="3" s="1"/>
  <c r="AI94" i="3"/>
  <c r="BB59" i="2"/>
  <c r="BA60" i="2"/>
  <c r="BB100" i="3"/>
  <c r="BX11" i="3"/>
  <c r="AY96" i="3"/>
  <c r="BX96" i="3" s="1"/>
  <c r="BC18" i="2"/>
  <c r="AE121" i="55"/>
  <c r="AF122" i="55"/>
  <c r="BY78" i="55"/>
  <c r="AY118" i="3"/>
  <c r="BX113" i="3"/>
  <c r="BX118" i="3" s="1"/>
  <c r="BY122" i="3"/>
  <c r="E72" i="3"/>
  <c r="E73" i="3" s="1"/>
  <c r="E76" i="3" s="1"/>
  <c r="D70" i="3"/>
  <c r="E71" i="3"/>
  <c r="E81" i="3"/>
  <c r="E80" i="3" s="1"/>
  <c r="E84" i="3" s="1"/>
  <c r="BY57" i="2"/>
  <c r="N98" i="2"/>
  <c r="O97" i="2"/>
  <c r="BC15" i="3"/>
  <c r="CP37" i="3" l="1"/>
  <c r="CP122" i="3" s="1"/>
  <c r="BK24" i="3"/>
  <c r="BK109" i="3" s="1"/>
  <c r="CA109" i="3" s="1"/>
  <c r="BF20" i="55"/>
  <c r="CA24" i="3"/>
  <c r="BF121" i="3"/>
  <c r="BI17" i="2"/>
  <c r="BJ17" i="2" s="1"/>
  <c r="BK17" i="2" s="1"/>
  <c r="CA17" i="2" s="1"/>
  <c r="CP17" i="2"/>
  <c r="CP27" i="2"/>
  <c r="BH23" i="3"/>
  <c r="BH108" i="3" s="1"/>
  <c r="BI27" i="2"/>
  <c r="CO22" i="3"/>
  <c r="CO107" i="3" s="1"/>
  <c r="BD107" i="3"/>
  <c r="CO42" i="3"/>
  <c r="CO127" i="3" s="1"/>
  <c r="BD127" i="3"/>
  <c r="BF122" i="3"/>
  <c r="BI122" i="3"/>
  <c r="CA37" i="3"/>
  <c r="BH36" i="3"/>
  <c r="BI31" i="2"/>
  <c r="BI33" i="2"/>
  <c r="BZ57" i="2"/>
  <c r="BH57" i="2"/>
  <c r="CP57" i="2" s="1"/>
  <c r="BJ56" i="2"/>
  <c r="AZ92" i="3"/>
  <c r="AZ65" i="3"/>
  <c r="AZ79" i="3" s="1"/>
  <c r="AZ56" i="3" s="1"/>
  <c r="AZ71" i="2"/>
  <c r="AZ88" i="2"/>
  <c r="CQ20" i="55"/>
  <c r="CO23" i="55"/>
  <c r="BE23" i="55"/>
  <c r="BG36" i="3"/>
  <c r="BZ31" i="2"/>
  <c r="BG23" i="3"/>
  <c r="BG108" i="3" s="1"/>
  <c r="BZ108" i="3" s="1"/>
  <c r="BZ27" i="2"/>
  <c r="BZ36" i="3"/>
  <c r="BZ23" i="3"/>
  <c r="BY32" i="3"/>
  <c r="CO32" i="3"/>
  <c r="CO117" i="3" s="1"/>
  <c r="BC58" i="3"/>
  <c r="CO15" i="3"/>
  <c r="BX123" i="55"/>
  <c r="BF78" i="55"/>
  <c r="BG75" i="55"/>
  <c r="BG9" i="55"/>
  <c r="BF12" i="55"/>
  <c r="BF24" i="2"/>
  <c r="BE22" i="3"/>
  <c r="BE81" i="2"/>
  <c r="BF28" i="2"/>
  <c r="BE42" i="3"/>
  <c r="BY18" i="2"/>
  <c r="BD18" i="2"/>
  <c r="CN38" i="73"/>
  <c r="BX53" i="73"/>
  <c r="BX66" i="73" s="1"/>
  <c r="BX154" i="73" s="1"/>
  <c r="BX155" i="73" s="1"/>
  <c r="BX45" i="73"/>
  <c r="BX44" i="73"/>
  <c r="BX39" i="73"/>
  <c r="BX152" i="73"/>
  <c r="BC117" i="3"/>
  <c r="BY117" i="3" s="1"/>
  <c r="O110" i="3"/>
  <c r="O134" i="3" s="1"/>
  <c r="BO94" i="3"/>
  <c r="BO110" i="3" s="1"/>
  <c r="BO134" i="3" s="1"/>
  <c r="S110" i="3"/>
  <c r="S134" i="3" s="1"/>
  <c r="BP94" i="3"/>
  <c r="BP110" i="3" s="1"/>
  <c r="BP134" i="3" s="1"/>
  <c r="BR94" i="3"/>
  <c r="BR110" i="3" s="1"/>
  <c r="BR134" i="3" s="1"/>
  <c r="AA110" i="3"/>
  <c r="AA134" i="3" s="1"/>
  <c r="AE110" i="3"/>
  <c r="AE134" i="3" s="1"/>
  <c r="BS94" i="3"/>
  <c r="BS110" i="3" s="1"/>
  <c r="BS134" i="3" s="1"/>
  <c r="AI110" i="3"/>
  <c r="AI134" i="3" s="1"/>
  <c r="BT94" i="3"/>
  <c r="BT110" i="3" s="1"/>
  <c r="BT134" i="3" s="1"/>
  <c r="F47" i="3"/>
  <c r="F50" i="3" s="1"/>
  <c r="E53" i="3"/>
  <c r="BP47" i="3"/>
  <c r="BP50" i="3" s="1"/>
  <c r="BO53" i="3"/>
  <c r="BN94" i="3"/>
  <c r="BN110" i="3" s="1"/>
  <c r="BN134" i="3" s="1"/>
  <c r="K110" i="3"/>
  <c r="K134" i="3" s="1"/>
  <c r="W110" i="3"/>
  <c r="W134" i="3" s="1"/>
  <c r="BQ94" i="3"/>
  <c r="BQ110" i="3" s="1"/>
  <c r="BQ134" i="3" s="1"/>
  <c r="G110" i="3"/>
  <c r="G134" i="3" s="1"/>
  <c r="G135" i="3" s="1"/>
  <c r="BM94" i="3"/>
  <c r="BM110" i="3" s="1"/>
  <c r="BM134" i="3" s="1"/>
  <c r="BM135" i="3" s="1"/>
  <c r="CC132" i="3"/>
  <c r="CC135" i="3" s="1"/>
  <c r="CC50" i="3"/>
  <c r="BX83" i="3"/>
  <c r="BC100" i="3"/>
  <c r="BY100" i="3" s="1"/>
  <c r="BY15" i="3"/>
  <c r="BC59" i="2"/>
  <c r="BD59" i="2" s="1"/>
  <c r="CO59" i="2" s="1"/>
  <c r="CO60" i="2" s="1"/>
  <c r="BB60" i="2"/>
  <c r="AE124" i="55"/>
  <c r="BS121" i="55"/>
  <c r="BS124" i="55" s="1"/>
  <c r="AG122" i="55"/>
  <c r="AF121" i="55"/>
  <c r="CI121" i="55" s="1"/>
  <c r="CI124" i="55" s="1"/>
  <c r="BW16" i="2"/>
  <c r="D71" i="3"/>
  <c r="D72" i="3"/>
  <c r="D73" i="3" s="1"/>
  <c r="D76" i="3" s="1"/>
  <c r="D81" i="3"/>
  <c r="D80" i="3" s="1"/>
  <c r="D84" i="3" s="1"/>
  <c r="O98" i="2"/>
  <c r="P97" i="2"/>
  <c r="BG121" i="3" l="1"/>
  <c r="BZ121" i="3" s="1"/>
  <c r="BX157" i="73"/>
  <c r="BF23" i="55"/>
  <c r="BG20" i="55"/>
  <c r="BH20" i="55" s="1"/>
  <c r="BI20" i="55" s="1"/>
  <c r="BJ20" i="55" s="1"/>
  <c r="BK20" i="55" s="1"/>
  <c r="CP36" i="3"/>
  <c r="CP121" i="3" s="1"/>
  <c r="BJ27" i="2"/>
  <c r="BI23" i="3"/>
  <c r="CP23" i="3"/>
  <c r="CP108" i="3" s="1"/>
  <c r="BZ75" i="55"/>
  <c r="BZ78" i="55" s="1"/>
  <c r="BH75" i="55"/>
  <c r="BZ9" i="55"/>
  <c r="BZ12" i="55" s="1"/>
  <c r="BH9" i="55"/>
  <c r="CP9" i="55" s="1"/>
  <c r="BE127" i="3"/>
  <c r="BE107" i="3"/>
  <c r="BH121" i="3"/>
  <c r="BJ122" i="3"/>
  <c r="BG122" i="3"/>
  <c r="BK56" i="2"/>
  <c r="CA56" i="2" s="1"/>
  <c r="BJ31" i="2"/>
  <c r="BI36" i="3"/>
  <c r="BI57" i="2"/>
  <c r="BJ33" i="2"/>
  <c r="BE18" i="2"/>
  <c r="BF18" i="2" s="1"/>
  <c r="BG18" i="2" s="1"/>
  <c r="CO18" i="2"/>
  <c r="CO58" i="3"/>
  <c r="CO100" i="3"/>
  <c r="BG78" i="55"/>
  <c r="BG12" i="55"/>
  <c r="BG28" i="2"/>
  <c r="BF81" i="2"/>
  <c r="BF42" i="3"/>
  <c r="BG24" i="2"/>
  <c r="BF22" i="3"/>
  <c r="BE59" i="2"/>
  <c r="BD60" i="2"/>
  <c r="CN152" i="73"/>
  <c r="BX153" i="73"/>
  <c r="BX158" i="73" s="1"/>
  <c r="BX54" i="73"/>
  <c r="G138" i="3"/>
  <c r="H132" i="3"/>
  <c r="CC53" i="3"/>
  <c r="CD47" i="3"/>
  <c r="CD50" i="3" s="1"/>
  <c r="BM138" i="3"/>
  <c r="BN132" i="3"/>
  <c r="BN135" i="3" s="1"/>
  <c r="G47" i="3"/>
  <c r="G50" i="3" s="1"/>
  <c r="G53" i="3" s="1"/>
  <c r="F53" i="3"/>
  <c r="CD132" i="3"/>
  <c r="CD135" i="3" s="1"/>
  <c r="CC138" i="3"/>
  <c r="BQ47" i="3"/>
  <c r="BQ50" i="3" s="1"/>
  <c r="BP53" i="3"/>
  <c r="BY59" i="2"/>
  <c r="BY60" i="2" s="1"/>
  <c r="BC60" i="2"/>
  <c r="BY58" i="3"/>
  <c r="AH122" i="55"/>
  <c r="AG121" i="55"/>
  <c r="AF124" i="55"/>
  <c r="BW75" i="3"/>
  <c r="CM16" i="2"/>
  <c r="CM75" i="3" s="1"/>
  <c r="P98" i="2"/>
  <c r="Q97" i="2"/>
  <c r="CP12" i="55" l="1"/>
  <c r="BG23" i="55"/>
  <c r="BJ23" i="55"/>
  <c r="BZ20" i="55"/>
  <c r="BK23" i="55"/>
  <c r="BZ24" i="2"/>
  <c r="BH24" i="2"/>
  <c r="BI108" i="3"/>
  <c r="BZ28" i="2"/>
  <c r="BH28" i="2"/>
  <c r="BK27" i="2"/>
  <c r="BJ23" i="3"/>
  <c r="CP75" i="55"/>
  <c r="BI75" i="55"/>
  <c r="BH78" i="55"/>
  <c r="BI9" i="55"/>
  <c r="BH12" i="55"/>
  <c r="BI121" i="3"/>
  <c r="BF107" i="3"/>
  <c r="BF127" i="3"/>
  <c r="BZ122" i="3"/>
  <c r="BK122" i="3"/>
  <c r="CA122" i="3" s="1"/>
  <c r="BZ18" i="2"/>
  <c r="BH18" i="2"/>
  <c r="BK33" i="2"/>
  <c r="BJ57" i="2"/>
  <c r="BK31" i="2"/>
  <c r="CA31" i="2" s="1"/>
  <c r="BJ36" i="3"/>
  <c r="BG22" i="3"/>
  <c r="BZ22" i="3" s="1"/>
  <c r="BG81" i="2"/>
  <c r="BZ81" i="2" s="1"/>
  <c r="BG42" i="3"/>
  <c r="BF59" i="2"/>
  <c r="BE60" i="2"/>
  <c r="BO132" i="3"/>
  <c r="BO135" i="3" s="1"/>
  <c r="BN138" i="3"/>
  <c r="BR47" i="3"/>
  <c r="BR50" i="3" s="1"/>
  <c r="BQ53" i="3"/>
  <c r="CD53" i="3"/>
  <c r="CE47" i="3"/>
  <c r="CE50" i="3" s="1"/>
  <c r="CE132" i="3"/>
  <c r="CE135" i="3" s="1"/>
  <c r="CD138" i="3"/>
  <c r="H47" i="3"/>
  <c r="H50" i="3" s="1"/>
  <c r="J132" i="3"/>
  <c r="J135" i="3" s="1"/>
  <c r="J138" i="3" s="1"/>
  <c r="K132" i="3"/>
  <c r="K135" i="3" s="1"/>
  <c r="I132" i="3"/>
  <c r="I135" i="3" s="1"/>
  <c r="I138" i="3" s="1"/>
  <c r="H135" i="3"/>
  <c r="H138" i="3" s="1"/>
  <c r="AI122" i="55"/>
  <c r="AH121" i="55"/>
  <c r="AG124" i="55"/>
  <c r="R97" i="2"/>
  <c r="Q98" i="2"/>
  <c r="CP78" i="55" l="1"/>
  <c r="BZ23" i="55"/>
  <c r="BI23" i="55"/>
  <c r="BH23" i="55"/>
  <c r="CP20" i="55"/>
  <c r="CP28" i="2"/>
  <c r="CP81" i="2" s="1"/>
  <c r="BI28" i="2"/>
  <c r="BH42" i="3"/>
  <c r="BH127" i="3" s="1"/>
  <c r="BH81" i="2"/>
  <c r="BJ108" i="3"/>
  <c r="BI24" i="2"/>
  <c r="CP24" i="2"/>
  <c r="BH22" i="3"/>
  <c r="CA33" i="2"/>
  <c r="BK23" i="3"/>
  <c r="CA23" i="3" s="1"/>
  <c r="CA27" i="2"/>
  <c r="CP22" i="3"/>
  <c r="CP107" i="3" s="1"/>
  <c r="BI18" i="2"/>
  <c r="BJ18" i="2" s="1"/>
  <c r="BK18" i="2" s="1"/>
  <c r="CA18" i="2" s="1"/>
  <c r="CP18" i="2"/>
  <c r="BJ75" i="55"/>
  <c r="BI78" i="55"/>
  <c r="BI12" i="55"/>
  <c r="BJ9" i="55"/>
  <c r="BG127" i="3"/>
  <c r="BZ127" i="3" s="1"/>
  <c r="BG107" i="3"/>
  <c r="BZ107" i="3" s="1"/>
  <c r="BJ121" i="3"/>
  <c r="BK36" i="3"/>
  <c r="CA36" i="3" s="1"/>
  <c r="BK57" i="2"/>
  <c r="CA57" i="2" s="1"/>
  <c r="BZ42" i="3"/>
  <c r="BG59" i="2"/>
  <c r="BH59" i="2" s="1"/>
  <c r="CP59" i="2" s="1"/>
  <c r="CP60" i="2" s="1"/>
  <c r="BF60" i="2"/>
  <c r="CF47" i="3"/>
  <c r="CF50" i="3" s="1"/>
  <c r="CE53" i="3"/>
  <c r="BP132" i="3"/>
  <c r="BP135" i="3" s="1"/>
  <c r="BO138" i="3"/>
  <c r="K138" i="3"/>
  <c r="L132" i="3"/>
  <c r="CF132" i="3"/>
  <c r="CF135" i="3" s="1"/>
  <c r="CE138" i="3"/>
  <c r="BS47" i="3"/>
  <c r="BS50" i="3" s="1"/>
  <c r="BR53" i="3"/>
  <c r="I47" i="3"/>
  <c r="I50" i="3" s="1"/>
  <c r="H53" i="3"/>
  <c r="AH124" i="55"/>
  <c r="AI121" i="55"/>
  <c r="AJ122" i="55"/>
  <c r="R98" i="2"/>
  <c r="S97" i="2"/>
  <c r="CP23" i="55" l="1"/>
  <c r="CA20" i="55"/>
  <c r="CA23" i="55" s="1"/>
  <c r="BH107" i="3"/>
  <c r="BI22" i="3"/>
  <c r="BJ24" i="2"/>
  <c r="BJ28" i="2"/>
  <c r="BI81" i="2"/>
  <c r="BI42" i="3"/>
  <c r="BK108" i="3"/>
  <c r="CA108" i="3" s="1"/>
  <c r="BI127" i="3"/>
  <c r="CP42" i="3"/>
  <c r="CP127" i="3" s="1"/>
  <c r="BJ78" i="55"/>
  <c r="BK75" i="55"/>
  <c r="BK78" i="55" s="1"/>
  <c r="BK9" i="55"/>
  <c r="CA9" i="55" s="1"/>
  <c r="BJ12" i="55"/>
  <c r="BK121" i="3"/>
  <c r="BI59" i="2"/>
  <c r="BH60" i="2"/>
  <c r="BG60" i="2"/>
  <c r="BZ59" i="2"/>
  <c r="BZ60" i="2" s="1"/>
  <c r="BT47" i="3"/>
  <c r="BT50" i="3" s="1"/>
  <c r="BS53" i="3"/>
  <c r="M132" i="3"/>
  <c r="M135" i="3" s="1"/>
  <c r="M138" i="3" s="1"/>
  <c r="L135" i="3"/>
  <c r="L138" i="3" s="1"/>
  <c r="N132" i="3"/>
  <c r="N135" i="3" s="1"/>
  <c r="N138" i="3" s="1"/>
  <c r="O132" i="3"/>
  <c r="O135" i="3" s="1"/>
  <c r="CG47" i="3"/>
  <c r="CG50" i="3" s="1"/>
  <c r="CF53" i="3"/>
  <c r="I53" i="3"/>
  <c r="J47" i="3"/>
  <c r="J50" i="3" s="1"/>
  <c r="CG132" i="3"/>
  <c r="CG135" i="3" s="1"/>
  <c r="CF138" i="3"/>
  <c r="BQ132" i="3"/>
  <c r="BQ135" i="3" s="1"/>
  <c r="BP138" i="3"/>
  <c r="AI124" i="55"/>
  <c r="BT121" i="55"/>
  <c r="BT124" i="55" s="1"/>
  <c r="AK122" i="55"/>
  <c r="AJ121" i="55"/>
  <c r="CJ121" i="55" s="1"/>
  <c r="CJ124" i="55" s="1"/>
  <c r="S98" i="2"/>
  <c r="T97" i="2"/>
  <c r="BK24" i="2" l="1"/>
  <c r="BJ22" i="3"/>
  <c r="BK28" i="2"/>
  <c r="BJ81" i="2"/>
  <c r="BJ42" i="3"/>
  <c r="BJ127" i="3" s="1"/>
  <c r="BI107" i="3"/>
  <c r="CA75" i="55"/>
  <c r="CA78" i="55" s="1"/>
  <c r="CA12" i="55"/>
  <c r="BK12" i="55"/>
  <c r="CA121" i="3"/>
  <c r="BJ59" i="2"/>
  <c r="BI60" i="2"/>
  <c r="P132" i="3"/>
  <c r="O138" i="3"/>
  <c r="BU47" i="3"/>
  <c r="BU50" i="3" s="1"/>
  <c r="BT53" i="3"/>
  <c r="CH132" i="3"/>
  <c r="CH135" i="3" s="1"/>
  <c r="CG138" i="3"/>
  <c r="CG53" i="3"/>
  <c r="CH47" i="3"/>
  <c r="CH50" i="3" s="1"/>
  <c r="K47" i="3"/>
  <c r="K50" i="3" s="1"/>
  <c r="J53" i="3"/>
  <c r="BR132" i="3"/>
  <c r="BR135" i="3" s="1"/>
  <c r="BQ138" i="3"/>
  <c r="AL122" i="55"/>
  <c r="AK121" i="55"/>
  <c r="AJ124" i="55"/>
  <c r="T98" i="2"/>
  <c r="U97" i="2"/>
  <c r="BJ107" i="3" l="1"/>
  <c r="CA24" i="2"/>
  <c r="BK22" i="3"/>
  <c r="CA22" i="3" s="1"/>
  <c r="CA28" i="2"/>
  <c r="BK42" i="3"/>
  <c r="BK127" i="3" s="1"/>
  <c r="CA127" i="3" s="1"/>
  <c r="BK81" i="2"/>
  <c r="CA81" i="2" s="1"/>
  <c r="BK59" i="2"/>
  <c r="BJ60" i="2"/>
  <c r="L47" i="3"/>
  <c r="L50" i="3" s="1"/>
  <c r="K53" i="3"/>
  <c r="CI47" i="3"/>
  <c r="CI50" i="3" s="1"/>
  <c r="CH53" i="3"/>
  <c r="CH138" i="3"/>
  <c r="CI132" i="3"/>
  <c r="CI135" i="3" s="1"/>
  <c r="P135" i="3"/>
  <c r="P138" i="3" s="1"/>
  <c r="S132" i="3"/>
  <c r="S135" i="3" s="1"/>
  <c r="R132" i="3"/>
  <c r="R135" i="3" s="1"/>
  <c r="R138" i="3" s="1"/>
  <c r="Q132" i="3"/>
  <c r="Q135" i="3" s="1"/>
  <c r="Q138" i="3" s="1"/>
  <c r="BS132" i="3"/>
  <c r="BS135" i="3" s="1"/>
  <c r="BR138" i="3"/>
  <c r="BU53" i="3"/>
  <c r="BV47" i="3"/>
  <c r="BV50" i="3" s="1"/>
  <c r="AM122" i="55"/>
  <c r="AL121" i="55"/>
  <c r="AK124" i="55"/>
  <c r="V97" i="2"/>
  <c r="U98" i="2"/>
  <c r="CA42" i="3" l="1"/>
  <c r="BK107" i="3"/>
  <c r="CA107" i="3" s="1"/>
  <c r="BK60" i="2"/>
  <c r="CA59" i="2"/>
  <c r="CA60" i="2" s="1"/>
  <c r="S138" i="3"/>
  <c r="T132" i="3"/>
  <c r="L53" i="3"/>
  <c r="M47" i="3"/>
  <c r="M50" i="3" s="1"/>
  <c r="BS138" i="3"/>
  <c r="BT132" i="3"/>
  <c r="BT135" i="3" s="1"/>
  <c r="CI53" i="3"/>
  <c r="CJ47" i="3"/>
  <c r="CJ50" i="3" s="1"/>
  <c r="BV53" i="3"/>
  <c r="BW47" i="3"/>
  <c r="CJ132" i="3"/>
  <c r="CJ135" i="3" s="1"/>
  <c r="CI138" i="3"/>
  <c r="AL124" i="55"/>
  <c r="AM121" i="55"/>
  <c r="AM124" i="55" s="1"/>
  <c r="AN122" i="55"/>
  <c r="V98" i="2"/>
  <c r="W97" i="2"/>
  <c r="CJ53" i="3" l="1"/>
  <c r="CK47" i="3"/>
  <c r="CK50" i="3" s="1"/>
  <c r="N47" i="3"/>
  <c r="N50" i="3" s="1"/>
  <c r="M53" i="3"/>
  <c r="CJ138" i="3"/>
  <c r="CK132" i="3"/>
  <c r="CK135" i="3" s="1"/>
  <c r="BT138" i="3"/>
  <c r="BU132" i="3"/>
  <c r="BU135" i="3" s="1"/>
  <c r="T135" i="3"/>
  <c r="T138" i="3" s="1"/>
  <c r="V132" i="3"/>
  <c r="V135" i="3" s="1"/>
  <c r="V138" i="3" s="1"/>
  <c r="W132" i="3"/>
  <c r="W135" i="3" s="1"/>
  <c r="U132" i="3"/>
  <c r="U135" i="3" s="1"/>
  <c r="U138" i="3" s="1"/>
  <c r="BU121" i="55"/>
  <c r="BU124" i="55" s="1"/>
  <c r="AO122" i="55"/>
  <c r="AN121" i="55"/>
  <c r="CK121" i="55" s="1"/>
  <c r="CK124" i="55" s="1"/>
  <c r="W98" i="2"/>
  <c r="X97" i="2"/>
  <c r="BV132" i="3" l="1"/>
  <c r="BV135" i="3" s="1"/>
  <c r="BU138" i="3"/>
  <c r="W138" i="3"/>
  <c r="X132" i="3"/>
  <c r="O47" i="3"/>
  <c r="O50" i="3" s="1"/>
  <c r="N53" i="3"/>
  <c r="CL132" i="3"/>
  <c r="CL135" i="3" s="1"/>
  <c r="CK138" i="3"/>
  <c r="CL47" i="3"/>
  <c r="CL50" i="3" s="1"/>
  <c r="CK53" i="3"/>
  <c r="AP122" i="55"/>
  <c r="AO121" i="55"/>
  <c r="AN124" i="55"/>
  <c r="X98" i="2"/>
  <c r="Y97" i="2"/>
  <c r="O53" i="3" l="1"/>
  <c r="P47" i="3"/>
  <c r="P50" i="3" s="1"/>
  <c r="Y132" i="3"/>
  <c r="AA132" i="3"/>
  <c r="AA135" i="3" s="1"/>
  <c r="X135" i="3"/>
  <c r="X138" i="3" s="1"/>
  <c r="BV138" i="3"/>
  <c r="BW132" i="3"/>
  <c r="CM132" i="3"/>
  <c r="CL138" i="3"/>
  <c r="CL53" i="3"/>
  <c r="CM47" i="3"/>
  <c r="AO124" i="55"/>
  <c r="AQ122" i="55"/>
  <c r="AP121" i="55"/>
  <c r="AP124" i="55" s="1"/>
  <c r="Z97" i="2"/>
  <c r="Y98" i="2"/>
  <c r="AB132" i="3" l="1"/>
  <c r="AA138" i="3"/>
  <c r="Z132" i="3"/>
  <c r="Z135" i="3" s="1"/>
  <c r="Z138" i="3" s="1"/>
  <c r="Y135" i="3"/>
  <c r="Y138" i="3" s="1"/>
  <c r="Q47" i="3"/>
  <c r="Q50" i="3" s="1"/>
  <c r="P53" i="3"/>
  <c r="AQ121" i="55"/>
  <c r="AQ124" i="55" s="1"/>
  <c r="AR122" i="55"/>
  <c r="Z98" i="2"/>
  <c r="AA97" i="2"/>
  <c r="BV121" i="55" l="1"/>
  <c r="BV124" i="55" s="1"/>
  <c r="Q53" i="3"/>
  <c r="R47" i="3"/>
  <c r="R50" i="3" s="1"/>
  <c r="AB135" i="3"/>
  <c r="AB138" i="3" s="1"/>
  <c r="AC132" i="3"/>
  <c r="AE132" i="3"/>
  <c r="AE135" i="3" s="1"/>
  <c r="AS122" i="55"/>
  <c r="AR121" i="55"/>
  <c r="AA98" i="2"/>
  <c r="AB97" i="2"/>
  <c r="AC135" i="3" l="1"/>
  <c r="AC138" i="3" s="1"/>
  <c r="AD132" i="3"/>
  <c r="AD135" i="3" s="1"/>
  <c r="AD138" i="3" s="1"/>
  <c r="AF132" i="3"/>
  <c r="AE138" i="3"/>
  <c r="S47" i="3"/>
  <c r="S50" i="3" s="1"/>
  <c r="R53" i="3"/>
  <c r="AR124" i="55"/>
  <c r="CL121" i="55"/>
  <c r="CL124" i="55" s="1"/>
  <c r="AT122" i="55"/>
  <c r="AU122" i="55" s="1"/>
  <c r="AS121" i="55"/>
  <c r="AB98" i="2"/>
  <c r="AC97" i="2"/>
  <c r="AU121" i="55" l="1"/>
  <c r="AU124" i="55" s="1"/>
  <c r="AV122" i="55"/>
  <c r="AG132" i="3"/>
  <c r="AI132" i="3"/>
  <c r="AI135" i="3" s="1"/>
  <c r="AF135" i="3"/>
  <c r="AF138" i="3" s="1"/>
  <c r="S53" i="3"/>
  <c r="T47" i="3"/>
  <c r="T50" i="3" s="1"/>
  <c r="AT121" i="55"/>
  <c r="AT124" i="55" s="1"/>
  <c r="AS124" i="55"/>
  <c r="AD97" i="2"/>
  <c r="AC98" i="2"/>
  <c r="AW122" i="55" l="1"/>
  <c r="AX122" i="55" s="1"/>
  <c r="AV121" i="55"/>
  <c r="AV124" i="55" s="1"/>
  <c r="T53" i="3"/>
  <c r="U47" i="3"/>
  <c r="U50" i="3" s="1"/>
  <c r="AG135" i="3"/>
  <c r="AG138" i="3" s="1"/>
  <c r="AH132" i="3"/>
  <c r="AH135" i="3" s="1"/>
  <c r="AH138" i="3" s="1"/>
  <c r="AI138" i="3"/>
  <c r="AJ132" i="3"/>
  <c r="AD98" i="2"/>
  <c r="AE97" i="2"/>
  <c r="AX121" i="55" l="1"/>
  <c r="AX124" i="55" s="1"/>
  <c r="AY122" i="55"/>
  <c r="AZ122" i="55" s="1"/>
  <c r="AZ121" i="55" s="1"/>
  <c r="AZ124" i="55" s="1"/>
  <c r="AW121" i="55"/>
  <c r="AW124" i="55" s="1"/>
  <c r="AM132" i="3"/>
  <c r="AM135" i="3" s="1"/>
  <c r="AK132" i="3"/>
  <c r="AK135" i="3" s="1"/>
  <c r="AK138" i="3" s="1"/>
  <c r="AJ135" i="3"/>
  <c r="AJ138" i="3" s="1"/>
  <c r="AL132" i="3"/>
  <c r="AL135" i="3" s="1"/>
  <c r="AL138" i="3" s="1"/>
  <c r="V47" i="3"/>
  <c r="V50" i="3" s="1"/>
  <c r="U53" i="3"/>
  <c r="BW121" i="55"/>
  <c r="CM121" i="55"/>
  <c r="AE98" i="2"/>
  <c r="AF97" i="2"/>
  <c r="W47" i="3" l="1"/>
  <c r="W50" i="3" s="1"/>
  <c r="V53" i="3"/>
  <c r="AM138" i="3"/>
  <c r="AN132" i="3"/>
  <c r="AF98" i="2"/>
  <c r="AG97" i="2"/>
  <c r="X47" i="3" l="1"/>
  <c r="X50" i="3" s="1"/>
  <c r="W53" i="3"/>
  <c r="AP132" i="3"/>
  <c r="AP135" i="3" s="1"/>
  <c r="AP138" i="3" s="1"/>
  <c r="AO132" i="3"/>
  <c r="AO135" i="3" s="1"/>
  <c r="AO138" i="3" s="1"/>
  <c r="AQ132" i="3"/>
  <c r="AQ135" i="3" s="1"/>
  <c r="AN135" i="3"/>
  <c r="AN138" i="3" s="1"/>
  <c r="AH97" i="2"/>
  <c r="AG98" i="2"/>
  <c r="BA122" i="55" l="1"/>
  <c r="X53" i="3"/>
  <c r="Y47" i="3"/>
  <c r="Y50" i="3" s="1"/>
  <c r="AQ138" i="3"/>
  <c r="AR132" i="3"/>
  <c r="AH98" i="2"/>
  <c r="AI97" i="2"/>
  <c r="BB122" i="55" l="1"/>
  <c r="AR135" i="3"/>
  <c r="AR138" i="3" s="1"/>
  <c r="AT132" i="3"/>
  <c r="AT135" i="3" s="1"/>
  <c r="AT138" i="3" s="1"/>
  <c r="AU132" i="3"/>
  <c r="AS132" i="3"/>
  <c r="AS135" i="3" s="1"/>
  <c r="AS138" i="3" s="1"/>
  <c r="Z47" i="3"/>
  <c r="Z50" i="3" s="1"/>
  <c r="Y53" i="3"/>
  <c r="AI98" i="2"/>
  <c r="AJ97" i="2"/>
  <c r="BC122" i="55" l="1"/>
  <c r="AA47" i="3"/>
  <c r="AA50" i="3" s="1"/>
  <c r="Z53" i="3"/>
  <c r="AJ98" i="2"/>
  <c r="AK97" i="2"/>
  <c r="BD122" i="55" l="1"/>
  <c r="AB47" i="3"/>
  <c r="AB50" i="3" s="1"/>
  <c r="AA53" i="3"/>
  <c r="AL97" i="2"/>
  <c r="AK98" i="2"/>
  <c r="BE122" i="55" l="1"/>
  <c r="AB53" i="3"/>
  <c r="AC47" i="3"/>
  <c r="AC50" i="3" s="1"/>
  <c r="AL98" i="2"/>
  <c r="AM97" i="2"/>
  <c r="BF122" i="55" l="1"/>
  <c r="AD47" i="3"/>
  <c r="AD50" i="3" s="1"/>
  <c r="AC53" i="3"/>
  <c r="AM98" i="2"/>
  <c r="AN97" i="2"/>
  <c r="AD53" i="3" l="1"/>
  <c r="AE47" i="3"/>
  <c r="AE50" i="3" s="1"/>
  <c r="AN98" i="2"/>
  <c r="AO97" i="2"/>
  <c r="BG122" i="55" l="1"/>
  <c r="AF47" i="3"/>
  <c r="AF50" i="3" s="1"/>
  <c r="AE53" i="3"/>
  <c r="AP97" i="2"/>
  <c r="AO98" i="2"/>
  <c r="BH122" i="55" l="1"/>
  <c r="AG47" i="3"/>
  <c r="AG50" i="3" s="1"/>
  <c r="AF53" i="3"/>
  <c r="AP98" i="2"/>
  <c r="AQ97" i="2"/>
  <c r="BI122" i="55" l="1"/>
  <c r="AH47" i="3"/>
  <c r="AH50" i="3" s="1"/>
  <c r="AG53" i="3"/>
  <c r="AQ98" i="2"/>
  <c r="AR97" i="2"/>
  <c r="BJ122" i="55" l="1"/>
  <c r="AI47" i="3"/>
  <c r="AI50" i="3" s="1"/>
  <c r="AH53" i="3"/>
  <c r="AR98" i="2"/>
  <c r="AS97" i="2"/>
  <c r="BK122" i="55" l="1"/>
  <c r="AI53" i="3"/>
  <c r="AJ47" i="3"/>
  <c r="AJ50" i="3" s="1"/>
  <c r="AT97" i="2"/>
  <c r="AU97" i="2" s="1"/>
  <c r="AS98" i="2"/>
  <c r="AU98" i="2" l="1"/>
  <c r="AV97" i="2"/>
  <c r="AV98" i="2" s="1"/>
  <c r="AJ53" i="3"/>
  <c r="AK47" i="3"/>
  <c r="AK50" i="3" s="1"/>
  <c r="AT98" i="2"/>
  <c r="AK53" i="3" l="1"/>
  <c r="AL47" i="3"/>
  <c r="AL50" i="3" s="1"/>
  <c r="AL53" i="3" l="1"/>
  <c r="AM47" i="3"/>
  <c r="AM50" i="3" s="1"/>
  <c r="AW97" i="2"/>
  <c r="AX97" i="2" s="1"/>
  <c r="AX98" i="2" s="1"/>
  <c r="AM53" i="3" l="1"/>
  <c r="AN47" i="3"/>
  <c r="AN50" i="3" s="1"/>
  <c r="AN53" i="3" l="1"/>
  <c r="AO47" i="3"/>
  <c r="AO50" i="3" s="1"/>
  <c r="AY97" i="2"/>
  <c r="AO53" i="3" l="1"/>
  <c r="AP47" i="3"/>
  <c r="AP50" i="3" s="1"/>
  <c r="AZ97" i="2"/>
  <c r="AP53" i="3" l="1"/>
  <c r="AQ47" i="3"/>
  <c r="AQ50" i="3" s="1"/>
  <c r="BA97" i="2"/>
  <c r="AQ53" i="3" l="1"/>
  <c r="AR47" i="3"/>
  <c r="AR50" i="3" s="1"/>
  <c r="BB97" i="2"/>
  <c r="AR53" i="3" l="1"/>
  <c r="AS47" i="3"/>
  <c r="AS50" i="3" s="1"/>
  <c r="BC97" i="2"/>
  <c r="BD97" i="2" s="1"/>
  <c r="BE97" i="2" s="1"/>
  <c r="BF97" i="2" s="1"/>
  <c r="BG97" i="2" s="1"/>
  <c r="BH97" i="2" s="1"/>
  <c r="BI97" i="2" l="1"/>
  <c r="BJ97" i="2" s="1"/>
  <c r="BK97" i="2" s="1"/>
  <c r="AS53" i="3"/>
  <c r="AT47" i="3"/>
  <c r="AT50" i="3" s="1"/>
  <c r="AU47" i="3" s="1"/>
  <c r="AU50" i="3" s="1"/>
  <c r="AU53" i="3" l="1"/>
  <c r="AV47" i="3"/>
  <c r="AV50" i="3" s="1"/>
  <c r="AT53" i="3"/>
  <c r="AV53" i="3" l="1"/>
  <c r="AW47" i="3"/>
  <c r="AT16" i="55" l="1"/>
  <c r="AT18" i="55"/>
  <c r="CM149" i="73" l="1"/>
  <c r="CM129" i="55" s="1"/>
  <c r="CM160" i="73" l="1"/>
  <c r="CM150" i="73"/>
  <c r="AW160" i="73"/>
  <c r="AU129" i="55"/>
  <c r="CM161" i="73" l="1"/>
  <c r="CM130" i="55"/>
  <c r="AU81" i="55"/>
  <c r="AV82" i="55" s="1"/>
  <c r="AU15" i="55"/>
  <c r="AU26" i="55"/>
  <c r="AV27" i="55" s="1"/>
  <c r="AU37" i="55"/>
  <c r="AV38" i="55" s="1"/>
  <c r="CM13" i="73"/>
  <c r="CM200" i="73"/>
  <c r="AW200" i="73"/>
  <c r="AW161" i="73"/>
  <c r="AU130" i="55"/>
  <c r="AW129" i="55"/>
  <c r="AV16" i="55" l="1"/>
  <c r="AW81" i="55"/>
  <c r="AW37" i="55"/>
  <c r="AW26" i="55"/>
  <c r="AW15" i="55"/>
  <c r="AW17" i="55" s="1"/>
  <c r="AU126" i="55"/>
  <c r="AU127" i="55" s="1"/>
  <c r="AU28" i="55"/>
  <c r="AU29" i="55"/>
  <c r="AU27" i="55"/>
  <c r="CM26" i="55"/>
  <c r="CM29" i="55" s="1"/>
  <c r="BW26" i="55"/>
  <c r="AU84" i="55"/>
  <c r="AU82" i="55"/>
  <c r="AU83" i="55"/>
  <c r="CM81" i="55"/>
  <c r="CM84" i="55" s="1"/>
  <c r="BW81" i="55"/>
  <c r="AU38" i="55"/>
  <c r="AU40" i="55"/>
  <c r="AU39" i="55"/>
  <c r="BW37" i="55"/>
  <c r="CM37" i="55"/>
  <c r="CM40" i="55" s="1"/>
  <c r="AU18" i="55"/>
  <c r="AU16" i="55"/>
  <c r="BW15" i="55"/>
  <c r="CM15" i="55"/>
  <c r="CM18" i="73"/>
  <c r="CM23" i="73" s="1"/>
  <c r="CM20" i="73"/>
  <c r="AW130" i="55"/>
  <c r="AW126" i="55" l="1"/>
  <c r="AW127" i="55" s="1"/>
  <c r="AW150" i="73" s="1"/>
  <c r="AW18" i="55"/>
  <c r="AW16" i="55"/>
  <c r="AW39" i="55"/>
  <c r="AW40" i="55"/>
  <c r="AW38" i="55"/>
  <c r="AW29" i="55"/>
  <c r="AW28" i="55"/>
  <c r="AW27" i="55"/>
  <c r="AW82" i="55"/>
  <c r="AW84" i="55"/>
  <c r="AW83" i="55"/>
  <c r="CM18" i="55"/>
  <c r="CM126" i="55"/>
  <c r="CM127" i="55" s="1"/>
  <c r="BW40" i="55"/>
  <c r="BW39" i="55"/>
  <c r="BW28" i="55"/>
  <c r="BW29" i="55"/>
  <c r="BW83" i="55"/>
  <c r="BW84" i="55"/>
  <c r="BW18" i="55"/>
  <c r="BW17" i="55"/>
  <c r="BW126" i="55"/>
  <c r="BW127" i="55" s="1"/>
  <c r="CM71" i="73"/>
  <c r="CM24" i="73"/>
  <c r="CM68" i="73"/>
  <c r="CM21" i="73"/>
  <c r="CM118" i="55" l="1"/>
  <c r="CM124" i="55" s="1"/>
  <c r="BW118" i="55"/>
  <c r="BW124" i="55" s="1"/>
  <c r="CM82" i="73"/>
  <c r="CM69" i="73"/>
  <c r="AW164" i="73"/>
  <c r="CM83" i="73"/>
  <c r="CM72" i="73"/>
  <c r="CM12" i="2"/>
  <c r="BW23" i="2"/>
  <c r="BW12" i="2"/>
  <c r="CM23" i="2"/>
  <c r="AW166" i="73" l="1"/>
  <c r="CM85" i="73"/>
  <c r="CM20" i="3"/>
  <c r="AU105" i="3"/>
  <c r="BW105" i="3" s="1"/>
  <c r="BW20" i="3"/>
  <c r="CM52" i="2"/>
  <c r="CM47" i="2" s="1"/>
  <c r="BW34" i="2"/>
  <c r="BW49" i="2" s="1"/>
  <c r="AV106" i="3"/>
  <c r="AW106" i="3" s="1"/>
  <c r="BW21" i="3"/>
  <c r="AU106" i="3"/>
  <c r="BW106" i="3" s="1"/>
  <c r="CM21" i="3"/>
  <c r="CM106" i="3" s="1"/>
  <c r="BW52" i="2"/>
  <c r="BW46" i="2" s="1"/>
  <c r="BW45" i="2" s="1"/>
  <c r="CM29" i="2"/>
  <c r="CM34" i="2"/>
  <c r="CM49" i="2" s="1"/>
  <c r="BW29" i="2"/>
  <c r="AV105" i="3"/>
  <c r="AW105" i="3" s="1"/>
  <c r="AW167" i="73" l="1"/>
  <c r="AW106" i="73" s="1"/>
  <c r="CM46" i="2"/>
  <c r="CM45" i="2" s="1"/>
  <c r="CM88" i="73"/>
  <c r="CM86" i="73"/>
  <c r="CM182" i="73"/>
  <c r="CM174" i="73"/>
  <c r="CM92" i="73"/>
  <c r="CM104" i="73" s="1"/>
  <c r="BW47" i="2"/>
  <c r="AW59" i="3"/>
  <c r="AU109" i="3"/>
  <c r="BW109" i="3" s="1"/>
  <c r="BW24" i="3"/>
  <c r="CM24" i="3"/>
  <c r="CM109" i="3" s="1"/>
  <c r="CM105" i="3"/>
  <c r="AX105" i="3"/>
  <c r="AV109" i="3"/>
  <c r="AW109" i="3" s="1"/>
  <c r="CM98" i="73" l="1"/>
  <c r="CM89" i="73"/>
  <c r="CM179" i="73"/>
  <c r="AW177" i="73"/>
  <c r="AW174" i="73"/>
  <c r="AW182" i="73"/>
  <c r="CM177" i="73"/>
  <c r="CM178" i="73" s="1"/>
  <c r="AX106" i="3"/>
  <c r="AX109" i="3"/>
  <c r="CM59" i="3"/>
  <c r="BW59" i="3"/>
  <c r="BW129" i="55"/>
  <c r="AX59" i="3"/>
  <c r="CM99" i="73" l="1"/>
  <c r="CM102" i="73" s="1"/>
  <c r="CM106" i="73" s="1"/>
  <c r="CM90" i="73"/>
  <c r="CM164" i="73"/>
  <c r="CM166" i="73" s="1"/>
  <c r="CM167" i="73" s="1"/>
  <c r="AW178" i="73"/>
  <c r="AW179" i="73" s="1"/>
  <c r="CM186" i="73"/>
  <c r="CM187" i="73" s="1"/>
  <c r="AW186" i="73"/>
  <c r="AW187" i="73" s="1"/>
  <c r="AW9" i="3"/>
  <c r="AW25" i="3" s="1"/>
  <c r="AW49" i="3" s="1"/>
  <c r="AW50" i="3" s="1"/>
  <c r="BX34" i="2"/>
  <c r="AU94" i="3"/>
  <c r="BW9" i="3"/>
  <c r="BW25" i="3" s="1"/>
  <c r="CM9" i="3"/>
  <c r="BW130" i="55"/>
  <c r="AU119" i="2"/>
  <c r="BW63" i="2"/>
  <c r="AV94" i="3"/>
  <c r="CM107" i="73" l="1"/>
  <c r="AW53" i="3"/>
  <c r="AX47" i="3"/>
  <c r="AX50" i="3" s="1"/>
  <c r="AW94" i="3"/>
  <c r="AW110" i="3" s="1"/>
  <c r="CO34" i="2"/>
  <c r="AV110" i="3"/>
  <c r="AV119" i="2"/>
  <c r="CM63" i="2"/>
  <c r="BW119" i="2"/>
  <c r="CM94" i="3"/>
  <c r="CM110" i="3" s="1"/>
  <c r="CM25" i="3"/>
  <c r="BW94" i="3"/>
  <c r="BW110" i="3" s="1"/>
  <c r="AU110" i="3"/>
  <c r="BW57" i="3"/>
  <c r="BW61" i="3" s="1"/>
  <c r="CN34" i="2"/>
  <c r="AY109" i="3"/>
  <c r="BX109" i="3" s="1"/>
  <c r="BX24" i="3"/>
  <c r="AX53" i="3" l="1"/>
  <c r="AY47" i="3"/>
  <c r="BA24" i="3"/>
  <c r="CN24" i="3"/>
  <c r="CN109" i="3" s="1"/>
  <c r="BB24" i="3"/>
  <c r="AW57" i="3"/>
  <c r="AW61" i="3" s="1"/>
  <c r="BD24" i="3"/>
  <c r="BD109" i="3" s="1"/>
  <c r="AW119" i="2"/>
  <c r="AX94" i="3"/>
  <c r="AZ109" i="3"/>
  <c r="CM57" i="3"/>
  <c r="CM61" i="3" s="1"/>
  <c r="BA109" i="3" l="1"/>
  <c r="BB109" i="3" s="1"/>
  <c r="BE24" i="3"/>
  <c r="AX110" i="3"/>
  <c r="AX57" i="3"/>
  <c r="AX61" i="3" s="1"/>
  <c r="AX119" i="2"/>
  <c r="BY34" i="2"/>
  <c r="BC24" i="3"/>
  <c r="BY24" i="3" s="1"/>
  <c r="BE109" i="3" l="1"/>
  <c r="CO24" i="3"/>
  <c r="BF24" i="3"/>
  <c r="BC109" i="3"/>
  <c r="BY109" i="3" s="1"/>
  <c r="BF109" i="3" l="1"/>
  <c r="CO109" i="3"/>
  <c r="BG24" i="3"/>
  <c r="BZ24" i="3" s="1"/>
  <c r="BZ34" i="2"/>
  <c r="CP24" i="3" l="1"/>
  <c r="CP109" i="3" s="1"/>
  <c r="BG109" i="3"/>
  <c r="BZ109" i="3" s="1"/>
  <c r="BW67" i="2" l="1"/>
  <c r="AU137" i="3"/>
  <c r="BW64" i="2"/>
  <c r="BW65" i="2" s="1"/>
  <c r="BW36" i="2"/>
  <c r="BW76" i="2" s="1"/>
  <c r="BW77" i="2" s="1"/>
  <c r="BW9" i="2"/>
  <c r="BW80" i="2" s="1"/>
  <c r="BW82" i="2" s="1"/>
  <c r="BW83" i="2" s="1"/>
  <c r="BW68" i="2" l="1"/>
  <c r="BW52" i="3"/>
  <c r="BW94" i="2"/>
  <c r="BW95" i="2" s="1"/>
  <c r="BW137" i="3"/>
  <c r="BX90" i="2"/>
  <c r="BX91" i="2" s="1"/>
  <c r="BX98" i="2" s="1"/>
  <c r="BW75" i="2"/>
  <c r="BW38" i="2"/>
  <c r="BW14" i="2"/>
  <c r="BW85" i="2" l="1"/>
  <c r="BW20" i="2"/>
  <c r="BW40" i="2" l="1"/>
  <c r="BW41" i="3"/>
  <c r="BW43" i="3" s="1"/>
  <c r="BW49" i="3"/>
  <c r="BW50" i="3" s="1"/>
  <c r="AU126" i="3"/>
  <c r="BW126" i="3" s="1"/>
  <c r="BW128" i="3" s="1"/>
  <c r="BW134" i="3" s="1"/>
  <c r="BW135" i="3" s="1"/>
  <c r="AU128" i="3" l="1"/>
  <c r="AU134" i="3" s="1"/>
  <c r="AU135" i="3" s="1"/>
  <c r="AV132" i="3" s="1"/>
  <c r="AW132" i="3" s="1"/>
  <c r="BX47" i="3"/>
  <c r="BW53" i="3"/>
  <c r="BW138" i="3"/>
  <c r="BX132" i="3"/>
  <c r="AU138" i="3" l="1"/>
  <c r="AX132" i="3"/>
  <c r="AY132" i="3"/>
  <c r="AV137" i="3" l="1"/>
  <c r="CM67" i="2"/>
  <c r="CM64" i="2"/>
  <c r="CM65" i="2" s="1"/>
  <c r="CM36" i="2"/>
  <c r="CM38" i="2" s="1"/>
  <c r="CM9" i="2"/>
  <c r="AW90" i="2"/>
  <c r="AW91" i="2" s="1"/>
  <c r="AW98" i="2" s="1"/>
  <c r="CM137" i="3" l="1"/>
  <c r="CM80" i="2"/>
  <c r="CM94" i="2"/>
  <c r="CM95" i="2" s="1"/>
  <c r="CN90" i="2"/>
  <c r="CN91" i="2" s="1"/>
  <c r="CN98" i="2" s="1"/>
  <c r="CM52" i="3"/>
  <c r="CM14" i="2"/>
  <c r="CM75" i="2"/>
  <c r="CM76" i="2"/>
  <c r="CM77" i="2" s="1"/>
  <c r="CM68" i="2"/>
  <c r="CM82" i="2" l="1"/>
  <c r="CM85" i="2"/>
  <c r="CM20" i="2"/>
  <c r="CM40" i="2" l="1"/>
  <c r="CM83" i="2"/>
  <c r="CM49" i="3"/>
  <c r="CM50" i="3" s="1"/>
  <c r="CM41" i="3"/>
  <c r="CM43" i="3" s="1"/>
  <c r="AV126" i="3"/>
  <c r="AV120" i="73"/>
  <c r="AV128" i="3" l="1"/>
  <c r="AV134" i="3" s="1"/>
  <c r="AV135" i="3" s="1"/>
  <c r="AV138" i="3" s="1"/>
  <c r="AW126" i="3"/>
  <c r="AW128" i="3" s="1"/>
  <c r="AW134" i="3" s="1"/>
  <c r="AW135" i="3" s="1"/>
  <c r="AW138" i="3" s="1"/>
  <c r="CM126" i="3"/>
  <c r="CM128" i="3" s="1"/>
  <c r="CM134" i="3" s="1"/>
  <c r="CM135" i="3" s="1"/>
  <c r="CM53" i="3"/>
  <c r="CN47" i="3"/>
  <c r="CN132" i="3" l="1"/>
  <c r="CM138" i="3"/>
  <c r="AY120" i="73" l="1"/>
  <c r="AZ120" i="73" s="1"/>
  <c r="AX126" i="3" l="1"/>
  <c r="BX120" i="73"/>
  <c r="AW65" i="2"/>
  <c r="BX41" i="3" l="1"/>
  <c r="BX43" i="3" s="1"/>
  <c r="AX65" i="2"/>
  <c r="AX128" i="3"/>
  <c r="AX134" i="3" s="1"/>
  <c r="AX135" i="3" s="1"/>
  <c r="AY126" i="3"/>
  <c r="AW94" i="2"/>
  <c r="AW95" i="2" s="1"/>
  <c r="AW80" i="2"/>
  <c r="AW82" i="2" s="1"/>
  <c r="AW75" i="2"/>
  <c r="AW67" i="2"/>
  <c r="AW68" i="2" s="1"/>
  <c r="AW76" i="2"/>
  <c r="AW77" i="2" s="1"/>
  <c r="AW83" i="2" l="1"/>
  <c r="AY90" i="2"/>
  <c r="AY91" i="2" s="1"/>
  <c r="AY98" i="2" s="1"/>
  <c r="AX137" i="3"/>
  <c r="AX138" i="3" s="1"/>
  <c r="AW85" i="2"/>
  <c r="AX67" i="2"/>
  <c r="AX68" i="2" s="1"/>
  <c r="BX126" i="3"/>
  <c r="BX128" i="3" s="1"/>
  <c r="AY128" i="3"/>
  <c r="BX64" i="2"/>
  <c r="AP81" i="3" l="1"/>
  <c r="AP80" i="3" s="1"/>
  <c r="AP84" i="3" s="1"/>
  <c r="AO81" i="3"/>
  <c r="AO80" i="3" s="1"/>
  <c r="AO84" i="3" s="1"/>
  <c r="AQ81" i="3" l="1"/>
  <c r="AQ80" i="3" s="1"/>
  <c r="AQ84" i="3" s="1"/>
  <c r="BV70" i="3"/>
  <c r="BV71" i="3" l="1"/>
  <c r="BV81" i="3"/>
  <c r="BV80" i="3" s="1"/>
  <c r="BV84" i="3" s="1"/>
  <c r="BV72" i="3"/>
  <c r="BV73" i="3" s="1"/>
  <c r="BV76" i="3" s="1"/>
  <c r="CL72" i="3"/>
  <c r="AR81" i="3"/>
  <c r="AR80" i="3" s="1"/>
  <c r="AR84" i="3" s="1"/>
  <c r="CL70" i="3"/>
  <c r="AS81" i="3" l="1"/>
  <c r="AS80" i="3" s="1"/>
  <c r="AS84" i="3" s="1"/>
  <c r="CL71" i="3"/>
  <c r="CL81" i="3"/>
  <c r="CL80" i="3" s="1"/>
  <c r="CL84" i="3" s="1"/>
  <c r="CL73" i="3"/>
  <c r="CL76" i="3" s="1"/>
  <c r="AT81" i="3" l="1"/>
  <c r="AT80" i="3" s="1"/>
  <c r="AT84" i="3" s="1"/>
  <c r="AU71" i="3" l="1"/>
  <c r="AU81" i="3"/>
  <c r="AU80" i="3" s="1"/>
  <c r="AU84" i="3" s="1"/>
  <c r="AU73" i="3"/>
  <c r="AU76" i="3" s="1"/>
  <c r="BW70" i="3"/>
  <c r="AV70" i="3"/>
  <c r="BW72" i="3" l="1"/>
  <c r="BW73" i="3" s="1"/>
  <c r="BW76" i="3" s="1"/>
  <c r="BW81" i="3"/>
  <c r="BW80" i="3" s="1"/>
  <c r="BW84" i="3" s="1"/>
  <c r="BW71" i="3"/>
  <c r="AV72" i="3"/>
  <c r="CM72" i="3" s="1"/>
  <c r="AV81" i="3"/>
  <c r="AV80" i="3" s="1"/>
  <c r="AV84" i="3" s="1"/>
  <c r="AV71" i="3"/>
  <c r="CM70" i="3"/>
  <c r="AW70" i="3"/>
  <c r="AX70" i="3" s="1"/>
  <c r="AX81" i="3" l="1"/>
  <c r="AX80" i="3" s="1"/>
  <c r="AX84" i="3" s="1"/>
  <c r="AX71" i="3"/>
  <c r="AX72" i="3"/>
  <c r="AX73" i="3" s="1"/>
  <c r="AX76" i="3" s="1"/>
  <c r="CM71" i="3"/>
  <c r="CM73" i="3"/>
  <c r="CM76" i="3" s="1"/>
  <c r="CM81" i="3"/>
  <c r="CM80" i="3" s="1"/>
  <c r="CM84" i="3" s="1"/>
  <c r="AW71" i="3"/>
  <c r="AW81" i="3"/>
  <c r="AW80" i="3" s="1"/>
  <c r="AW84" i="3" s="1"/>
  <c r="AW72" i="3"/>
  <c r="AV73" i="3"/>
  <c r="AV76" i="3" s="1"/>
  <c r="AY81" i="3" l="1"/>
  <c r="AY80" i="3" s="1"/>
  <c r="AY84" i="3" s="1"/>
  <c r="AW73" i="3"/>
  <c r="AW76" i="3" s="1"/>
  <c r="BX70" i="3" l="1"/>
  <c r="BX81" i="3" l="1"/>
  <c r="BX80" i="3" s="1"/>
  <c r="BX84" i="3" s="1"/>
  <c r="BX16" i="2"/>
  <c r="BX72" i="3"/>
  <c r="BX73" i="3" s="1"/>
  <c r="AX40" i="2" l="1"/>
  <c r="BX75" i="3"/>
  <c r="BX76" i="3" s="1"/>
  <c r="AX130" i="55" l="1"/>
  <c r="AX200" i="73"/>
  <c r="AX106" i="73"/>
  <c r="AX129" i="55"/>
  <c r="AX37" i="55" s="1"/>
  <c r="AX26" i="55" l="1"/>
  <c r="AX15" i="55"/>
  <c r="AX17" i="55" s="1"/>
  <c r="AX81" i="55"/>
  <c r="AX38" i="55"/>
  <c r="AX39" i="55"/>
  <c r="AX40" i="55"/>
  <c r="AX16" i="55" l="1"/>
  <c r="AX18" i="55"/>
  <c r="AX82" i="55"/>
  <c r="AX83" i="55"/>
  <c r="AX84" i="55"/>
  <c r="AX29" i="55"/>
  <c r="AX27" i="55"/>
  <c r="AX28" i="55"/>
  <c r="AX126" i="55"/>
  <c r="AX127" i="55" s="1"/>
  <c r="BA15" i="55" l="1"/>
  <c r="BB15" i="55" l="1"/>
  <c r="BA17" i="55"/>
  <c r="BX118" i="55"/>
  <c r="BB16" i="55" l="1"/>
  <c r="BB17" i="55"/>
  <c r="BC15" i="55"/>
  <c r="BD15" i="55" l="1"/>
  <c r="CO15" i="55" s="1"/>
  <c r="BC16" i="55"/>
  <c r="CO18" i="55" l="1"/>
  <c r="BE15" i="55"/>
  <c r="BF18" i="55"/>
  <c r="BX13" i="73"/>
  <c r="BD16" i="55"/>
  <c r="BF15" i="55" l="1"/>
  <c r="BG18" i="55"/>
  <c r="BX89" i="73"/>
  <c r="BX12" i="2"/>
  <c r="BX29" i="73"/>
  <c r="BX20" i="73"/>
  <c r="BX18" i="73"/>
  <c r="BE17" i="55"/>
  <c r="BE16" i="55"/>
  <c r="BX23" i="2"/>
  <c r="BG15" i="55" l="1"/>
  <c r="BG17" i="55" s="1"/>
  <c r="BH17" i="55" s="1"/>
  <c r="BH18" i="55"/>
  <c r="BX21" i="73"/>
  <c r="BX68" i="73"/>
  <c r="AY59" i="3"/>
  <c r="AY105" i="3"/>
  <c r="BX105" i="3" s="1"/>
  <c r="BX20" i="3"/>
  <c r="BX21" i="3"/>
  <c r="AY106" i="3"/>
  <c r="BX106" i="3" s="1"/>
  <c r="BX49" i="2"/>
  <c r="BX29" i="2"/>
  <c r="BX52" i="2"/>
  <c r="BX47" i="2" s="1"/>
  <c r="BX23" i="73"/>
  <c r="BX164" i="73"/>
  <c r="BF16" i="55"/>
  <c r="BF17" i="55"/>
  <c r="BZ15" i="55"/>
  <c r="BG16" i="55" l="1"/>
  <c r="BI18" i="55"/>
  <c r="BH15" i="55"/>
  <c r="CP15" i="55" s="1"/>
  <c r="BX46" i="2"/>
  <c r="BX45" i="2" s="1"/>
  <c r="BZ18" i="55"/>
  <c r="BX24" i="73"/>
  <c r="BX149" i="73"/>
  <c r="BX71" i="73"/>
  <c r="BX59" i="3"/>
  <c r="BX82" i="73"/>
  <c r="BX69" i="73"/>
  <c r="CP18" i="55" l="1"/>
  <c r="BJ18" i="55"/>
  <c r="BI15" i="55"/>
  <c r="BH16" i="55"/>
  <c r="BX72" i="73"/>
  <c r="BX83" i="73"/>
  <c r="BX85" i="73"/>
  <c r="BX92" i="73" s="1"/>
  <c r="BX160" i="73"/>
  <c r="BX129" i="55"/>
  <c r="BX166" i="73"/>
  <c r="BX167" i="73" s="1"/>
  <c r="BX150" i="73"/>
  <c r="BX104" i="73" l="1"/>
  <c r="BX96" i="73"/>
  <c r="BI16" i="55"/>
  <c r="BI17" i="55"/>
  <c r="BK18" i="55"/>
  <c r="BK15" i="55" s="1"/>
  <c r="BJ15" i="55"/>
  <c r="BX161" i="73"/>
  <c r="BX130" i="55"/>
  <c r="AY177" i="73"/>
  <c r="AY174" i="73"/>
  <c r="AY182" i="73"/>
  <c r="AY9" i="3"/>
  <c r="AY25" i="3" s="1"/>
  <c r="BX86" i="73"/>
  <c r="BX88" i="73"/>
  <c r="BX98" i="73" s="1"/>
  <c r="BX99" i="73"/>
  <c r="BX90" i="73"/>
  <c r="AY49" i="3" l="1"/>
  <c r="AY50" i="3" s="1"/>
  <c r="AZ47" i="3" s="1"/>
  <c r="CA15" i="55"/>
  <c r="CA18" i="55" s="1"/>
  <c r="BK16" i="55"/>
  <c r="BK17" i="55"/>
  <c r="BJ16" i="55"/>
  <c r="BJ17" i="55"/>
  <c r="AY94" i="3"/>
  <c r="BX9" i="3"/>
  <c r="BX25" i="3" s="1"/>
  <c r="BX182" i="73"/>
  <c r="BX107" i="73"/>
  <c r="BX102" i="73"/>
  <c r="BX106" i="73" s="1"/>
  <c r="AY119" i="2"/>
  <c r="BX63" i="2"/>
  <c r="AY65" i="2"/>
  <c r="BX174" i="73"/>
  <c r="AY178" i="73"/>
  <c r="AY179" i="73" s="1"/>
  <c r="BX177" i="73"/>
  <c r="AY186" i="73"/>
  <c r="AY187" i="73" s="1"/>
  <c r="CA17" i="55" l="1"/>
  <c r="BX178" i="73"/>
  <c r="AY75" i="2"/>
  <c r="AY76" i="2"/>
  <c r="AY77" i="2" s="1"/>
  <c r="AY67" i="2"/>
  <c r="BX36" i="2"/>
  <c r="BX57" i="3"/>
  <c r="BX61" i="3" s="1"/>
  <c r="BX186" i="73"/>
  <c r="BX187" i="73" s="1"/>
  <c r="BX179" i="73"/>
  <c r="BX119" i="2"/>
  <c r="BX65" i="2"/>
  <c r="AY57" i="3"/>
  <c r="AY61" i="3" s="1"/>
  <c r="BX94" i="3"/>
  <c r="BX110" i="3" s="1"/>
  <c r="BX134" i="3" s="1"/>
  <c r="BX135" i="3" s="1"/>
  <c r="BY132" i="3" s="1"/>
  <c r="AY110" i="3"/>
  <c r="AY134" i="3" s="1"/>
  <c r="AY135" i="3" s="1"/>
  <c r="AZ132" i="3" s="1"/>
  <c r="BX49" i="3" l="1"/>
  <c r="BX50" i="3" s="1"/>
  <c r="BY47" i="3" s="1"/>
  <c r="BA132" i="3"/>
  <c r="BB132" i="3"/>
  <c r="BC132" i="3"/>
  <c r="BX75" i="2"/>
  <c r="BX76" i="2"/>
  <c r="BX77" i="2" s="1"/>
  <c r="BX38" i="2"/>
  <c r="AY68" i="2"/>
  <c r="BX67" i="2"/>
  <c r="BX68" i="2" s="1"/>
  <c r="AY53" i="3" l="1"/>
  <c r="AY137" i="3"/>
  <c r="AY138" i="3" s="1"/>
  <c r="AY94" i="2"/>
  <c r="AY95" i="2" s="1"/>
  <c r="AY80" i="2"/>
  <c r="AY82" i="2" s="1"/>
  <c r="AZ90" i="2"/>
  <c r="AZ91" i="2" s="1"/>
  <c r="AZ98" i="2" s="1"/>
  <c r="BX9" i="2"/>
  <c r="AY83" i="2" l="1"/>
  <c r="BX137" i="3"/>
  <c r="BX138" i="3" s="1"/>
  <c r="BX52" i="3"/>
  <c r="BX53" i="3" s="1"/>
  <c r="BX94" i="2"/>
  <c r="BX95" i="2" s="1"/>
  <c r="BX14" i="2"/>
  <c r="BY90" i="2"/>
  <c r="BY91" i="2" s="1"/>
  <c r="BY98" i="2" s="1"/>
  <c r="BX80" i="2"/>
  <c r="BX82" i="2" s="1"/>
  <c r="BX83" i="2" s="1"/>
  <c r="AY85" i="2"/>
  <c r="BX85" i="2" l="1"/>
  <c r="BX20" i="2"/>
  <c r="BX71" i="3" l="1"/>
  <c r="BX40" i="2"/>
  <c r="AY130" i="55" l="1"/>
  <c r="AY200" i="73"/>
  <c r="BX200" i="73" s="1"/>
  <c r="AY129" i="55"/>
  <c r="BX31" i="55" l="1"/>
  <c r="BX34" i="55" s="1"/>
  <c r="AY34" i="55"/>
  <c r="AY108" i="55"/>
  <c r="AZ109" i="55" s="1"/>
  <c r="AY32" i="55"/>
  <c r="BA31" i="55"/>
  <c r="AZ79" i="55" l="1"/>
  <c r="AZ81" i="55" s="1"/>
  <c r="BA108" i="55"/>
  <c r="BA13" i="55" s="1"/>
  <c r="AY111" i="55"/>
  <c r="AY109" i="55"/>
  <c r="AY35" i="55"/>
  <c r="AY37" i="55" s="1"/>
  <c r="AY40" i="55" s="1"/>
  <c r="AY79" i="55"/>
  <c r="AY81" i="55" s="1"/>
  <c r="AY24" i="55"/>
  <c r="AY26" i="55" s="1"/>
  <c r="AY121" i="55"/>
  <c r="AY13" i="55"/>
  <c r="AY15" i="55" s="1"/>
  <c r="AY17" i="55" s="1"/>
  <c r="AZ17" i="55" s="1"/>
  <c r="BK33" i="55"/>
  <c r="BG33" i="55"/>
  <c r="BC33" i="55"/>
  <c r="BB31" i="55"/>
  <c r="CN31" i="55"/>
  <c r="BX108" i="55"/>
  <c r="AZ84" i="55" l="1"/>
  <c r="AZ82" i="55"/>
  <c r="AZ83" i="55"/>
  <c r="AZ35" i="55"/>
  <c r="AZ37" i="55" s="1"/>
  <c r="AZ24" i="55"/>
  <c r="AZ26" i="55" s="1"/>
  <c r="AZ126" i="55" s="1"/>
  <c r="AZ127" i="55" s="1"/>
  <c r="AZ13" i="55"/>
  <c r="AZ15" i="55" s="1"/>
  <c r="CN15" i="55" s="1"/>
  <c r="BX37" i="55"/>
  <c r="BX40" i="55" s="1"/>
  <c r="BA8" i="73"/>
  <c r="CN121" i="55"/>
  <c r="BA35" i="55"/>
  <c r="BA34" i="55"/>
  <c r="BA121" i="55"/>
  <c r="BA24" i="55"/>
  <c r="BA109" i="55"/>
  <c r="BA111" i="55"/>
  <c r="BA79" i="55"/>
  <c r="AY39" i="55"/>
  <c r="AY38" i="55"/>
  <c r="AY84" i="55"/>
  <c r="AY83" i="55"/>
  <c r="AY82" i="55"/>
  <c r="BX81" i="55"/>
  <c r="BX46" i="55"/>
  <c r="BX111" i="55"/>
  <c r="BX57" i="55"/>
  <c r="BX24" i="55"/>
  <c r="BX13" i="55"/>
  <c r="BX68" i="55"/>
  <c r="BX79" i="55"/>
  <c r="AY18" i="55"/>
  <c r="AY126" i="55"/>
  <c r="AY127" i="55" s="1"/>
  <c r="BC17" i="55"/>
  <c r="BD17" i="55" s="1"/>
  <c r="AY16" i="55"/>
  <c r="BX15" i="55"/>
  <c r="AY124" i="55"/>
  <c r="BX121" i="55"/>
  <c r="BX124" i="55" s="1"/>
  <c r="BX39" i="55"/>
  <c r="BX35" i="55"/>
  <c r="CN34" i="55"/>
  <c r="CN108" i="55"/>
  <c r="CN35" i="55" s="1"/>
  <c r="BB34" i="55"/>
  <c r="BB108" i="55"/>
  <c r="BC31" i="55"/>
  <c r="AY28" i="55"/>
  <c r="AY27" i="55"/>
  <c r="AY29" i="55"/>
  <c r="BX26" i="55"/>
  <c r="CN26" i="55" l="1"/>
  <c r="CN29" i="55" s="1"/>
  <c r="AZ18" i="55"/>
  <c r="AZ16" i="55"/>
  <c r="BA16" i="55"/>
  <c r="BY15" i="55"/>
  <c r="BY17" i="55" s="1"/>
  <c r="AZ40" i="55"/>
  <c r="AZ38" i="55"/>
  <c r="AZ39" i="55"/>
  <c r="AZ29" i="55"/>
  <c r="AZ27" i="55"/>
  <c r="AZ28" i="55"/>
  <c r="BA51" i="2"/>
  <c r="BA11" i="2" s="1"/>
  <c r="BA148" i="73"/>
  <c r="BA130" i="73" s="1"/>
  <c r="BA66" i="3"/>
  <c r="BA28" i="3" s="1"/>
  <c r="BA198" i="73" s="1"/>
  <c r="BA11" i="73"/>
  <c r="CN8" i="73"/>
  <c r="CN29" i="73" s="1"/>
  <c r="CN47" i="73"/>
  <c r="BA10" i="73"/>
  <c r="BA32" i="73" s="1"/>
  <c r="BA28" i="73" s="1"/>
  <c r="BX83" i="55"/>
  <c r="BX84" i="55"/>
  <c r="CN37" i="55"/>
  <c r="CN40" i="55" s="1"/>
  <c r="BX29" i="55"/>
  <c r="BX28" i="55"/>
  <c r="BB13" i="55"/>
  <c r="BB121" i="55"/>
  <c r="BB111" i="55"/>
  <c r="BB79" i="55"/>
  <c r="BB24" i="55"/>
  <c r="BB109" i="55"/>
  <c r="BB8" i="73"/>
  <c r="CN18" i="55"/>
  <c r="BA37" i="55"/>
  <c r="BC34" i="55"/>
  <c r="BD31" i="55"/>
  <c r="CO31" i="55" s="1"/>
  <c r="BC108" i="55"/>
  <c r="BC35" i="55" s="1"/>
  <c r="BY31" i="55"/>
  <c r="BB35" i="55"/>
  <c r="CN111" i="55"/>
  <c r="CN24" i="55"/>
  <c r="CN13" i="55"/>
  <c r="CN79" i="55"/>
  <c r="BX18" i="55"/>
  <c r="BX17" i="55"/>
  <c r="BX126" i="55"/>
  <c r="BX127" i="55" s="1"/>
  <c r="BA26" i="55" l="1"/>
  <c r="BY18" i="55"/>
  <c r="BZ17" i="55"/>
  <c r="BA113" i="55"/>
  <c r="AZ130" i="73"/>
  <c r="BA33" i="3"/>
  <c r="BA60" i="3"/>
  <c r="BA19" i="3"/>
  <c r="CN11" i="2"/>
  <c r="CN113" i="55"/>
  <c r="BA47" i="73"/>
  <c r="BA43" i="73" s="1"/>
  <c r="BA65" i="73" s="1"/>
  <c r="AZ60" i="3"/>
  <c r="CN11" i="73"/>
  <c r="CN148" i="73"/>
  <c r="CN196" i="73"/>
  <c r="CN51" i="2"/>
  <c r="CN48" i="2" s="1"/>
  <c r="CN39" i="73"/>
  <c r="BA81" i="55"/>
  <c r="CN81" i="55"/>
  <c r="CQ31" i="55"/>
  <c r="CO34" i="55"/>
  <c r="CO108" i="55"/>
  <c r="CO35" i="55" s="1"/>
  <c r="BD34" i="55"/>
  <c r="BE31" i="55"/>
  <c r="BD108" i="55"/>
  <c r="BD35" i="55" s="1"/>
  <c r="BA29" i="73"/>
  <c r="BA38" i="73"/>
  <c r="BB37" i="55"/>
  <c r="BB10" i="73"/>
  <c r="BB32" i="73" s="1"/>
  <c r="BB148" i="73"/>
  <c r="BB130" i="73" s="1"/>
  <c r="BB11" i="73"/>
  <c r="BB51" i="2"/>
  <c r="BB11" i="2" s="1"/>
  <c r="BB66" i="3"/>
  <c r="BB28" i="3" s="1"/>
  <c r="CN19" i="3"/>
  <c r="AZ104" i="3"/>
  <c r="BY108" i="55"/>
  <c r="BY35" i="55" s="1"/>
  <c r="BY34" i="55"/>
  <c r="BC109" i="55"/>
  <c r="BC24" i="55"/>
  <c r="BC13" i="55"/>
  <c r="BC79" i="55"/>
  <c r="BC121" i="55"/>
  <c r="BY121" i="55" s="1"/>
  <c r="BC111" i="55"/>
  <c r="BC8" i="73"/>
  <c r="BA38" i="55"/>
  <c r="BA39" i="55"/>
  <c r="CN70" i="3"/>
  <c r="BA70" i="3"/>
  <c r="BA80" i="3" s="1"/>
  <c r="BA126" i="55" l="1"/>
  <c r="BA149" i="73" s="1"/>
  <c r="BA27" i="55"/>
  <c r="BA28" i="55"/>
  <c r="BB26" i="55"/>
  <c r="BA196" i="73"/>
  <c r="BA11" i="3"/>
  <c r="CN130" i="73"/>
  <c r="BA104" i="3"/>
  <c r="CN43" i="73"/>
  <c r="CN65" i="73" s="1"/>
  <c r="CN28" i="3"/>
  <c r="CN66" i="3" s="1"/>
  <c r="CN68" i="3" s="1"/>
  <c r="AZ113" i="3"/>
  <c r="BA113" i="3" s="1"/>
  <c r="AZ198" i="73"/>
  <c r="CN198" i="73" s="1"/>
  <c r="CN157" i="73"/>
  <c r="CN30" i="73"/>
  <c r="CN44" i="2"/>
  <c r="BA83" i="55"/>
  <c r="BA82" i="55"/>
  <c r="CN84" i="55"/>
  <c r="CN126" i="55"/>
  <c r="CN127" i="55" s="1"/>
  <c r="BB81" i="55"/>
  <c r="BC84" i="55"/>
  <c r="BC10" i="73"/>
  <c r="BC32" i="73" s="1"/>
  <c r="BY32" i="73" s="1"/>
  <c r="BC11" i="73"/>
  <c r="BC148" i="73"/>
  <c r="BC51" i="2"/>
  <c r="BC11" i="2" s="1"/>
  <c r="BC19" i="3" s="1"/>
  <c r="BC66" i="3"/>
  <c r="BC28" i="3" s="1"/>
  <c r="BY28" i="3" s="1"/>
  <c r="BY68" i="55"/>
  <c r="BY24" i="55"/>
  <c r="BY46" i="55"/>
  <c r="BY79" i="55"/>
  <c r="BY57" i="55"/>
  <c r="BY111" i="55"/>
  <c r="BY13" i="55"/>
  <c r="CN104" i="3"/>
  <c r="CN149" i="73"/>
  <c r="BB113" i="55"/>
  <c r="BB39" i="55"/>
  <c r="BB38" i="55"/>
  <c r="BD109" i="55"/>
  <c r="BD13" i="55"/>
  <c r="BD24" i="55"/>
  <c r="BD79" i="55"/>
  <c r="BD111" i="55"/>
  <c r="BD121" i="55"/>
  <c r="BD8" i="73"/>
  <c r="CO8" i="73" s="1"/>
  <c r="CO24" i="55"/>
  <c r="CO13" i="55"/>
  <c r="CO111" i="55"/>
  <c r="CO79" i="55"/>
  <c r="CQ108" i="55"/>
  <c r="BA44" i="73"/>
  <c r="BA53" i="73"/>
  <c r="BA66" i="73" s="1"/>
  <c r="BA154" i="73" s="1"/>
  <c r="BB70" i="3"/>
  <c r="BB80" i="3" s="1"/>
  <c r="BB196" i="73" s="1"/>
  <c r="CN45" i="73"/>
  <c r="CN118" i="55"/>
  <c r="BY8" i="73"/>
  <c r="BB60" i="3"/>
  <c r="BB198" i="73"/>
  <c r="BB33" i="3"/>
  <c r="BB19" i="3"/>
  <c r="BB28" i="73"/>
  <c r="BC37" i="55"/>
  <c r="BA39" i="73"/>
  <c r="BA152" i="73"/>
  <c r="BA157" i="73" s="1"/>
  <c r="BE34" i="55"/>
  <c r="BF31" i="55"/>
  <c r="BE108" i="55"/>
  <c r="BE35" i="55" s="1"/>
  <c r="BB47" i="73"/>
  <c r="BA127" i="55" l="1"/>
  <c r="BA150" i="73" s="1"/>
  <c r="BA155" i="73"/>
  <c r="BA118" i="55"/>
  <c r="BB126" i="55"/>
  <c r="BB149" i="73" s="1"/>
  <c r="BB27" i="55"/>
  <c r="BB28" i="55"/>
  <c r="BD29" i="55"/>
  <c r="BC26" i="55"/>
  <c r="BY26" i="55" s="1"/>
  <c r="CN44" i="73"/>
  <c r="CN53" i="73"/>
  <c r="CN54" i="73" s="1"/>
  <c r="BC113" i="55"/>
  <c r="BC130" i="73"/>
  <c r="BA123" i="55"/>
  <c r="BA83" i="3"/>
  <c r="BA84" i="3" s="1"/>
  <c r="BB11" i="3"/>
  <c r="BB83" i="3" s="1"/>
  <c r="BB104" i="3"/>
  <c r="BC104" i="3" s="1"/>
  <c r="BY104" i="3" s="1"/>
  <c r="CN33" i="3"/>
  <c r="AZ118" i="3"/>
  <c r="CN60" i="3"/>
  <c r="CN113" i="3"/>
  <c r="CN118" i="3" s="1"/>
  <c r="BY148" i="73"/>
  <c r="BY130" i="73" s="1"/>
  <c r="BB82" i="55"/>
  <c r="BB83" i="55"/>
  <c r="BD84" i="55"/>
  <c r="BC81" i="55"/>
  <c r="BB43" i="73"/>
  <c r="BB65" i="73" s="1"/>
  <c r="BC47" i="73"/>
  <c r="BY47" i="73" s="1"/>
  <c r="BD37" i="55"/>
  <c r="CO37" i="55" s="1"/>
  <c r="BC28" i="73"/>
  <c r="BY28" i="73" s="1"/>
  <c r="BE109" i="55"/>
  <c r="BE24" i="55"/>
  <c r="BE111" i="55"/>
  <c r="BE79" i="55"/>
  <c r="BE13" i="55"/>
  <c r="BE121" i="55"/>
  <c r="BE8" i="73"/>
  <c r="BC38" i="55"/>
  <c r="BC39" i="55"/>
  <c r="BY37" i="55"/>
  <c r="BB29" i="73"/>
  <c r="BB38" i="73"/>
  <c r="BC70" i="3"/>
  <c r="BC80" i="3" s="1"/>
  <c r="BA153" i="73"/>
  <c r="BA158" i="73" s="1"/>
  <c r="BA54" i="73"/>
  <c r="BD11" i="73"/>
  <c r="BD10" i="73"/>
  <c r="BD32" i="73" s="1"/>
  <c r="BD51" i="2"/>
  <c r="BD11" i="2" s="1"/>
  <c r="BD19" i="3" s="1"/>
  <c r="CO19" i="3" s="1"/>
  <c r="BD66" i="3"/>
  <c r="BD28" i="3" s="1"/>
  <c r="BD148" i="73"/>
  <c r="BD130" i="73" s="1"/>
  <c r="CO121" i="55"/>
  <c r="CN150" i="73"/>
  <c r="CN129" i="55"/>
  <c r="BY11" i="2"/>
  <c r="BA129" i="55"/>
  <c r="BA160" i="73"/>
  <c r="BA23" i="73"/>
  <c r="BF34" i="55"/>
  <c r="BF108" i="55"/>
  <c r="BF35" i="55" s="1"/>
  <c r="BG31" i="55"/>
  <c r="BZ31" i="55" s="1"/>
  <c r="BY60" i="3"/>
  <c r="BY66" i="3"/>
  <c r="BY68" i="3" s="1"/>
  <c r="BY33" i="3"/>
  <c r="BY19" i="3"/>
  <c r="BY113" i="55"/>
  <c r="BY11" i="73"/>
  <c r="BY51" i="2"/>
  <c r="BY48" i="2" s="1"/>
  <c r="BA118" i="3"/>
  <c r="BB113" i="3"/>
  <c r="CO113" i="55"/>
  <c r="CO51" i="2"/>
  <c r="CO48" i="2" s="1"/>
  <c r="CO11" i="73"/>
  <c r="BC198" i="73"/>
  <c r="BC60" i="3"/>
  <c r="BC33" i="3"/>
  <c r="BA124" i="55" l="1"/>
  <c r="BB118" i="55"/>
  <c r="BB127" i="55"/>
  <c r="BB150" i="73" s="1"/>
  <c r="CN66" i="73"/>
  <c r="CN154" i="73" s="1"/>
  <c r="CN155" i="73" s="1"/>
  <c r="BC27" i="55"/>
  <c r="BC28" i="55"/>
  <c r="BD26" i="55"/>
  <c r="BY29" i="55"/>
  <c r="BY28" i="55"/>
  <c r="CN153" i="73"/>
  <c r="CN158" i="73" s="1"/>
  <c r="BB123" i="55"/>
  <c r="BC196" i="73"/>
  <c r="BC11" i="3"/>
  <c r="AZ200" i="73"/>
  <c r="CN200" i="73" s="1"/>
  <c r="BC82" i="55"/>
  <c r="BC83" i="55"/>
  <c r="BY81" i="55"/>
  <c r="BY126" i="55" s="1"/>
  <c r="BY127" i="55" s="1"/>
  <c r="BC126" i="55"/>
  <c r="BC118" i="55" s="1"/>
  <c r="BD81" i="55"/>
  <c r="BE84" i="55"/>
  <c r="BD28" i="73"/>
  <c r="CO32" i="73"/>
  <c r="BZ34" i="55"/>
  <c r="BZ108" i="55"/>
  <c r="BZ35" i="55" s="1"/>
  <c r="BF24" i="55"/>
  <c r="BF13" i="55"/>
  <c r="BF111" i="55"/>
  <c r="BF79" i="55"/>
  <c r="BF121" i="55"/>
  <c r="BF109" i="55"/>
  <c r="BF8" i="73"/>
  <c r="BA71" i="73"/>
  <c r="BA18" i="73"/>
  <c r="BD104" i="3"/>
  <c r="BB84" i="3"/>
  <c r="BB129" i="55"/>
  <c r="BB23" i="73"/>
  <c r="BD60" i="3"/>
  <c r="BD198" i="73"/>
  <c r="BD33" i="3"/>
  <c r="BD113" i="3"/>
  <c r="CO28" i="3"/>
  <c r="CO11" i="2"/>
  <c r="CO44" i="2" s="1"/>
  <c r="BY30" i="73"/>
  <c r="BY38" i="73"/>
  <c r="BB39" i="73"/>
  <c r="BB152" i="73"/>
  <c r="BB157" i="73" s="1"/>
  <c r="CO40" i="55"/>
  <c r="BE10" i="73"/>
  <c r="BE32" i="73" s="1"/>
  <c r="BE11" i="73"/>
  <c r="BE148" i="73"/>
  <c r="BE130" i="73" s="1"/>
  <c r="BE51" i="2"/>
  <c r="BE11" i="2" s="1"/>
  <c r="BE19" i="3" s="1"/>
  <c r="BE66" i="3"/>
  <c r="BE28" i="3" s="1"/>
  <c r="BF40" i="55"/>
  <c r="BE37" i="55"/>
  <c r="BC43" i="73"/>
  <c r="BC65" i="73" s="1"/>
  <c r="BD47" i="73"/>
  <c r="BC113" i="3"/>
  <c r="BB118" i="3"/>
  <c r="BY198" i="73"/>
  <c r="CO104" i="3"/>
  <c r="BG34" i="55"/>
  <c r="BG108" i="55"/>
  <c r="BH31" i="55"/>
  <c r="CP31" i="55" s="1"/>
  <c r="BA130" i="55"/>
  <c r="BA161" i="73"/>
  <c r="BA200" i="73"/>
  <c r="BY44" i="2"/>
  <c r="BD113" i="55"/>
  <c r="CO148" i="73"/>
  <c r="CO130" i="73" s="1"/>
  <c r="BY70" i="3"/>
  <c r="BD70" i="3"/>
  <c r="BD80" i="3" s="1"/>
  <c r="BD196" i="73" s="1"/>
  <c r="BY40" i="55"/>
  <c r="BY39" i="55"/>
  <c r="BC29" i="73"/>
  <c r="BC38" i="73"/>
  <c r="BD39" i="55"/>
  <c r="BD38" i="55"/>
  <c r="BB44" i="73"/>
  <c r="BB53" i="73"/>
  <c r="BB124" i="55" l="1"/>
  <c r="CN160" i="73"/>
  <c r="CN130" i="55" s="1"/>
  <c r="BD126" i="55"/>
  <c r="BD149" i="73" s="1"/>
  <c r="BE26" i="55"/>
  <c r="BD28" i="55"/>
  <c r="BD27" i="55"/>
  <c r="CO26" i="55"/>
  <c r="CO29" i="55" s="1"/>
  <c r="BY196" i="73"/>
  <c r="CO196" i="73"/>
  <c r="BD11" i="3"/>
  <c r="BD123" i="55" s="1"/>
  <c r="BC83" i="3"/>
  <c r="BC84" i="3" s="1"/>
  <c r="BC123" i="55"/>
  <c r="BC124" i="55" s="1"/>
  <c r="CN161" i="73"/>
  <c r="BC149" i="73"/>
  <c r="BC129" i="55" s="1"/>
  <c r="BC127" i="55"/>
  <c r="BC150" i="73" s="1"/>
  <c r="BD82" i="55"/>
  <c r="BD83" i="55"/>
  <c r="BY84" i="55"/>
  <c r="BY83" i="55"/>
  <c r="BE81" i="55"/>
  <c r="BF84" i="55"/>
  <c r="CO81" i="55"/>
  <c r="BY43" i="73"/>
  <c r="BY65" i="73" s="1"/>
  <c r="BE28" i="73"/>
  <c r="CP34" i="55"/>
  <c r="CP108" i="55"/>
  <c r="CP35" i="55" s="1"/>
  <c r="CO70" i="3"/>
  <c r="BE70" i="3"/>
  <c r="BE80" i="3" s="1"/>
  <c r="BE196" i="73" s="1"/>
  <c r="BB54" i="73"/>
  <c r="BB153" i="73"/>
  <c r="BB158" i="73" s="1"/>
  <c r="BC39" i="73"/>
  <c r="BC152" i="73"/>
  <c r="BC157" i="73" s="1"/>
  <c r="BY118" i="55"/>
  <c r="BH34" i="55"/>
  <c r="BI31" i="55"/>
  <c r="BH108" i="55"/>
  <c r="BH35" i="55" s="1"/>
  <c r="BC44" i="73"/>
  <c r="BC53" i="73"/>
  <c r="BF37" i="55"/>
  <c r="BG40" i="55"/>
  <c r="BE113" i="55"/>
  <c r="BY152" i="73"/>
  <c r="BY157" i="73" s="1"/>
  <c r="BY39" i="73"/>
  <c r="BD118" i="3"/>
  <c r="BE113" i="3"/>
  <c r="BE104" i="3"/>
  <c r="BA13" i="73"/>
  <c r="BA52" i="2"/>
  <c r="BF10" i="73"/>
  <c r="BF32" i="73" s="1"/>
  <c r="BF148" i="73"/>
  <c r="BF130" i="73" s="1"/>
  <c r="BF11" i="73"/>
  <c r="BF66" i="3"/>
  <c r="BF28" i="3" s="1"/>
  <c r="BF51" i="2"/>
  <c r="BF11" i="2" s="1"/>
  <c r="BD29" i="73"/>
  <c r="BD38" i="73"/>
  <c r="CO28" i="73"/>
  <c r="BG109" i="55"/>
  <c r="BG121" i="55"/>
  <c r="BZ121" i="55" s="1"/>
  <c r="BG79" i="55"/>
  <c r="BG13" i="55"/>
  <c r="BG111" i="55"/>
  <c r="BG24" i="55"/>
  <c r="BG8" i="73"/>
  <c r="BG35" i="55"/>
  <c r="BY113" i="3"/>
  <c r="BY118" i="3" s="1"/>
  <c r="BC118" i="3"/>
  <c r="BD43" i="73"/>
  <c r="BE47" i="73"/>
  <c r="CO47" i="73"/>
  <c r="BE38" i="55"/>
  <c r="BE39" i="55"/>
  <c r="BE60" i="3"/>
  <c r="BE198" i="73"/>
  <c r="BE33" i="3"/>
  <c r="BB66" i="73"/>
  <c r="BB154" i="73" s="1"/>
  <c r="CO33" i="3"/>
  <c r="CO66" i="3"/>
  <c r="CO68" i="3" s="1"/>
  <c r="CO60" i="3"/>
  <c r="CO113" i="3"/>
  <c r="CO118" i="3" s="1"/>
  <c r="BB24" i="73"/>
  <c r="BB18" i="73"/>
  <c r="BA72" i="73"/>
  <c r="BA83" i="73"/>
  <c r="CN13" i="73"/>
  <c r="BZ24" i="55"/>
  <c r="BZ57" i="55"/>
  <c r="BZ79" i="55"/>
  <c r="BZ46" i="55"/>
  <c r="BZ68" i="55"/>
  <c r="BZ13" i="55"/>
  <c r="BZ111" i="55"/>
  <c r="CO198" i="73"/>
  <c r="BD127" i="55" l="1"/>
  <c r="BD150" i="73" s="1"/>
  <c r="BD118" i="55"/>
  <c r="CO118" i="55" s="1"/>
  <c r="BE126" i="55"/>
  <c r="BE149" i="73" s="1"/>
  <c r="BE28" i="55"/>
  <c r="BE27" i="55"/>
  <c r="BF26" i="55"/>
  <c r="CO11" i="3"/>
  <c r="CO96" i="3" s="1"/>
  <c r="BE11" i="3"/>
  <c r="BE123" i="55" s="1"/>
  <c r="BD83" i="3"/>
  <c r="BD84" i="3" s="1"/>
  <c r="BD96" i="3"/>
  <c r="BC23" i="73"/>
  <c r="BC24" i="73" s="1"/>
  <c r="BY45" i="73"/>
  <c r="CO149" i="73"/>
  <c r="CO150" i="73" s="1"/>
  <c r="BY53" i="73"/>
  <c r="BY153" i="73" s="1"/>
  <c r="BY158" i="73" s="1"/>
  <c r="BY44" i="73"/>
  <c r="CO84" i="55"/>
  <c r="CO126" i="55"/>
  <c r="CO127" i="55" s="1"/>
  <c r="BE83" i="55"/>
  <c r="BE82" i="55"/>
  <c r="BG84" i="55"/>
  <c r="BF81" i="55"/>
  <c r="BB71" i="73"/>
  <c r="BF28" i="73"/>
  <c r="CN18" i="73"/>
  <c r="CN20" i="73"/>
  <c r="BA89" i="73"/>
  <c r="BA99" i="73" s="1"/>
  <c r="BB52" i="2"/>
  <c r="BB13" i="73"/>
  <c r="BB155" i="73"/>
  <c r="BB160" i="73"/>
  <c r="BD44" i="73"/>
  <c r="BD53" i="73"/>
  <c r="BD66" i="73" s="1"/>
  <c r="BD154" i="73" s="1"/>
  <c r="CO43" i="73"/>
  <c r="CO65" i="73" s="1"/>
  <c r="BG10" i="73"/>
  <c r="BG32" i="73" s="1"/>
  <c r="BG11" i="73"/>
  <c r="BG148" i="73"/>
  <c r="BG51" i="2"/>
  <c r="BG11" i="2" s="1"/>
  <c r="BG19" i="3" s="1"/>
  <c r="BG66" i="3"/>
  <c r="BG28" i="3" s="1"/>
  <c r="BZ28" i="3" s="1"/>
  <c r="CN23" i="2"/>
  <c r="BZ8" i="73"/>
  <c r="BF60" i="3"/>
  <c r="BF198" i="73"/>
  <c r="BF33" i="3"/>
  <c r="BA12" i="2"/>
  <c r="BA23" i="2"/>
  <c r="BF19" i="3"/>
  <c r="BF104" i="3" s="1"/>
  <c r="BF38" i="55"/>
  <c r="BF39" i="55"/>
  <c r="BI34" i="55"/>
  <c r="BJ31" i="55"/>
  <c r="BI108" i="55"/>
  <c r="BI35" i="55" s="1"/>
  <c r="BF70" i="3"/>
  <c r="BF80" i="3" s="1"/>
  <c r="BF196" i="73" s="1"/>
  <c r="BE29" i="73"/>
  <c r="BE38" i="73"/>
  <c r="BE43" i="73"/>
  <c r="BF47" i="73"/>
  <c r="CO123" i="55"/>
  <c r="CO29" i="73"/>
  <c r="CO30" i="73"/>
  <c r="CO38" i="73"/>
  <c r="BD152" i="73"/>
  <c r="BD157" i="73" s="1"/>
  <c r="BD39" i="73"/>
  <c r="BD65" i="73"/>
  <c r="CN12" i="2"/>
  <c r="BF113" i="55"/>
  <c r="BA20" i="73"/>
  <c r="BE118" i="3"/>
  <c r="BF113" i="3"/>
  <c r="BG37" i="55"/>
  <c r="BH40" i="55"/>
  <c r="BC54" i="73"/>
  <c r="BC153" i="73"/>
  <c r="BC158" i="73" s="1"/>
  <c r="BH79" i="55"/>
  <c r="BH109" i="55"/>
  <c r="BH13" i="55"/>
  <c r="BH111" i="55"/>
  <c r="BH24" i="55"/>
  <c r="BH121" i="55"/>
  <c r="BH8" i="73"/>
  <c r="CP8" i="73" s="1"/>
  <c r="BC66" i="73"/>
  <c r="BC154" i="73" s="1"/>
  <c r="BD129" i="55"/>
  <c r="BD23" i="73"/>
  <c r="CP111" i="55"/>
  <c r="CP13" i="55"/>
  <c r="CP79" i="55"/>
  <c r="CP24" i="55"/>
  <c r="BA20" i="3" l="1"/>
  <c r="BD155" i="73"/>
  <c r="BE127" i="55"/>
  <c r="BE150" i="73" s="1"/>
  <c r="BF126" i="55"/>
  <c r="BF127" i="55" s="1"/>
  <c r="BF150" i="73" s="1"/>
  <c r="BD124" i="55"/>
  <c r="BE118" i="55"/>
  <c r="BE124" i="55" s="1"/>
  <c r="BH29" i="55"/>
  <c r="BG26" i="55"/>
  <c r="BZ26" i="55" s="1"/>
  <c r="BF27" i="55"/>
  <c r="BF28" i="55"/>
  <c r="BF11" i="3"/>
  <c r="BF83" i="3" s="1"/>
  <c r="AZ106" i="73"/>
  <c r="BB72" i="73"/>
  <c r="BE83" i="3"/>
  <c r="BE84" i="3" s="1"/>
  <c r="BE96" i="3"/>
  <c r="CO83" i="3"/>
  <c r="CO81" i="3" s="1"/>
  <c r="CO80" i="3" s="1"/>
  <c r="CO84" i="3" s="1"/>
  <c r="BG113" i="55"/>
  <c r="BG130" i="73"/>
  <c r="BC18" i="73"/>
  <c r="BC13" i="73" s="1"/>
  <c r="BY13" i="73" s="1"/>
  <c r="BY66" i="73"/>
  <c r="BY154" i="73" s="1"/>
  <c r="BY155" i="73" s="1"/>
  <c r="CO129" i="55"/>
  <c r="BY54" i="73"/>
  <c r="BZ148" i="73"/>
  <c r="BD160" i="73"/>
  <c r="BD200" i="73" s="1"/>
  <c r="BG104" i="3"/>
  <c r="BZ104" i="3" s="1"/>
  <c r="BG81" i="55"/>
  <c r="BG126" i="55" s="1"/>
  <c r="BH84" i="55"/>
  <c r="BF82" i="55"/>
  <c r="BF83" i="55"/>
  <c r="BZ81" i="55"/>
  <c r="BB83" i="73"/>
  <c r="BB89" i="73" s="1"/>
  <c r="BB99" i="73" s="1"/>
  <c r="CP11" i="73"/>
  <c r="CP113" i="55"/>
  <c r="CP51" i="2"/>
  <c r="CP48" i="2" s="1"/>
  <c r="BG28" i="73"/>
  <c r="BZ28" i="73" s="1"/>
  <c r="BZ32" i="73"/>
  <c r="BD24" i="73"/>
  <c r="BD71" i="73"/>
  <c r="BD18" i="73"/>
  <c r="BC155" i="73"/>
  <c r="BC160" i="73"/>
  <c r="BC71" i="73"/>
  <c r="BG39" i="55"/>
  <c r="BG38" i="55"/>
  <c r="CO39" i="73"/>
  <c r="CO152" i="73"/>
  <c r="BF43" i="73"/>
  <c r="BF65" i="73" s="1"/>
  <c r="BG47" i="73"/>
  <c r="BE39" i="73"/>
  <c r="BE152" i="73"/>
  <c r="BE157" i="73" s="1"/>
  <c r="CO124" i="55"/>
  <c r="BI79" i="55"/>
  <c r="BI13" i="55"/>
  <c r="BI109" i="55"/>
  <c r="BI24" i="55"/>
  <c r="BI111" i="55"/>
  <c r="BI121" i="55"/>
  <c r="BI8" i="73"/>
  <c r="BZ37" i="55"/>
  <c r="BZ19" i="3"/>
  <c r="BA49" i="2"/>
  <c r="BA29" i="2"/>
  <c r="BA21" i="3"/>
  <c r="BA59" i="3" s="1"/>
  <c r="BZ113" i="55"/>
  <c r="BZ11" i="73"/>
  <c r="BZ51" i="2"/>
  <c r="BZ48" i="2" s="1"/>
  <c r="CO44" i="73"/>
  <c r="CO53" i="73"/>
  <c r="CO45" i="73"/>
  <c r="BD153" i="73"/>
  <c r="BD158" i="73" s="1"/>
  <c r="BD54" i="73"/>
  <c r="BB161" i="73"/>
  <c r="BB130" i="55"/>
  <c r="BB200" i="73"/>
  <c r="BB20" i="73"/>
  <c r="BA164" i="73"/>
  <c r="CN21" i="73"/>
  <c r="CN68" i="73"/>
  <c r="BF29" i="73"/>
  <c r="BF38" i="73"/>
  <c r="BH11" i="73"/>
  <c r="BH10" i="73"/>
  <c r="BH32" i="73" s="1"/>
  <c r="BH148" i="73"/>
  <c r="BH130" i="73" s="1"/>
  <c r="BH51" i="2"/>
  <c r="BH11" i="2" s="1"/>
  <c r="BH19" i="3" s="1"/>
  <c r="BH66" i="3"/>
  <c r="BH28" i="3" s="1"/>
  <c r="CP28" i="3" s="1"/>
  <c r="BH37" i="55"/>
  <c r="BI40" i="55"/>
  <c r="BF118" i="3"/>
  <c r="BG113" i="3"/>
  <c r="BA21" i="73"/>
  <c r="BA68" i="73"/>
  <c r="CN20" i="3"/>
  <c r="AZ105" i="3"/>
  <c r="BA105" i="3" s="1"/>
  <c r="AZ59" i="3"/>
  <c r="BE44" i="73"/>
  <c r="BE53" i="73"/>
  <c r="BE65" i="73"/>
  <c r="BZ33" i="3"/>
  <c r="BZ66" i="3"/>
  <c r="BZ68" i="3" s="1"/>
  <c r="BZ60" i="3"/>
  <c r="BG70" i="3"/>
  <c r="BG80" i="3" s="1"/>
  <c r="BG196" i="73" s="1"/>
  <c r="BJ34" i="55"/>
  <c r="BJ108" i="55"/>
  <c r="BK31" i="55"/>
  <c r="CA31" i="55" s="1"/>
  <c r="CN21" i="3"/>
  <c r="CN106" i="3" s="1"/>
  <c r="AZ106" i="3"/>
  <c r="CN49" i="2"/>
  <c r="CN29" i="2"/>
  <c r="CP121" i="55"/>
  <c r="BG198" i="73"/>
  <c r="BG60" i="3"/>
  <c r="BG33" i="3"/>
  <c r="BZ11" i="2"/>
  <c r="BE129" i="55"/>
  <c r="BE23" i="73"/>
  <c r="BB23" i="2"/>
  <c r="BB12" i="2"/>
  <c r="BA102" i="73"/>
  <c r="BA107" i="73"/>
  <c r="CN52" i="2"/>
  <c r="CN46" i="2" s="1"/>
  <c r="CN45" i="2" s="1"/>
  <c r="CN23" i="73"/>
  <c r="BF123" i="55" l="1"/>
  <c r="BF118" i="55"/>
  <c r="BF149" i="73"/>
  <c r="BF23" i="73" s="1"/>
  <c r="BA166" i="73"/>
  <c r="BA167" i="73" s="1"/>
  <c r="BG27" i="55"/>
  <c r="BG28" i="55"/>
  <c r="BZ29" i="55"/>
  <c r="BZ28" i="55"/>
  <c r="BH26" i="55"/>
  <c r="BI29" i="55"/>
  <c r="BF96" i="3"/>
  <c r="BZ196" i="73"/>
  <c r="BZ130" i="73"/>
  <c r="BG11" i="3"/>
  <c r="BG123" i="55" s="1"/>
  <c r="BC52" i="2"/>
  <c r="BC23" i="2" s="1"/>
  <c r="BA106" i="3"/>
  <c r="BD130" i="55"/>
  <c r="BD161" i="73"/>
  <c r="BZ83" i="55"/>
  <c r="BZ84" i="55"/>
  <c r="BG83" i="55"/>
  <c r="BG82" i="55"/>
  <c r="BI84" i="55"/>
  <c r="BH81" i="55"/>
  <c r="BZ44" i="2"/>
  <c r="BH28" i="73"/>
  <c r="CP28" i="73" s="1"/>
  <c r="CP32" i="73"/>
  <c r="CN24" i="73"/>
  <c r="CN71" i="73"/>
  <c r="BE24" i="73"/>
  <c r="BE18" i="73"/>
  <c r="BH104" i="3"/>
  <c r="CP60" i="3"/>
  <c r="CP66" i="3"/>
  <c r="CP68" i="3" s="1"/>
  <c r="CP33" i="3"/>
  <c r="CP113" i="3"/>
  <c r="CP118" i="3" s="1"/>
  <c r="BB20" i="3"/>
  <c r="BB105" i="3" s="1"/>
  <c r="BK34" i="55"/>
  <c r="BK108" i="55"/>
  <c r="BK35" i="55" s="1"/>
  <c r="BZ70" i="3"/>
  <c r="BH70" i="3"/>
  <c r="BH80" i="3" s="1"/>
  <c r="BE153" i="73"/>
  <c r="BE158" i="73" s="1"/>
  <c r="BE54" i="73"/>
  <c r="BA69" i="73"/>
  <c r="BA82" i="73"/>
  <c r="BG118" i="3"/>
  <c r="BZ113" i="3"/>
  <c r="BZ118" i="3" s="1"/>
  <c r="BI37" i="55"/>
  <c r="BJ40" i="55"/>
  <c r="BH198" i="73"/>
  <c r="CP198" i="73" s="1"/>
  <c r="BH60" i="3"/>
  <c r="BH33" i="3"/>
  <c r="BH113" i="3"/>
  <c r="CP11" i="2"/>
  <c r="CP44" i="2" s="1"/>
  <c r="BH113" i="55"/>
  <c r="CP148" i="73"/>
  <c r="CP130" i="73" s="1"/>
  <c r="BZ30" i="73"/>
  <c r="BZ38" i="73"/>
  <c r="BB164" i="73"/>
  <c r="BB166" i="73" s="1"/>
  <c r="BB167" i="73" s="1"/>
  <c r="CN69" i="73"/>
  <c r="CN82" i="73"/>
  <c r="BY18" i="73"/>
  <c r="BY20" i="73"/>
  <c r="BY29" i="73"/>
  <c r="CO54" i="73"/>
  <c r="CO153" i="73"/>
  <c r="BE66" i="73"/>
  <c r="BE154" i="73" s="1"/>
  <c r="BF44" i="73"/>
  <c r="BF53" i="73"/>
  <c r="BF66" i="73" s="1"/>
  <c r="BF154" i="73" s="1"/>
  <c r="CO66" i="73"/>
  <c r="CO154" i="73" s="1"/>
  <c r="BF84" i="3"/>
  <c r="BG127" i="55"/>
  <c r="BG150" i="73" s="1"/>
  <c r="BG149" i="73"/>
  <c r="BG118" i="55"/>
  <c r="BC20" i="73"/>
  <c r="BD72" i="73"/>
  <c r="BD83" i="73"/>
  <c r="BG29" i="73"/>
  <c r="BG38" i="73"/>
  <c r="BB49" i="2"/>
  <c r="BB21" i="3"/>
  <c r="BB29" i="2"/>
  <c r="CN47" i="2"/>
  <c r="BZ198" i="73"/>
  <c r="BF124" i="55"/>
  <c r="CA34" i="55"/>
  <c r="CA108" i="55"/>
  <c r="BJ79" i="55"/>
  <c r="BJ111" i="55"/>
  <c r="BJ121" i="55"/>
  <c r="BJ13" i="55"/>
  <c r="BJ24" i="55"/>
  <c r="BJ109" i="55"/>
  <c r="BJ8" i="73"/>
  <c r="BJ35" i="55"/>
  <c r="CN105" i="3"/>
  <c r="CN59" i="3"/>
  <c r="BH39" i="55"/>
  <c r="BH38" i="55"/>
  <c r="BF39" i="73"/>
  <c r="BF152" i="73"/>
  <c r="BF157" i="73" s="1"/>
  <c r="BB107" i="73"/>
  <c r="BB102" i="73"/>
  <c r="BB21" i="73"/>
  <c r="BB68" i="73"/>
  <c r="CP19" i="3"/>
  <c r="BZ40" i="55"/>
  <c r="BZ39" i="55"/>
  <c r="BZ126" i="55"/>
  <c r="BZ127" i="55" s="1"/>
  <c r="BI10" i="73"/>
  <c r="BI32" i="73" s="1"/>
  <c r="BI11" i="73"/>
  <c r="BI148" i="73"/>
  <c r="BI51" i="2"/>
  <c r="BI11" i="2" s="1"/>
  <c r="BI66" i="3"/>
  <c r="BI28" i="3" s="1"/>
  <c r="BG43" i="73"/>
  <c r="BG65" i="73" s="1"/>
  <c r="BH47" i="73"/>
  <c r="CP47" i="73" s="1"/>
  <c r="BZ47" i="73"/>
  <c r="CO157" i="73"/>
  <c r="CP37" i="55"/>
  <c r="BC72" i="73"/>
  <c r="BC83" i="73"/>
  <c r="BC161" i="73"/>
  <c r="BC200" i="73"/>
  <c r="CO200" i="73" s="1"/>
  <c r="BC130" i="55"/>
  <c r="BD13" i="73"/>
  <c r="BD52" i="2"/>
  <c r="BB106" i="73" l="1"/>
  <c r="BA106" i="73"/>
  <c r="BF129" i="55"/>
  <c r="BF155" i="73"/>
  <c r="BH126" i="55"/>
  <c r="BH127" i="55" s="1"/>
  <c r="BH150" i="73" s="1"/>
  <c r="BJ29" i="55"/>
  <c r="BI26" i="55"/>
  <c r="BH27" i="55"/>
  <c r="BH28" i="55"/>
  <c r="CP26" i="55"/>
  <c r="CP29" i="55" s="1"/>
  <c r="BC12" i="2"/>
  <c r="BY12" i="2" s="1"/>
  <c r="BG96" i="3"/>
  <c r="BZ96" i="3" s="1"/>
  <c r="BZ11" i="3"/>
  <c r="BZ83" i="3" s="1"/>
  <c r="BZ81" i="3" s="1"/>
  <c r="BZ80" i="3" s="1"/>
  <c r="BZ84" i="3" s="1"/>
  <c r="BG83" i="3"/>
  <c r="BG84" i="3" s="1"/>
  <c r="BH196" i="73"/>
  <c r="BH11" i="3"/>
  <c r="BI113" i="55"/>
  <c r="BI130" i="73"/>
  <c r="BB106" i="3"/>
  <c r="BG124" i="55"/>
  <c r="BH82" i="55"/>
  <c r="BH83" i="55"/>
  <c r="CP81" i="55"/>
  <c r="CP84" i="55" s="1"/>
  <c r="BJ84" i="55"/>
  <c r="BI81" i="55"/>
  <c r="BI28" i="73"/>
  <c r="BD23" i="2"/>
  <c r="BD12" i="2"/>
  <c r="BD20" i="3" s="1"/>
  <c r="BI60" i="3"/>
  <c r="BI198" i="73"/>
  <c r="BI33" i="3"/>
  <c r="BD20" i="73"/>
  <c r="BC89" i="73"/>
  <c r="BC99" i="73" s="1"/>
  <c r="BC49" i="2"/>
  <c r="BC21" i="3"/>
  <c r="BY21" i="3" s="1"/>
  <c r="BC29" i="2"/>
  <c r="BY23" i="2"/>
  <c r="BH43" i="73"/>
  <c r="CP43" i="73" s="1"/>
  <c r="CP65" i="73" s="1"/>
  <c r="BI47" i="73"/>
  <c r="CP104" i="3"/>
  <c r="BB69" i="73"/>
  <c r="BB82" i="73"/>
  <c r="BJ10" i="73"/>
  <c r="BJ32" i="73" s="1"/>
  <c r="BJ11" i="73"/>
  <c r="BJ148" i="73"/>
  <c r="BJ51" i="2"/>
  <c r="BJ11" i="2" s="1"/>
  <c r="BJ66" i="3"/>
  <c r="BJ28" i="3" s="1"/>
  <c r="CA57" i="55"/>
  <c r="CA79" i="55"/>
  <c r="CA13" i="55"/>
  <c r="CA24" i="55"/>
  <c r="CA68" i="55"/>
  <c r="CA46" i="55"/>
  <c r="CA111" i="55"/>
  <c r="CA35" i="55"/>
  <c r="BZ118" i="55"/>
  <c r="CP29" i="73"/>
  <c r="CP30" i="73"/>
  <c r="CP38" i="73"/>
  <c r="BC21" i="73"/>
  <c r="BC68" i="73"/>
  <c r="BG129" i="55"/>
  <c r="BG23" i="73"/>
  <c r="CO155" i="73"/>
  <c r="CO160" i="73"/>
  <c r="BY200" i="73"/>
  <c r="BY52" i="2"/>
  <c r="BY23" i="73"/>
  <c r="CN85" i="73"/>
  <c r="CN92" i="73" s="1"/>
  <c r="CN104" i="73" s="1"/>
  <c r="BZ39" i="73"/>
  <c r="BZ152" i="73"/>
  <c r="BJ37" i="55"/>
  <c r="BK40" i="55"/>
  <c r="BK37" i="55" s="1"/>
  <c r="BA85" i="73"/>
  <c r="CP70" i="3"/>
  <c r="BI70" i="3"/>
  <c r="BI80" i="3" s="1"/>
  <c r="BK109" i="55"/>
  <c r="BK111" i="55"/>
  <c r="BK121" i="55"/>
  <c r="CA121" i="55" s="1"/>
  <c r="BK13" i="55"/>
  <c r="BK79" i="55"/>
  <c r="BK24" i="55"/>
  <c r="BK8" i="73"/>
  <c r="CA8" i="73" s="1"/>
  <c r="BF160" i="73"/>
  <c r="BE13" i="73"/>
  <c r="BE52" i="2"/>
  <c r="BZ123" i="55"/>
  <c r="CP40" i="55"/>
  <c r="BG44" i="73"/>
  <c r="BG53" i="73"/>
  <c r="BG66" i="73" s="1"/>
  <c r="BG154" i="73" s="1"/>
  <c r="BZ43" i="73"/>
  <c r="BG152" i="73"/>
  <c r="BG157" i="73" s="1"/>
  <c r="BG39" i="73"/>
  <c r="BD89" i="73"/>
  <c r="BD99" i="73" s="1"/>
  <c r="CO13" i="73"/>
  <c r="BF153" i="73"/>
  <c r="BF158" i="73" s="1"/>
  <c r="BF54" i="73"/>
  <c r="BE155" i="73"/>
  <c r="BE160" i="73"/>
  <c r="CO158" i="73"/>
  <c r="BY21" i="73"/>
  <c r="BY68" i="73"/>
  <c r="AZ182" i="73"/>
  <c r="AZ174" i="73"/>
  <c r="AZ9" i="3"/>
  <c r="AZ25" i="3" s="1"/>
  <c r="AZ49" i="3" s="1"/>
  <c r="AZ50" i="3" s="1"/>
  <c r="BI19" i="3"/>
  <c r="BH118" i="3"/>
  <c r="BI113" i="3"/>
  <c r="BI38" i="55"/>
  <c r="BI39" i="55"/>
  <c r="BF24" i="73"/>
  <c r="BF71" i="73"/>
  <c r="BF18" i="73"/>
  <c r="BB59" i="3"/>
  <c r="BE71" i="73"/>
  <c r="CA198" i="73"/>
  <c r="CN72" i="73"/>
  <c r="CN83" i="73"/>
  <c r="BH29" i="73"/>
  <c r="BH38" i="73"/>
  <c r="BG155" i="73" l="1"/>
  <c r="BH118" i="55"/>
  <c r="CP118" i="55" s="1"/>
  <c r="BH149" i="73"/>
  <c r="CP149" i="73" s="1"/>
  <c r="CP129" i="55" s="1"/>
  <c r="BI126" i="55"/>
  <c r="BI149" i="73" s="1"/>
  <c r="CP126" i="55"/>
  <c r="CP127" i="55" s="1"/>
  <c r="BI27" i="55"/>
  <c r="BI28" i="55"/>
  <c r="BK29" i="55"/>
  <c r="BK26" i="55" s="1"/>
  <c r="BJ26" i="55"/>
  <c r="BC20" i="3"/>
  <c r="BY20" i="3" s="1"/>
  <c r="BI196" i="73"/>
  <c r="BI11" i="3"/>
  <c r="BJ113" i="55"/>
  <c r="BJ130" i="73"/>
  <c r="CP11" i="3"/>
  <c r="BH123" i="55"/>
  <c r="CP123" i="55" s="1"/>
  <c r="BH83" i="3"/>
  <c r="BH84" i="3" s="1"/>
  <c r="BH96" i="3"/>
  <c r="CP196" i="73"/>
  <c r="CA196" i="73"/>
  <c r="BC106" i="3"/>
  <c r="BY106" i="3" s="1"/>
  <c r="BH65" i="73"/>
  <c r="BI82" i="55"/>
  <c r="BI83" i="55"/>
  <c r="BK84" i="55"/>
  <c r="BK81" i="55" s="1"/>
  <c r="BJ81" i="55"/>
  <c r="BJ126" i="55" s="1"/>
  <c r="BD107" i="73"/>
  <c r="BD102" i="73"/>
  <c r="CA113" i="55"/>
  <c r="CA11" i="73"/>
  <c r="CA51" i="2"/>
  <c r="CA48" i="2" s="1"/>
  <c r="BC102" i="73"/>
  <c r="BC107" i="73"/>
  <c r="BJ28" i="73"/>
  <c r="BH152" i="73"/>
  <c r="BH157" i="73" s="1"/>
  <c r="BH39" i="73"/>
  <c r="BE72" i="73"/>
  <c r="BE83" i="73"/>
  <c r="BF13" i="73"/>
  <c r="BF20" i="73" s="1"/>
  <c r="BF52" i="2"/>
  <c r="BI118" i="3"/>
  <c r="BJ113" i="3"/>
  <c r="AZ94" i="3"/>
  <c r="CN9" i="3"/>
  <c r="CN182" i="73"/>
  <c r="CO18" i="73"/>
  <c r="CO20" i="73"/>
  <c r="BZ44" i="73"/>
  <c r="BZ45" i="73"/>
  <c r="BZ53" i="73"/>
  <c r="BZ65" i="73"/>
  <c r="BG153" i="73"/>
  <c r="BG158" i="73" s="1"/>
  <c r="BG54" i="73"/>
  <c r="BE23" i="2"/>
  <c r="BE12" i="2"/>
  <c r="BE20" i="3" s="1"/>
  <c r="BI104" i="3"/>
  <c r="BA92" i="73"/>
  <c r="BJ38" i="55"/>
  <c r="BJ39" i="55"/>
  <c r="CA37" i="55"/>
  <c r="BY24" i="73"/>
  <c r="BY149" i="73"/>
  <c r="BY71" i="73"/>
  <c r="CO130" i="55"/>
  <c r="CO161" i="73"/>
  <c r="BG160" i="73"/>
  <c r="BB85" i="73"/>
  <c r="BB88" i="73" s="1"/>
  <c r="BJ47" i="73"/>
  <c r="BI43" i="73"/>
  <c r="BI65" i="73" s="1"/>
  <c r="BY46" i="2"/>
  <c r="BY45" i="2" s="1"/>
  <c r="BD29" i="2"/>
  <c r="CO23" i="2"/>
  <c r="BD49" i="2"/>
  <c r="BD21" i="3"/>
  <c r="BD59" i="3" s="1"/>
  <c r="BF72" i="73"/>
  <c r="BF83" i="73"/>
  <c r="CN63" i="2"/>
  <c r="AZ119" i="2"/>
  <c r="CN174" i="73"/>
  <c r="BY69" i="73"/>
  <c r="BY82" i="73"/>
  <c r="BE130" i="55"/>
  <c r="BE161" i="73"/>
  <c r="BE200" i="73"/>
  <c r="BD164" i="73"/>
  <c r="CP45" i="73"/>
  <c r="CP53" i="73"/>
  <c r="CP66" i="73" s="1"/>
  <c r="CP154" i="73" s="1"/>
  <c r="CP155" i="73" s="1"/>
  <c r="CP44" i="73"/>
  <c r="BE20" i="73"/>
  <c r="BF200" i="73"/>
  <c r="BF130" i="55"/>
  <c r="BF161" i="73"/>
  <c r="BK10" i="73"/>
  <c r="BK32" i="73" s="1"/>
  <c r="BK11" i="73"/>
  <c r="BK148" i="73"/>
  <c r="BK51" i="2"/>
  <c r="BK11" i="2" s="1"/>
  <c r="CA11" i="2" s="1"/>
  <c r="BK66" i="3"/>
  <c r="BK28" i="3" s="1"/>
  <c r="BJ70" i="3"/>
  <c r="BJ80" i="3" s="1"/>
  <c r="BA88" i="73"/>
  <c r="BK38" i="55"/>
  <c r="BK39" i="55"/>
  <c r="BZ157" i="73"/>
  <c r="CN88" i="73"/>
  <c r="CN89" i="73" s="1"/>
  <c r="AZ177" i="73"/>
  <c r="CN86" i="73"/>
  <c r="BG24" i="73"/>
  <c r="BG71" i="73"/>
  <c r="BG18" i="73"/>
  <c r="BC69" i="73"/>
  <c r="BC82" i="73"/>
  <c r="CP39" i="73"/>
  <c r="CP152" i="73"/>
  <c r="CP157" i="73" s="1"/>
  <c r="BZ124" i="55"/>
  <c r="BJ60" i="3"/>
  <c r="BJ198" i="73"/>
  <c r="BJ33" i="3"/>
  <c r="BJ19" i="3"/>
  <c r="BH44" i="73"/>
  <c r="BH53" i="73"/>
  <c r="BH66" i="73" s="1"/>
  <c r="BH154" i="73" s="1"/>
  <c r="BY47" i="2"/>
  <c r="BY49" i="2"/>
  <c r="BY29" i="2"/>
  <c r="BC164" i="73"/>
  <c r="BY89" i="73"/>
  <c r="BD21" i="73"/>
  <c r="BD68" i="73"/>
  <c r="BD105" i="3"/>
  <c r="CO12" i="2"/>
  <c r="BI29" i="73"/>
  <c r="BI38" i="73"/>
  <c r="BI127" i="55" l="1"/>
  <c r="BI150" i="73" s="1"/>
  <c r="BH129" i="55"/>
  <c r="CP150" i="73"/>
  <c r="BH23" i="73"/>
  <c r="BH71" i="73" s="1"/>
  <c r="BK126" i="55"/>
  <c r="BK127" i="55" s="1"/>
  <c r="BK150" i="73" s="1"/>
  <c r="BI118" i="55"/>
  <c r="BJ27" i="55"/>
  <c r="BJ28" i="55"/>
  <c r="CA26" i="55"/>
  <c r="BK27" i="55"/>
  <c r="BK28" i="55"/>
  <c r="BH124" i="55"/>
  <c r="BY59" i="3"/>
  <c r="CO20" i="3"/>
  <c r="CO105" i="3" s="1"/>
  <c r="BC105" i="3"/>
  <c r="BY105" i="3" s="1"/>
  <c r="BC59" i="3"/>
  <c r="BC166" i="73"/>
  <c r="BC167" i="73" s="1"/>
  <c r="BC106" i="73" s="1"/>
  <c r="BD166" i="73"/>
  <c r="BD167" i="73" s="1"/>
  <c r="BD106" i="73" s="1"/>
  <c r="BI96" i="3"/>
  <c r="BA63" i="2"/>
  <c r="BA119" i="2" s="1"/>
  <c r="BA96" i="73"/>
  <c r="CP124" i="55"/>
  <c r="BJ196" i="73"/>
  <c r="BJ11" i="3"/>
  <c r="BK113" i="55"/>
  <c r="BK130" i="73"/>
  <c r="BI83" i="3"/>
  <c r="BI84" i="3" s="1"/>
  <c r="BI123" i="55"/>
  <c r="CP83" i="3"/>
  <c r="CP81" i="3" s="1"/>
  <c r="CP80" i="3" s="1"/>
  <c r="CP84" i="3" s="1"/>
  <c r="CP96" i="3"/>
  <c r="CA148" i="73"/>
  <c r="CA130" i="73" s="1"/>
  <c r="CA44" i="2"/>
  <c r="CO21" i="3"/>
  <c r="CO106" i="3" s="1"/>
  <c r="BK19" i="3"/>
  <c r="CA19" i="3" s="1"/>
  <c r="BJ82" i="55"/>
  <c r="BJ83" i="55"/>
  <c r="CA81" i="55"/>
  <c r="CA126" i="55" s="1"/>
  <c r="CA127" i="55" s="1"/>
  <c r="BK82" i="55"/>
  <c r="BK83" i="55"/>
  <c r="BE105" i="3"/>
  <c r="BB92" i="73"/>
  <c r="BH155" i="73"/>
  <c r="BH160" i="73"/>
  <c r="BK28" i="73"/>
  <c r="CA28" i="73" s="1"/>
  <c r="CA32" i="73"/>
  <c r="BI152" i="73"/>
  <c r="BI157" i="73" s="1"/>
  <c r="BI39" i="73"/>
  <c r="BC85" i="73"/>
  <c r="BC92" i="73" s="1"/>
  <c r="BC96" i="73" s="1"/>
  <c r="BD69" i="73"/>
  <c r="BD82" i="73"/>
  <c r="BY164" i="73"/>
  <c r="BY166" i="73" s="1"/>
  <c r="BY167" i="73" s="1"/>
  <c r="BG72" i="73"/>
  <c r="BG83" i="73"/>
  <c r="CN177" i="73"/>
  <c r="CN178" i="73" s="1"/>
  <c r="AZ186" i="73"/>
  <c r="CN98" i="73"/>
  <c r="BA98" i="73"/>
  <c r="BA177" i="73"/>
  <c r="AZ178" i="73"/>
  <c r="AZ179" i="73" s="1"/>
  <c r="BJ43" i="73"/>
  <c r="BJ65" i="73" s="1"/>
  <c r="BK47" i="73"/>
  <c r="BB98" i="73"/>
  <c r="BB177" i="73"/>
  <c r="BB186" i="73" s="1"/>
  <c r="BG130" i="55"/>
  <c r="BG161" i="73"/>
  <c r="BG200" i="73"/>
  <c r="BZ200" i="73" s="1"/>
  <c r="BY72" i="73"/>
  <c r="BY83" i="73"/>
  <c r="BY99" i="73" s="1"/>
  <c r="BJ127" i="55"/>
  <c r="BJ150" i="73" s="1"/>
  <c r="BJ149" i="73"/>
  <c r="BJ118" i="55"/>
  <c r="BJ104" i="3"/>
  <c r="BE49" i="2"/>
  <c r="BE29" i="2"/>
  <c r="BE21" i="3"/>
  <c r="BE59" i="3" s="1"/>
  <c r="BZ54" i="73"/>
  <c r="BZ153" i="73"/>
  <c r="BZ66" i="73"/>
  <c r="BZ154" i="73" s="1"/>
  <c r="CO21" i="73"/>
  <c r="CO68" i="73"/>
  <c r="CN94" i="3"/>
  <c r="BF21" i="73"/>
  <c r="BF68" i="73"/>
  <c r="BJ29" i="73"/>
  <c r="BJ38" i="73"/>
  <c r="CP160" i="73"/>
  <c r="BH153" i="73"/>
  <c r="BH158" i="73" s="1"/>
  <c r="BH54" i="73"/>
  <c r="BG13" i="73"/>
  <c r="BZ13" i="73" s="1"/>
  <c r="BG52" i="2"/>
  <c r="CN164" i="73"/>
  <c r="CN166" i="73" s="1"/>
  <c r="CN167" i="73" s="1"/>
  <c r="CN90" i="73"/>
  <c r="BK70" i="3"/>
  <c r="BK80" i="3" s="1"/>
  <c r="BK198" i="73"/>
  <c r="BK60" i="3"/>
  <c r="BK33" i="3"/>
  <c r="CA28" i="3"/>
  <c r="BE21" i="73"/>
  <c r="BE68" i="73"/>
  <c r="CP153" i="73"/>
  <c r="CP158" i="73" s="1"/>
  <c r="CP54" i="73"/>
  <c r="BH24" i="73"/>
  <c r="BF89" i="73"/>
  <c r="BF99" i="73" s="1"/>
  <c r="BD106" i="3"/>
  <c r="CO49" i="2"/>
  <c r="CO29" i="2"/>
  <c r="BI44" i="73"/>
  <c r="BI53" i="73"/>
  <c r="BY129" i="55"/>
  <c r="BY160" i="73"/>
  <c r="BY150" i="73"/>
  <c r="CA40" i="55"/>
  <c r="CA39" i="55"/>
  <c r="BA104" i="73"/>
  <c r="BA9" i="3"/>
  <c r="BA94" i="3" s="1"/>
  <c r="BA174" i="73"/>
  <c r="BA182" i="73"/>
  <c r="CO52" i="2"/>
  <c r="CO46" i="2" s="1"/>
  <c r="CO45" i="2" s="1"/>
  <c r="CO23" i="73"/>
  <c r="BJ118" i="3"/>
  <c r="BK113" i="3"/>
  <c r="BF23" i="2"/>
  <c r="BF12" i="2"/>
  <c r="BF20" i="3" s="1"/>
  <c r="CN99" i="73"/>
  <c r="BI129" i="55"/>
  <c r="BI23" i="73"/>
  <c r="BE89" i="73"/>
  <c r="BE99" i="73" s="1"/>
  <c r="BH18" i="73" l="1"/>
  <c r="BH52" i="2" s="1"/>
  <c r="BK118" i="55"/>
  <c r="CA118" i="55" s="1"/>
  <c r="BK149" i="73"/>
  <c r="BK23" i="73" s="1"/>
  <c r="BI124" i="55"/>
  <c r="CA28" i="55"/>
  <c r="CA29" i="55"/>
  <c r="BB63" i="2"/>
  <c r="BB96" i="73"/>
  <c r="BK196" i="73"/>
  <c r="BK11" i="3"/>
  <c r="BJ123" i="55"/>
  <c r="BJ124" i="55" s="1"/>
  <c r="BJ96" i="3"/>
  <c r="BJ83" i="3"/>
  <c r="BJ84" i="3" s="1"/>
  <c r="BB182" i="73"/>
  <c r="BB187" i="73" s="1"/>
  <c r="BK104" i="3"/>
  <c r="CA104" i="3" s="1"/>
  <c r="CO59" i="3"/>
  <c r="BB174" i="73"/>
  <c r="BB178" i="73" s="1"/>
  <c r="BB179" i="73" s="1"/>
  <c r="BB9" i="3"/>
  <c r="BB25" i="3" s="1"/>
  <c r="BB57" i="3" s="1"/>
  <c r="BB61" i="3" s="1"/>
  <c r="BB104" i="73"/>
  <c r="BY85" i="73"/>
  <c r="BY86" i="73" s="1"/>
  <c r="BE106" i="3"/>
  <c r="CA84" i="55"/>
  <c r="CA83" i="55"/>
  <c r="CO47" i="2"/>
  <c r="BC104" i="73"/>
  <c r="BC9" i="3"/>
  <c r="BC25" i="3" s="1"/>
  <c r="BC174" i="73"/>
  <c r="BC182" i="73"/>
  <c r="BE107" i="73"/>
  <c r="BE102" i="73"/>
  <c r="BK118" i="3"/>
  <c r="CA113" i="3"/>
  <c r="CA118" i="3" s="1"/>
  <c r="CO24" i="73"/>
  <c r="CO71" i="73"/>
  <c r="BA178" i="73"/>
  <c r="BA179" i="73" s="1"/>
  <c r="BI54" i="73"/>
  <c r="BI153" i="73"/>
  <c r="BI158" i="73" s="1"/>
  <c r="BF107" i="73"/>
  <c r="BF102" i="73"/>
  <c r="BH72" i="73"/>
  <c r="BH83" i="73"/>
  <c r="BG20" i="73"/>
  <c r="CP161" i="73"/>
  <c r="CP130" i="55"/>
  <c r="BJ39" i="73"/>
  <c r="BJ152" i="73"/>
  <c r="BJ157" i="73" s="1"/>
  <c r="CO69" i="73"/>
  <c r="CO82" i="73"/>
  <c r="BZ155" i="73"/>
  <c r="BJ129" i="55"/>
  <c r="BJ23" i="73"/>
  <c r="BY102" i="73"/>
  <c r="BY106" i="73" s="1"/>
  <c r="BY107" i="73"/>
  <c r="BJ44" i="73"/>
  <c r="BJ53" i="73"/>
  <c r="CN179" i="73"/>
  <c r="BA186" i="73"/>
  <c r="BA187" i="73" s="1"/>
  <c r="BI66" i="73"/>
  <c r="BI154" i="73" s="1"/>
  <c r="BH161" i="73"/>
  <c r="BH130" i="55"/>
  <c r="BH200" i="73"/>
  <c r="BF49" i="2"/>
  <c r="BF29" i="2"/>
  <c r="BF21" i="3"/>
  <c r="BF59" i="3" s="1"/>
  <c r="BZ18" i="73"/>
  <c r="BZ20" i="73"/>
  <c r="BZ29" i="73"/>
  <c r="BE164" i="73"/>
  <c r="BI24" i="73"/>
  <c r="BI18" i="73"/>
  <c r="CN102" i="73"/>
  <c r="CN106" i="73" s="1"/>
  <c r="CN107" i="73"/>
  <c r="BA25" i="3"/>
  <c r="BY161" i="73"/>
  <c r="BY130" i="55"/>
  <c r="BF164" i="73"/>
  <c r="BH13" i="73"/>
  <c r="BE69" i="73"/>
  <c r="BE82" i="73"/>
  <c r="CA60" i="3"/>
  <c r="CA66" i="3"/>
  <c r="CA68" i="3" s="1"/>
  <c r="CA33" i="3"/>
  <c r="CA70" i="3"/>
  <c r="BG12" i="2"/>
  <c r="BG23" i="2"/>
  <c r="BF105" i="3"/>
  <c r="CA30" i="73"/>
  <c r="CA38" i="73"/>
  <c r="BF69" i="73"/>
  <c r="BF82" i="73"/>
  <c r="BZ158" i="73"/>
  <c r="BK43" i="73"/>
  <c r="CA43" i="73" s="1"/>
  <c r="CA47" i="73"/>
  <c r="CN186" i="73"/>
  <c r="CN187" i="73" s="1"/>
  <c r="AZ187" i="73"/>
  <c r="BG89" i="73"/>
  <c r="BG99" i="73" s="1"/>
  <c r="BY90" i="73"/>
  <c r="BD85" i="73"/>
  <c r="BD92" i="73" s="1"/>
  <c r="BD96" i="73" s="1"/>
  <c r="BC88" i="73"/>
  <c r="BK29" i="73"/>
  <c r="BK38" i="73"/>
  <c r="BK129" i="55" l="1"/>
  <c r="BE166" i="73"/>
  <c r="BE167" i="73" s="1"/>
  <c r="BE106" i="73" s="1"/>
  <c r="BF166" i="73"/>
  <c r="BF167" i="73" s="1"/>
  <c r="BF106" i="73" s="1"/>
  <c r="BB119" i="2"/>
  <c r="BC63" i="2"/>
  <c r="BY63" i="2" s="1"/>
  <c r="BK96" i="3"/>
  <c r="CA96" i="3" s="1"/>
  <c r="BK123" i="55"/>
  <c r="CA11" i="3"/>
  <c r="CA83" i="3" s="1"/>
  <c r="CA81" i="3" s="1"/>
  <c r="CA80" i="3" s="1"/>
  <c r="CA84" i="3" s="1"/>
  <c r="BK83" i="3"/>
  <c r="BK84" i="3" s="1"/>
  <c r="BY92" i="73"/>
  <c r="BY174" i="73"/>
  <c r="BK65" i="73"/>
  <c r="BY182" i="73"/>
  <c r="BY9" i="3"/>
  <c r="BB94" i="3"/>
  <c r="BC94" i="3" s="1"/>
  <c r="BY88" i="73"/>
  <c r="BY98" i="73" s="1"/>
  <c r="BF106" i="3"/>
  <c r="BI71" i="73"/>
  <c r="BI72" i="73" s="1"/>
  <c r="CO85" i="73"/>
  <c r="BD104" i="73"/>
  <c r="BD182" i="73"/>
  <c r="BD9" i="3"/>
  <c r="BD174" i="73"/>
  <c r="CA45" i="73"/>
  <c r="CA44" i="73"/>
  <c r="CA53" i="73"/>
  <c r="CA66" i="73" s="1"/>
  <c r="CA154" i="73" s="1"/>
  <c r="CA155" i="73" s="1"/>
  <c r="CA65" i="73"/>
  <c r="BC177" i="73"/>
  <c r="BC178" i="73" s="1"/>
  <c r="BC179" i="73" s="1"/>
  <c r="BY179" i="73" s="1"/>
  <c r="BC98" i="73"/>
  <c r="BG164" i="73"/>
  <c r="BF85" i="73"/>
  <c r="BF88" i="73" s="1"/>
  <c r="CA39" i="73"/>
  <c r="CA152" i="73"/>
  <c r="CA157" i="73" s="1"/>
  <c r="BZ12" i="2"/>
  <c r="BH12" i="2"/>
  <c r="BH20" i="3" s="1"/>
  <c r="BH23" i="2"/>
  <c r="BA57" i="3"/>
  <c r="BA61" i="3" s="1"/>
  <c r="BI13" i="73"/>
  <c r="BI20" i="73" s="1"/>
  <c r="BI52" i="2"/>
  <c r="BZ52" i="2"/>
  <c r="BZ23" i="73"/>
  <c r="BI155" i="73"/>
  <c r="BI160" i="73"/>
  <c r="BJ24" i="73"/>
  <c r="BJ18" i="73"/>
  <c r="BG21" i="73"/>
  <c r="BG68" i="73"/>
  <c r="CO72" i="73"/>
  <c r="CO83" i="73"/>
  <c r="BC57" i="3"/>
  <c r="BC61" i="3" s="1"/>
  <c r="BK39" i="73"/>
  <c r="BK152" i="73"/>
  <c r="BK157" i="73" s="1"/>
  <c r="BD88" i="73"/>
  <c r="BG107" i="73"/>
  <c r="BG102" i="73"/>
  <c r="BK44" i="73"/>
  <c r="BK53" i="73"/>
  <c r="BK66" i="73" s="1"/>
  <c r="BG21" i="3"/>
  <c r="BG29" i="2"/>
  <c r="BG49" i="2"/>
  <c r="BZ23" i="2"/>
  <c r="BK24" i="73"/>
  <c r="BK18" i="73"/>
  <c r="BE85" i="73"/>
  <c r="BE92" i="73" s="1"/>
  <c r="BE96" i="73" s="1"/>
  <c r="BH20" i="73"/>
  <c r="BG20" i="3"/>
  <c r="BZ89" i="73"/>
  <c r="BZ21" i="73"/>
  <c r="BZ68" i="73"/>
  <c r="CP200" i="73"/>
  <c r="CA200" i="73"/>
  <c r="BJ153" i="73"/>
  <c r="BJ158" i="73" s="1"/>
  <c r="BJ54" i="73"/>
  <c r="BJ66" i="73"/>
  <c r="BJ154" i="73" s="1"/>
  <c r="CP13" i="73"/>
  <c r="BH89" i="73"/>
  <c r="BH99" i="73" s="1"/>
  <c r="BG166" i="73" l="1"/>
  <c r="BG167" i="73" s="1"/>
  <c r="BG106" i="73" s="1"/>
  <c r="BC119" i="2"/>
  <c r="BD63" i="2"/>
  <c r="CO63" i="2" s="1"/>
  <c r="BY104" i="73"/>
  <c r="BY96" i="73"/>
  <c r="CA123" i="55"/>
  <c r="CA124" i="55" s="1"/>
  <c r="BK124" i="55"/>
  <c r="BI83" i="73"/>
  <c r="BI89" i="73" s="1"/>
  <c r="BI99" i="73" s="1"/>
  <c r="CO86" i="73"/>
  <c r="BG106" i="3"/>
  <c r="BZ106" i="3" s="1"/>
  <c r="CO92" i="73"/>
  <c r="CO104" i="73" s="1"/>
  <c r="BZ21" i="3"/>
  <c r="BF92" i="73"/>
  <c r="BH102" i="73"/>
  <c r="BH107" i="73"/>
  <c r="BE9" i="3"/>
  <c r="BE182" i="73"/>
  <c r="BE104" i="73"/>
  <c r="BE174" i="73"/>
  <c r="BK154" i="73"/>
  <c r="BK71" i="73"/>
  <c r="BJ155" i="73"/>
  <c r="BJ160" i="73"/>
  <c r="BY119" i="2"/>
  <c r="CP18" i="73"/>
  <c r="CP20" i="73"/>
  <c r="BZ69" i="73"/>
  <c r="BZ82" i="73"/>
  <c r="BZ164" i="73"/>
  <c r="BH21" i="73"/>
  <c r="BH68" i="73"/>
  <c r="BK13" i="73"/>
  <c r="BK20" i="73" s="1"/>
  <c r="BK52" i="2"/>
  <c r="BD177" i="73"/>
  <c r="BD178" i="73" s="1"/>
  <c r="BD179" i="73" s="1"/>
  <c r="BD98" i="73"/>
  <c r="BY94" i="3"/>
  <c r="BJ52" i="2"/>
  <c r="BJ13" i="73"/>
  <c r="BJ71" i="73"/>
  <c r="BI200" i="73"/>
  <c r="BI161" i="73"/>
  <c r="BI130" i="55"/>
  <c r="BI21" i="73"/>
  <c r="BI68" i="73"/>
  <c r="CP12" i="2"/>
  <c r="BZ46" i="2"/>
  <c r="BZ45" i="2" s="1"/>
  <c r="BF177" i="73"/>
  <c r="BF186" i="73" s="1"/>
  <c r="BF98" i="73"/>
  <c r="CO174" i="73"/>
  <c r="CO182" i="73"/>
  <c r="BH164" i="73"/>
  <c r="BG59" i="3"/>
  <c r="CP20" i="3"/>
  <c r="BZ20" i="3"/>
  <c r="BE88" i="73"/>
  <c r="BZ29" i="2"/>
  <c r="BZ47" i="2"/>
  <c r="BZ49" i="2"/>
  <c r="BK153" i="73"/>
  <c r="BK158" i="73" s="1"/>
  <c r="BK54" i="73"/>
  <c r="BG69" i="73"/>
  <c r="BG82" i="73"/>
  <c r="BZ24" i="73"/>
  <c r="BZ71" i="73"/>
  <c r="BZ149" i="73"/>
  <c r="BI23" i="2"/>
  <c r="BI12" i="2"/>
  <c r="BH29" i="2"/>
  <c r="CP23" i="2"/>
  <c r="BH49" i="2"/>
  <c r="BH21" i="3"/>
  <c r="BH59" i="3" s="1"/>
  <c r="BH105" i="3"/>
  <c r="BG105" i="3"/>
  <c r="BZ105" i="3" s="1"/>
  <c r="CO88" i="73"/>
  <c r="BC186" i="73"/>
  <c r="BY177" i="73"/>
  <c r="BY178" i="73" s="1"/>
  <c r="CA153" i="73"/>
  <c r="CA158" i="73" s="1"/>
  <c r="CA54" i="73"/>
  <c r="BD25" i="3"/>
  <c r="BD94" i="3"/>
  <c r="CO9" i="3"/>
  <c r="BH166" i="73" l="1"/>
  <c r="BH167" i="73" s="1"/>
  <c r="BH106" i="73" s="1"/>
  <c r="BE63" i="2"/>
  <c r="BF63" i="2" s="1"/>
  <c r="BD119" i="2"/>
  <c r="BF104" i="73"/>
  <c r="BF96" i="73"/>
  <c r="BF9" i="3"/>
  <c r="BF25" i="3" s="1"/>
  <c r="CO177" i="73"/>
  <c r="CO178" i="73" s="1"/>
  <c r="BZ59" i="3"/>
  <c r="BF182" i="73"/>
  <c r="BF187" i="73" s="1"/>
  <c r="BF174" i="73"/>
  <c r="BF178" i="73" s="1"/>
  <c r="BF179" i="73" s="1"/>
  <c r="BI102" i="73"/>
  <c r="BI107" i="73"/>
  <c r="BZ129" i="55"/>
  <c r="BZ160" i="73"/>
  <c r="BZ150" i="73"/>
  <c r="BZ166" i="73"/>
  <c r="BZ167" i="73" s="1"/>
  <c r="CO94" i="3"/>
  <c r="CO110" i="3" s="1"/>
  <c r="CO25" i="3"/>
  <c r="BD110" i="3"/>
  <c r="BE94" i="3"/>
  <c r="BY186" i="73"/>
  <c r="BY187" i="73" s="1"/>
  <c r="BC187" i="73"/>
  <c r="BH106" i="3"/>
  <c r="CP49" i="2"/>
  <c r="CP29" i="2"/>
  <c r="BI21" i="3"/>
  <c r="BI49" i="2"/>
  <c r="BI29" i="2"/>
  <c r="BZ72" i="73"/>
  <c r="BZ83" i="73"/>
  <c r="CP105" i="3"/>
  <c r="BI20" i="3"/>
  <c r="BI69" i="73"/>
  <c r="BI82" i="73"/>
  <c r="BJ20" i="73"/>
  <c r="CA13" i="73"/>
  <c r="BD186" i="73"/>
  <c r="CO186" i="73" s="1"/>
  <c r="CO187" i="73" s="1"/>
  <c r="BK12" i="2"/>
  <c r="CA12" i="2" s="1"/>
  <c r="BK23" i="2"/>
  <c r="BH69" i="73"/>
  <c r="BH82" i="73"/>
  <c r="CP52" i="2"/>
  <c r="CP47" i="2" s="1"/>
  <c r="CP23" i="73"/>
  <c r="BK72" i="73"/>
  <c r="BK83" i="73"/>
  <c r="BD57" i="3"/>
  <c r="BD61" i="3" s="1"/>
  <c r="CO98" i="73"/>
  <c r="CO89" i="73"/>
  <c r="BG85" i="73"/>
  <c r="BE177" i="73"/>
  <c r="BE98" i="73"/>
  <c r="BI164" i="73"/>
  <c r="BJ83" i="73"/>
  <c r="BJ72" i="73"/>
  <c r="BJ12" i="2"/>
  <c r="BJ23" i="2"/>
  <c r="CP21" i="3"/>
  <c r="CP106" i="3" s="1"/>
  <c r="BK21" i="73"/>
  <c r="BK68" i="73"/>
  <c r="CP68" i="73"/>
  <c r="CP21" i="73"/>
  <c r="CO179" i="73"/>
  <c r="BJ130" i="55"/>
  <c r="BJ161" i="73"/>
  <c r="BJ200" i="73"/>
  <c r="BK155" i="73"/>
  <c r="BK160" i="73"/>
  <c r="BE25" i="3"/>
  <c r="BE119" i="2" l="1"/>
  <c r="BI166" i="73"/>
  <c r="BI167" i="73" s="1"/>
  <c r="BI106" i="73" s="1"/>
  <c r="BF57" i="3"/>
  <c r="BF61" i="3" s="1"/>
  <c r="CP46" i="2"/>
  <c r="CP45" i="2" s="1"/>
  <c r="BK20" i="3"/>
  <c r="BG88" i="73"/>
  <c r="BZ85" i="73"/>
  <c r="CP24" i="73"/>
  <c r="CP71" i="73"/>
  <c r="CA18" i="73"/>
  <c r="CA20" i="73"/>
  <c r="CA29" i="73"/>
  <c r="BI85" i="73"/>
  <c r="BI88" i="73" s="1"/>
  <c r="BI59" i="3"/>
  <c r="CP59" i="3"/>
  <c r="BZ99" i="73"/>
  <c r="BZ90" i="73"/>
  <c r="BZ161" i="73"/>
  <c r="BZ130" i="55"/>
  <c r="BJ20" i="3"/>
  <c r="BJ89" i="73"/>
  <c r="BJ99" i="73" s="1"/>
  <c r="BE57" i="3"/>
  <c r="BE61" i="3" s="1"/>
  <c r="BK200" i="73"/>
  <c r="BK130" i="55"/>
  <c r="BK161" i="73"/>
  <c r="CP69" i="73"/>
  <c r="CP82" i="73"/>
  <c r="BK69" i="73"/>
  <c r="BK82" i="73"/>
  <c r="BJ49" i="2"/>
  <c r="BJ21" i="3"/>
  <c r="BJ29" i="2"/>
  <c r="BF119" i="2"/>
  <c r="BE186" i="73"/>
  <c r="BG92" i="73"/>
  <c r="BG96" i="73" s="1"/>
  <c r="CO90" i="73"/>
  <c r="CO164" i="73"/>
  <c r="CO99" i="73"/>
  <c r="BE178" i="73"/>
  <c r="BE179" i="73" s="1"/>
  <c r="BK89" i="73"/>
  <c r="BK99" i="73" s="1"/>
  <c r="BH85" i="73"/>
  <c r="BH92" i="73" s="1"/>
  <c r="BH96" i="73" s="1"/>
  <c r="BK21" i="3"/>
  <c r="CA23" i="2"/>
  <c r="BK29" i="2"/>
  <c r="BK49" i="2"/>
  <c r="BD187" i="73"/>
  <c r="BJ21" i="73"/>
  <c r="BJ68" i="73"/>
  <c r="BI106" i="3"/>
  <c r="BI105" i="3"/>
  <c r="BE110" i="3"/>
  <c r="BF94" i="3"/>
  <c r="CO57" i="3"/>
  <c r="CO61" i="3" s="1"/>
  <c r="BJ106" i="3" l="1"/>
  <c r="BK106" i="3" s="1"/>
  <c r="CA106" i="3" s="1"/>
  <c r="BK59" i="3"/>
  <c r="BJ105" i="3"/>
  <c r="BK105" i="3" s="1"/>
  <c r="CA105" i="3" s="1"/>
  <c r="CA21" i="3"/>
  <c r="BI92" i="73"/>
  <c r="BJ102" i="73"/>
  <c r="BJ107" i="73"/>
  <c r="BH88" i="73"/>
  <c r="CP88" i="73" s="1"/>
  <c r="BK164" i="73"/>
  <c r="CO166" i="73"/>
  <c r="CO167" i="73" s="1"/>
  <c r="BE187" i="73"/>
  <c r="BI177" i="73"/>
  <c r="BI186" i="73" s="1"/>
  <c r="BI98" i="73"/>
  <c r="CA21" i="73"/>
  <c r="CA68" i="73"/>
  <c r="BZ86" i="73"/>
  <c r="BZ88" i="73"/>
  <c r="BZ98" i="73" s="1"/>
  <c r="BZ92" i="73"/>
  <c r="BF110" i="3"/>
  <c r="BJ69" i="73"/>
  <c r="BJ82" i="73"/>
  <c r="CA49" i="2"/>
  <c r="CA29" i="2"/>
  <c r="BH104" i="73"/>
  <c r="BH174" i="73"/>
  <c r="BH9" i="3"/>
  <c r="BH182" i="73"/>
  <c r="BK102" i="73"/>
  <c r="BK107" i="73"/>
  <c r="CO102" i="73"/>
  <c r="CO106" i="73" s="1"/>
  <c r="CO107" i="73"/>
  <c r="BG9" i="3"/>
  <c r="BG94" i="3" s="1"/>
  <c r="BG104" i="73"/>
  <c r="BG182" i="73"/>
  <c r="BG174" i="73"/>
  <c r="BG63" i="2"/>
  <c r="BK85" i="73"/>
  <c r="BK88" i="73" s="1"/>
  <c r="BJ164" i="73"/>
  <c r="CA89" i="73"/>
  <c r="BJ59" i="3"/>
  <c r="BZ107" i="73"/>
  <c r="BZ102" i="73"/>
  <c r="BZ106" i="73" s="1"/>
  <c r="CA20" i="3"/>
  <c r="CA52" i="2"/>
  <c r="CA46" i="2" s="1"/>
  <c r="CA45" i="2" s="1"/>
  <c r="CA23" i="73"/>
  <c r="CP72" i="73"/>
  <c r="CP83" i="73"/>
  <c r="CP85" i="73"/>
  <c r="BG98" i="73"/>
  <c r="BG177" i="73"/>
  <c r="BK166" i="73" l="1"/>
  <c r="BK167" i="73" s="1"/>
  <c r="BK106" i="73" s="1"/>
  <c r="BJ166" i="73"/>
  <c r="BJ167" i="73" s="1"/>
  <c r="BJ106" i="73" s="1"/>
  <c r="BI9" i="3"/>
  <c r="BI25" i="3" s="1"/>
  <c r="BI57" i="3" s="1"/>
  <c r="BI61" i="3" s="1"/>
  <c r="BI96" i="73"/>
  <c r="BZ104" i="73"/>
  <c r="BZ96" i="73"/>
  <c r="CA59" i="3"/>
  <c r="BI104" i="73"/>
  <c r="BI182" i="73"/>
  <c r="BI187" i="73" s="1"/>
  <c r="BI174" i="73"/>
  <c r="BI178" i="73" s="1"/>
  <c r="BI179" i="73" s="1"/>
  <c r="BK92" i="73"/>
  <c r="BK98" i="73"/>
  <c r="BK177" i="73"/>
  <c r="BK186" i="73" s="1"/>
  <c r="BG110" i="3"/>
  <c r="BZ94" i="3"/>
  <c r="BZ110" i="3" s="1"/>
  <c r="BG186" i="73"/>
  <c r="BG187" i="73" s="1"/>
  <c r="BZ177" i="73"/>
  <c r="CP86" i="73"/>
  <c r="CP89" i="73"/>
  <c r="CP99" i="73" s="1"/>
  <c r="CP98" i="73"/>
  <c r="CA24" i="73"/>
  <c r="CA149" i="73"/>
  <c r="CA71" i="73"/>
  <c r="CP92" i="73"/>
  <c r="CP104" i="73" s="1"/>
  <c r="BG178" i="73"/>
  <c r="BG179" i="73" s="1"/>
  <c r="BZ174" i="73"/>
  <c r="CA174" i="73"/>
  <c r="CP174" i="73"/>
  <c r="BH25" i="3"/>
  <c r="BH94" i="3"/>
  <c r="BJ85" i="73"/>
  <c r="BJ92" i="73" s="1"/>
  <c r="BJ96" i="73" s="1"/>
  <c r="CA164" i="73"/>
  <c r="BG119" i="2"/>
  <c r="BZ63" i="2"/>
  <c r="BH63" i="2"/>
  <c r="BZ182" i="73"/>
  <c r="CP182" i="73"/>
  <c r="CA182" i="73"/>
  <c r="BG25" i="3"/>
  <c r="BZ9" i="3"/>
  <c r="BZ25" i="3" s="1"/>
  <c r="CP9" i="3"/>
  <c r="CA47" i="2"/>
  <c r="CA69" i="73"/>
  <c r="CA82" i="73"/>
  <c r="BH177" i="73"/>
  <c r="BH186" i="73" s="1"/>
  <c r="BH187" i="73" s="1"/>
  <c r="BH98" i="73"/>
  <c r="BK104" i="73" l="1"/>
  <c r="BK96" i="73"/>
  <c r="BK174" i="73"/>
  <c r="BK178" i="73" s="1"/>
  <c r="BK179" i="73" s="1"/>
  <c r="BK182" i="73"/>
  <c r="BK187" i="73" s="1"/>
  <c r="BK9" i="3"/>
  <c r="BK25" i="3" s="1"/>
  <c r="BZ57" i="3"/>
  <c r="BZ61" i="3" s="1"/>
  <c r="BH119" i="2"/>
  <c r="CP63" i="2"/>
  <c r="BI63" i="2"/>
  <c r="BZ119" i="2"/>
  <c r="BJ88" i="73"/>
  <c r="CA85" i="73"/>
  <c r="BH57" i="3"/>
  <c r="BH61" i="3" s="1"/>
  <c r="BZ178" i="73"/>
  <c r="CA72" i="73"/>
  <c r="CA83" i="73"/>
  <c r="CP164" i="73"/>
  <c r="CP166" i="73" s="1"/>
  <c r="CP167" i="73" s="1"/>
  <c r="CP90" i="73"/>
  <c r="CP177" i="73"/>
  <c r="CP178" i="73" s="1"/>
  <c r="BZ186" i="73"/>
  <c r="BZ187" i="73" s="1"/>
  <c r="CA186" i="73"/>
  <c r="CA187" i="73" s="1"/>
  <c r="CP186" i="73"/>
  <c r="CP187" i="73" s="1"/>
  <c r="BH178" i="73"/>
  <c r="BH179" i="73" s="1"/>
  <c r="CP179" i="73" s="1"/>
  <c r="CP94" i="3"/>
  <c r="CP110" i="3" s="1"/>
  <c r="CP25" i="3"/>
  <c r="CP57" i="3" s="1"/>
  <c r="CP61" i="3" s="1"/>
  <c r="BG57" i="3"/>
  <c r="BG61" i="3" s="1"/>
  <c r="BJ104" i="73"/>
  <c r="BJ182" i="73"/>
  <c r="BJ174" i="73"/>
  <c r="BJ9" i="3"/>
  <c r="BI94" i="3"/>
  <c r="BH110" i="3"/>
  <c r="BZ179" i="73"/>
  <c r="CA150" i="73"/>
  <c r="CA160" i="73"/>
  <c r="CA129" i="55"/>
  <c r="CA166" i="73"/>
  <c r="CA167" i="73" s="1"/>
  <c r="CP102" i="73"/>
  <c r="CP106" i="73" s="1"/>
  <c r="CP107" i="73"/>
  <c r="CA177" i="73"/>
  <c r="CA178" i="73" s="1"/>
  <c r="CA179" i="73" l="1"/>
  <c r="BK57" i="3"/>
  <c r="BK61" i="3" s="1"/>
  <c r="BI110" i="3"/>
  <c r="BJ94" i="3"/>
  <c r="BJ25" i="3"/>
  <c r="CA9" i="3"/>
  <c r="CA25" i="3" s="1"/>
  <c r="BJ98" i="73"/>
  <c r="BJ177" i="73"/>
  <c r="BJ186" i="73" s="1"/>
  <c r="BJ187" i="73" s="1"/>
  <c r="CA161" i="73"/>
  <c r="CA130" i="55"/>
  <c r="CA99" i="73"/>
  <c r="CA90" i="73"/>
  <c r="CA86" i="73"/>
  <c r="CA88" i="73"/>
  <c r="CA98" i="73" s="1"/>
  <c r="BI119" i="2"/>
  <c r="BJ63" i="2"/>
  <c r="CA92" i="73"/>
  <c r="CA104" i="73" s="1"/>
  <c r="CA57" i="3" l="1"/>
  <c r="CA61" i="3" s="1"/>
  <c r="BJ178" i="73"/>
  <c r="BJ179" i="73" s="1"/>
  <c r="BJ119" i="2"/>
  <c r="BK63" i="2"/>
  <c r="CA102" i="73"/>
  <c r="CA106" i="73" s="1"/>
  <c r="CA107" i="73"/>
  <c r="BJ110" i="3"/>
  <c r="BK94" i="3"/>
  <c r="BJ57" i="3"/>
  <c r="BJ61" i="3" s="1"/>
  <c r="BK110" i="3" l="1"/>
  <c r="CA94" i="3"/>
  <c r="CA110" i="3" s="1"/>
  <c r="BK119" i="2"/>
  <c r="CA63" i="2"/>
  <c r="CA119" i="2" l="1"/>
  <c r="BY11" i="3" l="1"/>
  <c r="AZ96" i="3" l="1"/>
  <c r="BA72" i="3"/>
  <c r="BY25" i="3"/>
  <c r="BY83" i="3"/>
  <c r="CN11" i="3"/>
  <c r="CN72" i="3" l="1"/>
  <c r="CN73" i="3" s="1"/>
  <c r="BA96" i="3"/>
  <c r="AZ110" i="3"/>
  <c r="AZ57" i="3"/>
  <c r="AZ61" i="3" s="1"/>
  <c r="BY57" i="3"/>
  <c r="BY61" i="3" s="1"/>
  <c r="CN25" i="3"/>
  <c r="CN57" i="3" s="1"/>
  <c r="CN61" i="3" s="1"/>
  <c r="CN83" i="3"/>
  <c r="CN96" i="3"/>
  <c r="CN110" i="3" s="1"/>
  <c r="CN123" i="55"/>
  <c r="CN124" i="55" s="1"/>
  <c r="BY123" i="55"/>
  <c r="BY124" i="55" s="1"/>
  <c r="BA73" i="3"/>
  <c r="BA16" i="2" s="1"/>
  <c r="BB72" i="3"/>
  <c r="BY81" i="3"/>
  <c r="BY80" i="3" s="1"/>
  <c r="BY84" i="3" s="1"/>
  <c r="CN16" i="2"/>
  <c r="BB96" i="3" l="1"/>
  <c r="BA110" i="3"/>
  <c r="CN75" i="3"/>
  <c r="CN76" i="3" s="1"/>
  <c r="BC72" i="3"/>
  <c r="BB73" i="3"/>
  <c r="BB16" i="2" s="1"/>
  <c r="BA75" i="3"/>
  <c r="BA76" i="3" s="1"/>
  <c r="CN81" i="3"/>
  <c r="CN80" i="3" s="1"/>
  <c r="CN84" i="3" s="1"/>
  <c r="BC96" i="3" l="1"/>
  <c r="BB110" i="3"/>
  <c r="BB75" i="3"/>
  <c r="BB76" i="3" s="1"/>
  <c r="BD72" i="3"/>
  <c r="BY72" i="3"/>
  <c r="BY73" i="3" s="1"/>
  <c r="BC73" i="3"/>
  <c r="BC16" i="2" s="1"/>
  <c r="BY96" i="3" l="1"/>
  <c r="BY110" i="3" s="1"/>
  <c r="BC110" i="3"/>
  <c r="CO72" i="3"/>
  <c r="CO73" i="3" s="1"/>
  <c r="BE72" i="3"/>
  <c r="BD73" i="3"/>
  <c r="BD16" i="2" s="1"/>
  <c r="BY16" i="2"/>
  <c r="BC75" i="3"/>
  <c r="BC76" i="3" s="1"/>
  <c r="CO16" i="2" l="1"/>
  <c r="BD75" i="3"/>
  <c r="BD76" i="3" s="1"/>
  <c r="BE73" i="3"/>
  <c r="BE16" i="2" s="1"/>
  <c r="BF72" i="3"/>
  <c r="BY75" i="3"/>
  <c r="BY76" i="3" s="1"/>
  <c r="BG72" i="3" l="1"/>
  <c r="BF73" i="3"/>
  <c r="BF16" i="2" s="1"/>
  <c r="BE75" i="3"/>
  <c r="BE76" i="3" s="1"/>
  <c r="CO75" i="3"/>
  <c r="CO76" i="3" s="1"/>
  <c r="BF75" i="3" l="1"/>
  <c r="BF76" i="3" s="1"/>
  <c r="BH72" i="3"/>
  <c r="BZ72" i="3"/>
  <c r="BZ73" i="3" s="1"/>
  <c r="BG73" i="3"/>
  <c r="BG16" i="2" s="1"/>
  <c r="BZ16" i="2" l="1"/>
  <c r="BG75" i="3"/>
  <c r="BG76" i="3" s="1"/>
  <c r="BI72" i="3"/>
  <c r="CP72" i="3"/>
  <c r="CP73" i="3" s="1"/>
  <c r="BH73" i="3"/>
  <c r="BH16" i="2" s="1"/>
  <c r="CP16" i="2" l="1"/>
  <c r="BH75" i="3"/>
  <c r="BH76" i="3" s="1"/>
  <c r="BI73" i="3"/>
  <c r="BI16" i="2" s="1"/>
  <c r="BJ72" i="3"/>
  <c r="BZ75" i="3"/>
  <c r="BZ76" i="3" s="1"/>
  <c r="BK72" i="3" l="1"/>
  <c r="BJ73" i="3"/>
  <c r="BJ16" i="2" s="1"/>
  <c r="BI75" i="3"/>
  <c r="BI76" i="3" s="1"/>
  <c r="CP75" i="3"/>
  <c r="CP76" i="3" s="1"/>
  <c r="BK73" i="3" l="1"/>
  <c r="BK16" i="2" s="1"/>
  <c r="CA72" i="3"/>
  <c r="CA73" i="3" s="1"/>
  <c r="BJ75" i="3"/>
  <c r="BJ76" i="3" s="1"/>
  <c r="CA16" i="2" l="1"/>
  <c r="BK75" i="3"/>
  <c r="BK76" i="3" s="1"/>
  <c r="CA75" i="3" l="1"/>
  <c r="CA76" i="3" s="1"/>
  <c r="BA120" i="73" l="1"/>
  <c r="BB120" i="73" s="1"/>
  <c r="BB41" i="3" s="1"/>
  <c r="BB43" i="3" s="1"/>
  <c r="BB49" i="3" s="1"/>
  <c r="CN120" i="73"/>
  <c r="CN41" i="3"/>
  <c r="CN43" i="3" s="1"/>
  <c r="BA47" i="3"/>
  <c r="AZ52" i="3"/>
  <c r="AZ126" i="3"/>
  <c r="CN126" i="3"/>
  <c r="CN128" i="3"/>
  <c r="CN134" i="3" s="1"/>
  <c r="CN135" i="3" s="1"/>
  <c r="CO132" i="3" s="1"/>
  <c r="AZ137" i="3"/>
  <c r="BA41" i="3" l="1"/>
  <c r="BA43" i="3" s="1"/>
  <c r="BA49" i="3" s="1"/>
  <c r="BA126" i="3"/>
  <c r="BA128" i="3" s="1"/>
  <c r="BA134" i="3" s="1"/>
  <c r="BA135" i="3" s="1"/>
  <c r="AZ128" i="3"/>
  <c r="AZ134" i="3" s="1"/>
  <c r="AZ135" i="3" s="1"/>
  <c r="AZ138" i="3" s="1"/>
  <c r="AZ53" i="3"/>
  <c r="BA50" i="3"/>
  <c r="BB47" i="3" s="1"/>
  <c r="BB50" i="3" s="1"/>
  <c r="BC47" i="3" s="1"/>
  <c r="BA9" i="2"/>
  <c r="CN9" i="2"/>
  <c r="AZ80" i="2"/>
  <c r="AZ82" i="2" s="1"/>
  <c r="CN49" i="3"/>
  <c r="CN50" i="3" s="1"/>
  <c r="CO47" i="3" s="1"/>
  <c r="BA64" i="2"/>
  <c r="CN64" i="2"/>
  <c r="CN65" i="2" s="1"/>
  <c r="AZ94" i="2"/>
  <c r="AZ95" i="2" s="1"/>
  <c r="BA90" i="2"/>
  <c r="BA91" i="2" s="1"/>
  <c r="BA98" i="2" s="1"/>
  <c r="BC120" i="73"/>
  <c r="BY120" i="73" s="1"/>
  <c r="BB126" i="3" l="1"/>
  <c r="BB128" i="3" s="1"/>
  <c r="BB134" i="3" s="1"/>
  <c r="BB135" i="3" s="1"/>
  <c r="AZ38" i="2"/>
  <c r="CN36" i="2"/>
  <c r="AZ75" i="2"/>
  <c r="AZ76" i="2"/>
  <c r="AZ77" i="2" s="1"/>
  <c r="CN14" i="2"/>
  <c r="CN80" i="2"/>
  <c r="CN82" i="2" s="1"/>
  <c r="CN83" i="2" s="1"/>
  <c r="CN52" i="3"/>
  <c r="CN53" i="3" s="1"/>
  <c r="CO90" i="2"/>
  <c r="CO91" i="2" s="1"/>
  <c r="CO98" i="2" s="1"/>
  <c r="CN94" i="2"/>
  <c r="CN95" i="2" s="1"/>
  <c r="CN137" i="3"/>
  <c r="CN138" i="3" s="1"/>
  <c r="AZ85" i="2"/>
  <c r="BA65" i="2"/>
  <c r="BA36" i="2" s="1"/>
  <c r="BB64" i="2"/>
  <c r="BD120" i="73"/>
  <c r="BC41" i="3"/>
  <c r="AZ83" i="2"/>
  <c r="BB9" i="2"/>
  <c r="BA14" i="2"/>
  <c r="BA80" i="2"/>
  <c r="BA82" i="2" s="1"/>
  <c r="BB90" i="2"/>
  <c r="BB91" i="2" s="1"/>
  <c r="BB98" i="2" s="1"/>
  <c r="BA52" i="3"/>
  <c r="BA53" i="3" s="1"/>
  <c r="BA94" i="2"/>
  <c r="BA95" i="2" s="1"/>
  <c r="BA137" i="3"/>
  <c r="BA138" i="3" s="1"/>
  <c r="BA83" i="2" l="1"/>
  <c r="BB14" i="2"/>
  <c r="BB80" i="2"/>
  <c r="BB82" i="2" s="1"/>
  <c r="BB94" i="2"/>
  <c r="BB95" i="2" s="1"/>
  <c r="BC90" i="2"/>
  <c r="BC91" i="2" s="1"/>
  <c r="BC98" i="2" s="1"/>
  <c r="BB52" i="3"/>
  <c r="BB53" i="3" s="1"/>
  <c r="BB137" i="3"/>
  <c r="BB138" i="3" s="1"/>
  <c r="BE120" i="73"/>
  <c r="BD41" i="3"/>
  <c r="CO120" i="73"/>
  <c r="BA38" i="2"/>
  <c r="BA67" i="2"/>
  <c r="BA68" i="2" s="1"/>
  <c r="BA75" i="2"/>
  <c r="BA76" i="2"/>
  <c r="BA77" i="2" s="1"/>
  <c r="CN20" i="2"/>
  <c r="CN71" i="3" s="1"/>
  <c r="CN85" i="2"/>
  <c r="CN38" i="2"/>
  <c r="CN40" i="2" s="1"/>
  <c r="CN75" i="2"/>
  <c r="CN76" i="2"/>
  <c r="CN77" i="2" s="1"/>
  <c r="BA20" i="2"/>
  <c r="BA71" i="3" s="1"/>
  <c r="BA85" i="2"/>
  <c r="BC43" i="3"/>
  <c r="BC49" i="3" s="1"/>
  <c r="BC9" i="2" s="1"/>
  <c r="BC126" i="3"/>
  <c r="BY41" i="3"/>
  <c r="BY43" i="3" s="1"/>
  <c r="CO41" i="3"/>
  <c r="BC64" i="2"/>
  <c r="BB65" i="2"/>
  <c r="BB36" i="2" s="1"/>
  <c r="CN67" i="2"/>
  <c r="CN68" i="2" s="1"/>
  <c r="AZ40" i="2"/>
  <c r="BA40" i="2" l="1"/>
  <c r="BY9" i="2"/>
  <c r="BC14" i="2"/>
  <c r="BC80" i="2"/>
  <c r="BC82" i="2" s="1"/>
  <c r="BD90" i="2"/>
  <c r="BD91" i="2" s="1"/>
  <c r="BD98" i="2" s="1"/>
  <c r="BC52" i="3"/>
  <c r="BC94" i="2"/>
  <c r="BC95" i="2" s="1"/>
  <c r="BC137" i="3"/>
  <c r="BD43" i="3"/>
  <c r="BD49" i="3" s="1"/>
  <c r="CO49" i="3" s="1"/>
  <c r="CO50" i="3" s="1"/>
  <c r="CP47" i="3" s="1"/>
  <c r="BD126" i="3"/>
  <c r="BF120" i="73"/>
  <c r="BE41" i="3"/>
  <c r="BB38" i="2"/>
  <c r="BB67" i="2"/>
  <c r="BB68" i="2" s="1"/>
  <c r="BB75" i="2"/>
  <c r="BB76" i="2"/>
  <c r="BB77" i="2" s="1"/>
  <c r="CO43" i="3"/>
  <c r="CO126" i="3"/>
  <c r="CO128" i="3" s="1"/>
  <c r="CO134" i="3" s="1"/>
  <c r="CO135" i="3" s="1"/>
  <c r="CP132" i="3" s="1"/>
  <c r="BC128" i="3"/>
  <c r="BC134" i="3" s="1"/>
  <c r="BC135" i="3" s="1"/>
  <c r="BD132" i="3" s="1"/>
  <c r="BY126" i="3"/>
  <c r="BY128" i="3" s="1"/>
  <c r="BY134" i="3" s="1"/>
  <c r="BY135" i="3" s="1"/>
  <c r="BZ132" i="3" s="1"/>
  <c r="BC65" i="2"/>
  <c r="BC36" i="2" s="1"/>
  <c r="BD64" i="2"/>
  <c r="BY64" i="2"/>
  <c r="BY65" i="2" s="1"/>
  <c r="BC50" i="3"/>
  <c r="BD47" i="3" s="1"/>
  <c r="BY49" i="3"/>
  <c r="BY50" i="3" s="1"/>
  <c r="BZ47" i="3" s="1"/>
  <c r="BB83" i="2"/>
  <c r="BB20" i="2"/>
  <c r="BB71" i="3" s="1"/>
  <c r="BB85" i="2"/>
  <c r="BC138" i="3" l="1"/>
  <c r="BE43" i="3"/>
  <c r="BE49" i="3" s="1"/>
  <c r="BC53" i="3"/>
  <c r="BC83" i="2"/>
  <c r="BY14" i="2"/>
  <c r="BY80" i="2"/>
  <c r="BY82" i="2" s="1"/>
  <c r="BY83" i="2" s="1"/>
  <c r="BY94" i="2"/>
  <c r="BY95" i="2" s="1"/>
  <c r="BZ90" i="2"/>
  <c r="BZ91" i="2" s="1"/>
  <c r="BZ98" i="2" s="1"/>
  <c r="BY52" i="3"/>
  <c r="BY53" i="3" s="1"/>
  <c r="BY137" i="3"/>
  <c r="BY138" i="3" s="1"/>
  <c r="BE64" i="2"/>
  <c r="CO64" i="2"/>
  <c r="CO65" i="2" s="1"/>
  <c r="BD65" i="2"/>
  <c r="BD36" i="2" s="1"/>
  <c r="BY36" i="2"/>
  <c r="BC38" i="2"/>
  <c r="BC67" i="2"/>
  <c r="BC75" i="2"/>
  <c r="BC76" i="2"/>
  <c r="BC77" i="2" s="1"/>
  <c r="BF132" i="3"/>
  <c r="BE132" i="3"/>
  <c r="BG132" i="3"/>
  <c r="BB40" i="2"/>
  <c r="BG120" i="73"/>
  <c r="BF41" i="3"/>
  <c r="BF43" i="3" s="1"/>
  <c r="BF49" i="3" s="1"/>
  <c r="BE126" i="3"/>
  <c r="BD128" i="3"/>
  <c r="BD134" i="3" s="1"/>
  <c r="BD135" i="3" s="1"/>
  <c r="BD50" i="3"/>
  <c r="BE47" i="3" s="1"/>
  <c r="BC20" i="2"/>
  <c r="BC71" i="3" s="1"/>
  <c r="BC85" i="2"/>
  <c r="BD9" i="2"/>
  <c r="BE50" i="3" l="1"/>
  <c r="BF47" i="3" s="1"/>
  <c r="BF50" i="3" s="1"/>
  <c r="BG47" i="3" s="1"/>
  <c r="BC68" i="2"/>
  <c r="BY67" i="2"/>
  <c r="BY68" i="2" s="1"/>
  <c r="BY38" i="2"/>
  <c r="BY75" i="2"/>
  <c r="BY76" i="2"/>
  <c r="BY77" i="2" s="1"/>
  <c r="CO9" i="2"/>
  <c r="BD14" i="2"/>
  <c r="BE9" i="2"/>
  <c r="BD80" i="2"/>
  <c r="BD82" i="2" s="1"/>
  <c r="BE90" i="2"/>
  <c r="BE91" i="2" s="1"/>
  <c r="BE98" i="2" s="1"/>
  <c r="BD94" i="2"/>
  <c r="BD95" i="2" s="1"/>
  <c r="BD52" i="3"/>
  <c r="BD53" i="3" s="1"/>
  <c r="BD137" i="3"/>
  <c r="BD138" i="3" s="1"/>
  <c r="BE128" i="3"/>
  <c r="BE134" i="3" s="1"/>
  <c r="BE135" i="3" s="1"/>
  <c r="BF126" i="3"/>
  <c r="BH120" i="73"/>
  <c r="BG41" i="3"/>
  <c r="BG43" i="3" s="1"/>
  <c r="BG49" i="3" s="1"/>
  <c r="BZ120" i="73"/>
  <c r="BC40" i="2"/>
  <c r="CO36" i="2"/>
  <c r="BD38" i="2"/>
  <c r="BD67" i="2"/>
  <c r="BD75" i="2"/>
  <c r="BD76" i="2"/>
  <c r="BD77" i="2" s="1"/>
  <c r="BE65" i="2"/>
  <c r="BE36" i="2" s="1"/>
  <c r="BF64" i="2"/>
  <c r="BY20" i="2"/>
  <c r="BY71" i="3" s="1"/>
  <c r="BY85" i="2"/>
  <c r="BZ41" i="3"/>
  <c r="BZ43" i="3" s="1"/>
  <c r="BE38" i="2" l="1"/>
  <c r="BE67" i="2"/>
  <c r="BE68" i="2" s="1"/>
  <c r="BE75" i="2"/>
  <c r="BE76" i="2"/>
  <c r="BE77" i="2" s="1"/>
  <c r="BI120" i="73"/>
  <c r="BH41" i="3"/>
  <c r="BD83" i="2"/>
  <c r="BD20" i="2"/>
  <c r="BD71" i="3" s="1"/>
  <c r="BD85" i="2"/>
  <c r="BY40" i="2"/>
  <c r="BG64" i="2"/>
  <c r="BF65" i="2"/>
  <c r="BF36" i="2" s="1"/>
  <c r="CO67" i="2"/>
  <c r="CO68" i="2" s="1"/>
  <c r="BD68" i="2"/>
  <c r="CO38" i="2"/>
  <c r="CO75" i="2"/>
  <c r="CO76" i="2"/>
  <c r="CO77" i="2" s="1"/>
  <c r="CP120" i="73"/>
  <c r="BG50" i="3"/>
  <c r="BH47" i="3" s="1"/>
  <c r="BG126" i="3"/>
  <c r="BF128" i="3"/>
  <c r="BF134" i="3" s="1"/>
  <c r="BF135" i="3" s="1"/>
  <c r="BZ49" i="3"/>
  <c r="BZ50" i="3" s="1"/>
  <c r="CA47" i="3" s="1"/>
  <c r="BF9" i="2"/>
  <c r="BE14" i="2"/>
  <c r="BE80" i="2"/>
  <c r="BE82" i="2" s="1"/>
  <c r="BE52" i="3"/>
  <c r="BE53" i="3" s="1"/>
  <c r="BF90" i="2"/>
  <c r="BF91" i="2" s="1"/>
  <c r="BF98" i="2" s="1"/>
  <c r="BE94" i="2"/>
  <c r="BE95" i="2" s="1"/>
  <c r="BE137" i="3"/>
  <c r="BE138" i="3" s="1"/>
  <c r="CO14" i="2"/>
  <c r="CO80" i="2"/>
  <c r="CO82" i="2" s="1"/>
  <c r="CO83" i="2" s="1"/>
  <c r="CP90" i="2"/>
  <c r="CP91" i="2" s="1"/>
  <c r="CP98" i="2" s="1"/>
  <c r="CO94" i="2"/>
  <c r="CO95" i="2" s="1"/>
  <c r="CO52" i="3"/>
  <c r="CO53" i="3" s="1"/>
  <c r="CO137" i="3"/>
  <c r="CO138" i="3" s="1"/>
  <c r="BE83" i="2" l="1"/>
  <c r="BF14" i="2"/>
  <c r="BG9" i="2"/>
  <c r="BF80" i="2"/>
  <c r="BF82" i="2" s="1"/>
  <c r="BG90" i="2"/>
  <c r="BG91" i="2" s="1"/>
  <c r="BG98" i="2" s="1"/>
  <c r="BF94" i="2"/>
  <c r="BF95" i="2" s="1"/>
  <c r="BF52" i="3"/>
  <c r="BF53" i="3" s="1"/>
  <c r="BF137" i="3"/>
  <c r="BF138" i="3" s="1"/>
  <c r="BZ64" i="2"/>
  <c r="BZ65" i="2" s="1"/>
  <c r="BG65" i="2"/>
  <c r="BG36" i="2" s="1"/>
  <c r="BH64" i="2"/>
  <c r="BD40" i="2"/>
  <c r="CO20" i="2"/>
  <c r="CO71" i="3" s="1"/>
  <c r="CO85" i="2"/>
  <c r="BE20" i="2"/>
  <c r="BE71" i="3" s="1"/>
  <c r="BE85" i="2"/>
  <c r="BZ126" i="3"/>
  <c r="BZ128" i="3" s="1"/>
  <c r="BZ134" i="3" s="1"/>
  <c r="BZ135" i="3" s="1"/>
  <c r="CA132" i="3" s="1"/>
  <c r="BG128" i="3"/>
  <c r="BG134" i="3" s="1"/>
  <c r="BG135" i="3" s="1"/>
  <c r="BH132" i="3" s="1"/>
  <c r="BF38" i="2"/>
  <c r="BF67" i="2"/>
  <c r="BF68" i="2" s="1"/>
  <c r="BF75" i="2"/>
  <c r="BF76" i="2"/>
  <c r="BF77" i="2" s="1"/>
  <c r="BH43" i="3"/>
  <c r="BH49" i="3" s="1"/>
  <c r="BH126" i="3"/>
  <c r="CP41" i="3"/>
  <c r="BJ120" i="73"/>
  <c r="BI41" i="3"/>
  <c r="BI43" i="3" s="1"/>
  <c r="BI49" i="3" s="1"/>
  <c r="BZ36" i="2" l="1"/>
  <c r="BG38" i="2"/>
  <c r="BG67" i="2"/>
  <c r="BG75" i="2"/>
  <c r="BG76" i="2"/>
  <c r="BG77" i="2" s="1"/>
  <c r="BH9" i="2"/>
  <c r="BZ9" i="2"/>
  <c r="BG14" i="2"/>
  <c r="BG80" i="2"/>
  <c r="BG82" i="2" s="1"/>
  <c r="BG52" i="3"/>
  <c r="BG53" i="3" s="1"/>
  <c r="BH90" i="2"/>
  <c r="BH91" i="2" s="1"/>
  <c r="BH98" i="2" s="1"/>
  <c r="BG94" i="2"/>
  <c r="BG95" i="2" s="1"/>
  <c r="BG137" i="3"/>
  <c r="BG138" i="3" s="1"/>
  <c r="BK120" i="73"/>
  <c r="BK41" i="3" s="1"/>
  <c r="BK43" i="3" s="1"/>
  <c r="BK49" i="3" s="1"/>
  <c r="BJ41" i="3"/>
  <c r="CA120" i="73"/>
  <c r="BI126" i="3"/>
  <c r="BH128" i="3"/>
  <c r="BH134" i="3" s="1"/>
  <c r="BH135" i="3" s="1"/>
  <c r="CO40" i="2"/>
  <c r="CP126" i="3"/>
  <c r="CP128" i="3" s="1"/>
  <c r="CP134" i="3" s="1"/>
  <c r="CP135" i="3" s="1"/>
  <c r="CP43" i="3"/>
  <c r="BH50" i="3"/>
  <c r="BI47" i="3" s="1"/>
  <c r="BI50" i="3" s="1"/>
  <c r="BJ47" i="3" s="1"/>
  <c r="CP49" i="3"/>
  <c r="CP50" i="3" s="1"/>
  <c r="BJ132" i="3"/>
  <c r="BI132" i="3"/>
  <c r="BK132" i="3"/>
  <c r="BE40" i="2"/>
  <c r="BI64" i="2"/>
  <c r="CP64" i="2"/>
  <c r="CP65" i="2" s="1"/>
  <c r="BH65" i="2"/>
  <c r="BH36" i="2" s="1"/>
  <c r="BF83" i="2"/>
  <c r="BF20" i="2"/>
  <c r="BF71" i="3" s="1"/>
  <c r="BF85" i="2"/>
  <c r="BI128" i="3" l="1"/>
  <c r="BI134" i="3" s="1"/>
  <c r="BI135" i="3" s="1"/>
  <c r="BJ126" i="3"/>
  <c r="BJ43" i="3"/>
  <c r="BJ49" i="3" s="1"/>
  <c r="CA41" i="3"/>
  <c r="CA43" i="3" s="1"/>
  <c r="BG83" i="2"/>
  <c r="BZ14" i="2"/>
  <c r="BZ80" i="2"/>
  <c r="BZ82" i="2" s="1"/>
  <c r="BZ83" i="2" s="1"/>
  <c r="CA90" i="2"/>
  <c r="CA91" i="2" s="1"/>
  <c r="CA98" i="2" s="1"/>
  <c r="BZ52" i="3"/>
  <c r="BZ53" i="3" s="1"/>
  <c r="BZ94" i="2"/>
  <c r="BZ95" i="2" s="1"/>
  <c r="BZ137" i="3"/>
  <c r="BZ138" i="3" s="1"/>
  <c r="BZ67" i="2"/>
  <c r="BZ68" i="2" s="1"/>
  <c r="BG68" i="2"/>
  <c r="BZ75" i="2"/>
  <c r="BZ76" i="2"/>
  <c r="BZ77" i="2" s="1"/>
  <c r="BZ38" i="2"/>
  <c r="BH38" i="2"/>
  <c r="CP36" i="2"/>
  <c r="BH67" i="2"/>
  <c r="BH75" i="2"/>
  <c r="BH76" i="2"/>
  <c r="BH77" i="2" s="1"/>
  <c r="BI65" i="2"/>
  <c r="BI36" i="2" s="1"/>
  <c r="BJ64" i="2"/>
  <c r="BG20" i="2"/>
  <c r="BG71" i="3" s="1"/>
  <c r="BG85" i="2"/>
  <c r="BH14" i="2"/>
  <c r="BI9" i="2"/>
  <c r="CP9" i="2"/>
  <c r="BH80" i="2"/>
  <c r="BH82" i="2" s="1"/>
  <c r="BI90" i="2"/>
  <c r="BI91" i="2" s="1"/>
  <c r="BI98" i="2" s="1"/>
  <c r="BH94" i="2"/>
  <c r="BH95" i="2" s="1"/>
  <c r="BH52" i="3"/>
  <c r="BH53" i="3" s="1"/>
  <c r="BH137" i="3"/>
  <c r="BH138" i="3" s="1"/>
  <c r="BF40" i="2"/>
  <c r="BG40" i="2" l="1"/>
  <c r="BJ9" i="2"/>
  <c r="BI14" i="2"/>
  <c r="BI80" i="2"/>
  <c r="BI82" i="2" s="1"/>
  <c r="BI83" i="2" s="1"/>
  <c r="BI52" i="3"/>
  <c r="BI53" i="3" s="1"/>
  <c r="BJ90" i="2"/>
  <c r="BJ91" i="2" s="1"/>
  <c r="BJ98" i="2" s="1"/>
  <c r="BI94" i="2"/>
  <c r="BI95" i="2" s="1"/>
  <c r="BI137" i="3"/>
  <c r="BI138" i="3" s="1"/>
  <c r="BK64" i="2"/>
  <c r="BJ65" i="2"/>
  <c r="BJ36" i="2" s="1"/>
  <c r="CP67" i="2"/>
  <c r="CP68" i="2" s="1"/>
  <c r="BH68" i="2"/>
  <c r="BZ20" i="2"/>
  <c r="BZ71" i="3" s="1"/>
  <c r="BZ85" i="2"/>
  <c r="BJ50" i="3"/>
  <c r="BK47" i="3" s="1"/>
  <c r="BK50" i="3" s="1"/>
  <c r="CA49" i="3"/>
  <c r="CA50" i="3" s="1"/>
  <c r="BH83" i="2"/>
  <c r="CP14" i="2"/>
  <c r="CP80" i="2"/>
  <c r="CP82" i="2" s="1"/>
  <c r="CP83" i="2" s="1"/>
  <c r="CP52" i="3"/>
  <c r="CP53" i="3" s="1"/>
  <c r="CP94" i="2"/>
  <c r="CP95" i="2" s="1"/>
  <c r="CP137" i="3"/>
  <c r="CP138" i="3" s="1"/>
  <c r="BH20" i="2"/>
  <c r="BH71" i="3" s="1"/>
  <c r="BH85" i="2"/>
  <c r="BI38" i="2"/>
  <c r="BI67" i="2"/>
  <c r="BI68" i="2" s="1"/>
  <c r="BI75" i="2"/>
  <c r="BI76" i="2"/>
  <c r="BI77" i="2" s="1"/>
  <c r="CP75" i="2"/>
  <c r="CP76" i="2"/>
  <c r="CP77" i="2" s="1"/>
  <c r="CP38" i="2"/>
  <c r="BK126" i="3"/>
  <c r="BJ128" i="3"/>
  <c r="BJ134" i="3" s="1"/>
  <c r="BJ135" i="3" s="1"/>
  <c r="BH40" i="2" l="1"/>
  <c r="BK65" i="2"/>
  <c r="BK36" i="2" s="1"/>
  <c r="CA64" i="2"/>
  <c r="CA65" i="2" s="1"/>
  <c r="BI20" i="2"/>
  <c r="BI71" i="3" s="1"/>
  <c r="BI85" i="2"/>
  <c r="BK128" i="3"/>
  <c r="BK134" i="3" s="1"/>
  <c r="BK135" i="3" s="1"/>
  <c r="CA126" i="3"/>
  <c r="CA128" i="3" s="1"/>
  <c r="CA134" i="3" s="1"/>
  <c r="CA135" i="3" s="1"/>
  <c r="CP20" i="2"/>
  <c r="CP71" i="3" s="1"/>
  <c r="CP85" i="2"/>
  <c r="BZ40" i="2"/>
  <c r="BJ38" i="2"/>
  <c r="BJ67" i="2"/>
  <c r="BJ68" i="2" s="1"/>
  <c r="BJ75" i="2"/>
  <c r="BJ76" i="2"/>
  <c r="BJ77" i="2" s="1"/>
  <c r="BJ14" i="2"/>
  <c r="BK9" i="2"/>
  <c r="BJ80" i="2"/>
  <c r="BJ82" i="2" s="1"/>
  <c r="BJ83" i="2" s="1"/>
  <c r="BK90" i="2"/>
  <c r="BK91" i="2" s="1"/>
  <c r="BK98" i="2" s="1"/>
  <c r="BJ94" i="2"/>
  <c r="BJ95" i="2" s="1"/>
  <c r="BJ52" i="3"/>
  <c r="BJ53" i="3" s="1"/>
  <c r="BJ137" i="3"/>
  <c r="BJ138" i="3" s="1"/>
  <c r="CP40" i="2" l="1"/>
  <c r="BI40" i="2"/>
  <c r="BJ20" i="2"/>
  <c r="BJ71" i="3" s="1"/>
  <c r="BJ85" i="2"/>
  <c r="CA9" i="2"/>
  <c r="BK14" i="2"/>
  <c r="BK80" i="2"/>
  <c r="BK82" i="2" s="1"/>
  <c r="BK83" i="2" s="1"/>
  <c r="BK52" i="3"/>
  <c r="BK53" i="3" s="1"/>
  <c r="BK94" i="2"/>
  <c r="BK95" i="2" s="1"/>
  <c r="BK137" i="3"/>
  <c r="BK138" i="3" s="1"/>
  <c r="CA36" i="2"/>
  <c r="BK38" i="2"/>
  <c r="BK67" i="2"/>
  <c r="BK75" i="2"/>
  <c r="BK76" i="2"/>
  <c r="BK77" i="2" s="1"/>
  <c r="BJ40" i="2" l="1"/>
  <c r="BK68" i="2"/>
  <c r="CA67" i="2"/>
  <c r="CA68" i="2" s="1"/>
  <c r="CA14" i="2"/>
  <c r="CA80" i="2"/>
  <c r="CA82" i="2" s="1"/>
  <c r="CA83" i="2" s="1"/>
  <c r="CA94" i="2"/>
  <c r="CA95" i="2" s="1"/>
  <c r="CA52" i="3"/>
  <c r="CA53" i="3" s="1"/>
  <c r="CA137" i="3"/>
  <c r="CA138" i="3" s="1"/>
  <c r="CA38" i="2"/>
  <c r="CA75" i="2"/>
  <c r="CA76" i="2"/>
  <c r="CA77" i="2" s="1"/>
  <c r="BK20" i="2"/>
  <c r="BK71" i="3" s="1"/>
  <c r="BK85" i="2"/>
  <c r="BK40" i="2" l="1"/>
  <c r="CA20" i="2"/>
  <c r="CA71" i="3" s="1"/>
  <c r="CA85" i="2"/>
  <c r="CA40" i="2" l="1"/>
  <c r="AB1" i="3" s="1"/>
  <c r="AF1" i="3" l="1"/>
  <c r="AO1" i="2"/>
  <c r="AB1" i="55"/>
  <c r="AZ1" i="3"/>
  <c r="AH1" i="55"/>
  <c r="X1" i="3"/>
  <c r="CJ1" i="2"/>
  <c r="V1" i="55"/>
  <c r="BV1" i="55"/>
  <c r="BL1" i="3"/>
  <c r="R1" i="3"/>
  <c r="AR1" i="3"/>
  <c r="AC1" i="2"/>
  <c r="P1" i="55"/>
  <c r="AD1" i="3"/>
  <c r="AG1" i="2"/>
  <c r="BO1" i="2"/>
  <c r="BQ1" i="2"/>
  <c r="AV1" i="55"/>
  <c r="BU1" i="2"/>
  <c r="BB1" i="55"/>
  <c r="BR1" i="3"/>
  <c r="N1" i="55"/>
  <c r="V1" i="3"/>
  <c r="L1" i="3"/>
  <c r="T1" i="3"/>
  <c r="K1" i="2"/>
  <c r="M1" i="2"/>
  <c r="R1" i="55"/>
  <c r="J1" i="3"/>
  <c r="T1" i="55"/>
  <c r="BN1" i="3"/>
  <c r="N1" i="3"/>
  <c r="D1" i="3"/>
  <c r="CB1" i="2"/>
  <c r="CI1" i="55"/>
  <c r="L1" i="55"/>
  <c r="AX1" i="3"/>
  <c r="CF1" i="2"/>
  <c r="CH1" i="2"/>
  <c r="F1" i="3"/>
  <c r="CG1" i="3"/>
  <c r="H1" i="3"/>
  <c r="BB1" i="3"/>
  <c r="AH1" i="3"/>
  <c r="AR1" i="55"/>
  <c r="AN1" i="55"/>
  <c r="W1" i="2"/>
  <c r="AD1" i="55"/>
  <c r="AL1" i="3"/>
  <c r="AF1" i="55"/>
  <c r="AN1" i="3"/>
  <c r="X1" i="55"/>
  <c r="CG1" i="55"/>
  <c r="BP1" i="3"/>
  <c r="BC1" i="2"/>
  <c r="I1" i="2"/>
  <c r="BR1" i="55"/>
  <c r="CC1" i="3"/>
  <c r="BT1" i="55"/>
  <c r="CE1" i="3"/>
  <c r="BX1" i="55"/>
  <c r="CE1" i="55"/>
  <c r="AU1" i="2"/>
  <c r="BY1" i="2"/>
  <c r="Y1" i="2"/>
  <c r="BT1" i="3"/>
  <c r="CD1" i="2"/>
  <c r="BV1" i="3"/>
  <c r="BP1" i="55"/>
  <c r="H1" i="55"/>
  <c r="F1" i="55"/>
  <c r="AJ1" i="3"/>
  <c r="S1" i="2"/>
  <c r="U1" i="2"/>
  <c r="Z1" i="55"/>
  <c r="BL1" i="55"/>
  <c r="P1" i="3"/>
  <c r="CC1" i="55"/>
  <c r="G1" i="2"/>
  <c r="AP1" i="55"/>
  <c r="AY1" i="2"/>
  <c r="BA1" i="2"/>
  <c r="BN1" i="55"/>
  <c r="AA1" i="2"/>
  <c r="AV1" i="3"/>
  <c r="AM1" i="2"/>
  <c r="CL1" i="2"/>
  <c r="AQ1" i="2"/>
  <c r="AS1" i="2"/>
  <c r="AX1" i="55"/>
  <c r="AP1" i="3"/>
  <c r="AZ1" i="55"/>
  <c r="AE1" i="2"/>
  <c r="AL1" i="55"/>
  <c r="AT1" i="3"/>
  <c r="BX1" i="3"/>
  <c r="AI1" i="2"/>
  <c r="AT1" i="55"/>
  <c r="CI1" i="3"/>
  <c r="BS1" i="2"/>
  <c r="Q1" i="2"/>
  <c r="CB1" i="55"/>
  <c r="D1" i="55"/>
  <c r="BM1" i="2"/>
  <c r="BW1" i="2"/>
  <c r="E1" i="2"/>
  <c r="AW1" i="2"/>
  <c r="Z1" i="3"/>
  <c r="AJ1" i="55"/>
  <c r="J1" i="55"/>
  <c r="O1" i="2"/>
  <c r="AK1" i="2"/>
</calcChain>
</file>

<file path=xl/comments1.xml><?xml version="1.0" encoding="utf-8"?>
<comments xmlns="http://schemas.openxmlformats.org/spreadsheetml/2006/main">
  <authors>
    <author>josuev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牆仕@噁佇䙞彅卅䥔䅍䕔✨偅❓✬䕍乁Ⱗ儧䅕呒剅奌剟䱏❌✬〲ㄱ㐯❃〬Ⱜ✬⤧_x0018_＀＀_x0018_＀＀_x0008_＀＀_x0001_＀＀_x0001_＀＀쪲䬗㿤靡䷑F㘰㔳䉔䔭䙞彅卅䥔䅍䕔✨䅓䕌❓✬䕍乁Ⱗ儧䅕呒剅奌剟䱏❌✬〲ㄱㄯ❃〬Ⱜ✬⤧_x0018_＀＀_x0018_＀＀_x0008_＀＀_x0001_＀＀_x0001_＀＀豀碵꼝쐕靡䷑F㘰㔳䉔䔭䙞彅卅䥔䅍䕔✨䅓䕌❓✬䕍乁Ⱗ儧䅕呒剅奌剟䱏❌✬〲〱㐯❃〬Ⱜ✬⤧_x0018_＀＀_x0018_＀＀_x0008_＀＀_x0001_＀＀_x0001_＀＀豀碵꼝쐕뢴䷣!㘰㔳䉔䔭偞偟䥒䕃䅟䝖㐨㐰ㄵ㐬㔰㌴착_x0018_＀＀_x0018_＀＀_x0008_＀＀_x0001_＀＀_x0001_＀＀豀碵꼝쐕࿙乔@噁佇䙞彅卅䥔䅍䕔✨偅❓✬䕍乁Ⱗ儧䅕呒剅奌剟䱏❌✬〲ㄱ㈯❃〬Ⱜ✬⤧_x0018_＀＀_x0018_＀＀_x0008_＀＀_x0001_＀＀_x0001_＀＀㮧㱏䭧㿥縻乊@噁佇䙞彅卅䥔䅍䕔✨偅❓✬䕍乁Ⱗ儧䅕呒剅奌剟䱏❌✬〲㈱ㄯ❃〬Ⱜ✬⤧_x0018_＀＀_x0018_＀＀_x0008_＀＀_x0001_＀＀_x0001_＀＀跮䛆꓅㿥嫕䷀B剂䵃䙞彅卅䥔䅍䕔✨䅓䕌❓✬䕍乁Ⱗ儧䅕呒剅奌剟䱏❌✬〲ㄱㄯ❃〬Ⱜ✬⤧_x0018_＀＀_x0018_＀＀_x0008_＀＀_x0001_＀＀_x0001_＀＀＀＀＀＀怀䂜牆仕B噁佇䙞彅卅䥔䅍䕔✨䅓䕌❓✬䕍乁Ⱗ儧䅕呒剅奌剟䱏❌✬〲ㄱ㌯❃〬Ⱜ✬⤧_x0018_＀＀_x0018_＀＀_x0008_＀＀_x0001_＀＀_x0001_＀＀컙号曣䂃蓊仗@噁佇䙞彅卅䥔䅍䕔✨偅❓✬䕍乁Ⱗ儧䅕呒剅奌剟䱏❌✬〲ㄱ㐯❆〬Ⱜ✬⤧_x0018_＀＀_x0018_＀＀_x0008_＀＀_x0001_＀＀_x0001_＀＀௥膵㿦蓊仗@噁佇䙞彅卅䥔䅍䕔✨偅❓✬䕍乁Ⱗ儧䅕呒剅奌剟䱏❌✬〲㈱ㄯ❆〬Ⱜ✬⤧_x0018_＀＀_x0018_＀＀_x0008_＀＀_x0001_＀＀_x0001_＀＀ਾꏗ㵰㿤樦䷞@呁䱍䙞彅卅䥔䅍䕔✨偅❓✬䕍乁Ⱗ儧䅕呒剅奌剟䱏❌✬〲ㄱ㌯❃〬Ⱜ✬⤧_x0018_＀＀_x0018_＀＀_x0008_＀＀_x0001_＀＀_x0001_＀＀|⢜ᙓ㿊菕仗B噁佇䙞彅卅䥔䅍䕔✨䅓䕌❓✬䕍乁Ⱗ儧䅕呒剅奌剟䱏❌✬〲ㄱ㌯❆〬Ⱜ✬⤧_x0018_＀＀_x0018_＀＀_x0008_＀＀_x0001_＀＀_x0001_＀＀＀＀＀＀_xD800_䂂暶䷀_x001D_剂䵃偞偟䥒䕃䅟䝖㐨㐰ㄵ㐬㔰㌴착_x0018_＀＀_x0018_＀＀_x0008_＀＀_x0001_＀＀_x0001_＀＀䇞䳬쎡䁄劦䷦!㘰㔳䉔䔭偞偟䥒䕃䅟䝖㐨㐰㈸㐬㔰㐷착_x0018_＀＀_x0018_＀＀_x0008_＀＀_x0001_＀＀_x0001_＀＀豀碵꼝쐕樦䷞B呁䱍䙞彅卅䥔䅍䕔✨䅓䕌❓✬䕍乁Ⱗ儧䅕呒剅奌剟䱏❌✬〲ㄱ㌯❃〬Ⱜ✬⤧_x0018_＀＀_x0018_＀＀_x0008_＀＀_x0001_＀＀_x0001_＀＀쟣뮘릖䁿靲䷑F㘰㔳䉔䔭䙞彅卅䥔䅍䕔✨䅓䕌❓✬䕍乁Ⱗ儧䅕呒剅奌剟䱏❌✬〲ㄱ㈯❃〬Ⱜ✬⤧_x0018_＀＀_x0018_＀＀_x0008_＀＀_x0001_＀＀_x0001_＀＀豀碵꼝쐕爄乊_x001D_噁佇偞偟䥒䕃䅟䝖㐨㔰㐷㐬㘰㌶착_x0018_＀＀_x0018_＀＀_x0008_＀＀_x0001_＀＀_x0001_＀＀̞ힲ_xDFBB_䀿靲䷑D㘰㔳䉔䔭䙞彅卅䥔䅍䕔✨偅❓✬䕍乁Ⱗ儧䅕呒剅奌剟䱏❌✬〲ㄱ㌯❃〬Ⱜ✬⤧_x0018_＀＀_x0018_＀＀_x0008_＀＀_x0001_＀＀_x0001_＀＀豀碵꼝쐕嫕䷀@剂䵃䙞彅卅䥔䅍䕔✨偅❓✬䕍乁Ⱗ儧䅕呒剅奌剟䱏❌✬〲ㄱ㈯❃〬Ⱜ✬⤧_x0018_＀＀_x0018_＀＀_x0008_＀＀_x0001_＀＀_x0001_＀＀䦫簾䴙㿤靡䷑D㘰㔳䉔䔭䙞彅卅䥔䅍䕔✨偅❓✬䕍乁Ⱗ儧䅕呒剅奌剟䱏❌✬〲ㄱㄯ❃〬Ⱜ✬⤧_x0018_＀＀_x0018_＀＀_x0008_＀＀_x0001_＀＀_x0001_＀＀豀碵꼝쐕嫕䷀B剂䵃䙞彅卅䥔䅍䕔✨䅓䕌❓✬䕍乁Ⱗ儧䅕呒剅奌剟䱏❌✬〲ㄱ㈯❃〬Ⱜ✬⤧_x0018_＀＀_x0018_＀＀_x0008_＀＀_x0001_＀＀_x0001_＀＀㵱휊庣䂜靡䷑D㘰㔳䉔䔭䙞彅卅䥔䅍䕔✨偅❓✬䕍乁Ⱗ儧䅕呒剅奌剟䱏❌✬〲〱㐯❃〬Ⱜ✬⤧_x0018_＀＀_x0018_＀＀_x0008_＀＀_x0001_＀＀_x0001_＀＀豀碵꼝쐕縻乊B噁佇䙞彅卅䥔䅍䕔✨䅓䕌❓✬䕍乁Ⱗ儧䅕呒剅奌剟䱏❌✬〲㈱ㄯ❃〬Ⱜ✬⤧_x0018_＀＀_x0018_＀＀_x0008_＀＀_x0001_＀＀_x0001_＀＀ਾꏗ数䂃牆仕B噁佇䙞彅卅䥔䅍䕔✨䅓䕌❓✬䕍乁Ⱗ儧䅕呒剅奌剟䱏❌✬〲ㄱ㐯❃〬Ⱜ✬⤧_x0018_＀＀_x0018_＀＀_x0008_＀＀_x0001_＀＀_x0001_＀＀Ṑ樖觍䂂牆仕@噁佇䙞彅卅䥔䅍䕔✨偅❓✬䕍乁Ⱗ儧䅕呒剅奌剟䱏❌✬〲ㄱ㌯❃〬Ⱜ✬⤧_x0018_＀＀_x0018_＀＀_x0008_＀＀_x0001_＀＀_x0001_＀＀퓯驭袈㿦࿙乔B噁佇䙞彅卅䥔䅍䕔✨䅓䕌❓✬䕍乁Ⱗ儧䅕呒剅奌剟䱏❌✬〲ㄱ㈯❃〬Ⱜ✬⤧_x0018_＀＀_x0018_＀＀_x0008_＀＀_x0001_＀＀_x0001_＀＀蔟凫肸䂂蓊仗B噁佇䙞彅卅䥔䅍䕔✨䅓䕌❓✬䕍乁Ⱗ儧䅕呒剅奌剟䱏❌✬〲㈱ㄯ❆〬Ⱜ✬⤧_x0018_＀＀_x0018_＀＀_x0008_＀＀_x0001_＀＀_x0001_＀＀Ṑ樖觍䂂蓊仗B噁佇䙞彅卅䥔䅍䕔✨䅓䕌❓✬䕍乁Ⱗ儧䅕呒剅奌剟䱏❌✬〲ㄱ㐯❆〬Ⱜ✬⤧_x0018_＀＀_x0018_＀＀_x0008_＀＀_x0001_＀＀_x0001_＀＀컙号曣䂃菕仗@噁佇䙞彅卅䥔䅍䕔✨偅❓✬䕍乁Ⱗ儧䅕呒剅奌剟䱏❌✬〲ㄱ㌯❆〬Ⱜ✬⤧_x0018_＀＀_x0018_＀＀_x0008_＀＀_x0001_＀＀_x0001_＀＀尨슏㿥樦䷞@呁䱍䙞彅卅䥔䅍䕔✨偅❓✬䕍乁Ⱗ儧䅕呒剅奌剟䱏❌✬〲ㄱ㈯❃〬Ⱜ✬⤧_x0018_＀＀_x0018_＀＀_x0008_＀＀_x0001_＀＀_x0001_＀＀ꅗ쬷ᘛ㿇燯乊_x0019_偞偟䥒䕃䅟䝖㐨㔰㐷㐬㘰㌶착_x0018_＀＀_x0018_＀＀_x0008_＀＀_x0001_＀＀_x0001_＀＀豀碵꼝쐕퍽乓_x001D_噁佇偞偟䥒䕃䅟䝖㐨㘰㌶㐬㜰㔵착_x0018_＀＀_x0018_＀＀_x0008_＀＀_x0001_＀＀_x0001_＀＀ᬉ庞茩䁁踖䷷_x001D_噁佇偞偟䥒䕃䅟䝖㐨㐰㈸㐬㔰㐷착_x0018_＀＀_x0018_＀＀_x0008_＀＀_x0001_＀＀_x0001_＀＀¨켘裂䀺樦䷞B呁䱍䙞彅卅䥔䅍䕔✨䅓䕌❓✬䕍乁Ⱗ儧䅕呒剅奌剟䱏❌✬〲ㄱ㈯❃〬Ⱜ✬⤧_x0018_＀＀_x0018_＀＀_x0008_＀＀_x0001_＀＀_x0001_＀＀鮦⃄벰䁽靲䷑F㘰㔳䉔䔭䙞彅卅䥔䅍䕔✨䅓䕌❓✬䕍乁Ⱗ儧䅕呒剅奌剟䱏❌✬〲ㄱ㌯❃〬Ⱜ✬⤧_x0018_＀＀_x0018_＀＀_x0008_＀＀_x0001_＀＀_x0001_＀＀豀碵꼝쐕靲䷑D㘰㔳䉔䔭䙞彅卅䥔䅍䕔✨偅❓✬䕍乁Ⱗ儧䅕呒剅奌剟䱏❌✬〲ㄱ㈯❃〬Ⱜ✬⤧_x0018_＀＀_x0018_＀＀_x0008_＀＀_x0001_＀＀_x0001_＀＀豀碵꼝쐕嫕䷀@剂䵃䙞彅卅䥔䅍䕔✨偅❓✬䕍乁Ⱗ儧䅕呒剅奌剟䱏❌✬〲ㄱㄯ❃〬Ⱜ✬⤧_x0018_＀＀_x0018_＀＀_x0008_＀＀_x0001_＀＀_x0001_＀＀鎚餗_xDF80_㿦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1921</t>
        </r>
      </text>
    </comment>
  </commentList>
</comments>
</file>

<file path=xl/comments2.xml><?xml version="1.0" encoding="utf-8"?>
<comments xmlns="http://schemas.openxmlformats.org/spreadsheetml/2006/main">
  <authors>
    <author>devgans</author>
    <author>hazlett</author>
    <author>kimmic</author>
    <author>sergiol</author>
    <author>Lira, Sergio (Research)</author>
    <author>hettenba</author>
    <author>josuev</author>
    <author>Alexander French</author>
    <author>Gonzalez, Andres (Research)</author>
    <author>DJF</author>
  </authors>
  <commentList>
    <comment ref="Z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July quarter revenue to increase 5% - 8% q/q.</t>
        </r>
      </text>
    </comment>
    <comment ref="AA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Revenue to increase 2% - 5%</t>
        </r>
      </text>
    </comment>
    <comment ref="AB8" authorId="1">
      <text>
        <r>
          <rPr>
            <b/>
            <sz val="8"/>
            <color indexed="81"/>
            <rFont val="Tahoma"/>
            <family val="2"/>
          </rPr>
          <t>MKim</t>
        </r>
        <r>
          <rPr>
            <sz val="8"/>
            <color indexed="81"/>
            <rFont val="Tahoma"/>
            <family val="2"/>
          </rPr>
          <t xml:space="preserve">
Guidance for down 10-14% q/q or 548M at the midpt- Per earnings release
Includes $10 - $20 million impact due to Thailand floods in Q1 (largely relates to their industrial business).</t>
        </r>
      </text>
    </comment>
    <comment ref="AC8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up 1%-4% q/q mid pt $577M</t>
        </r>
      </text>
    </comment>
    <comment ref="AD8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Up 3-6%</t>
        </r>
      </text>
    </comment>
    <comment ref="AE8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0-3% Q/Q</t>
        </r>
      </text>
    </comment>
    <comment ref="AF8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Down 5-9% Q/Q</t>
        </r>
      </text>
    </comment>
    <comment ref="AG8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Down 2-5% Q/Q</t>
        </r>
      </text>
    </comment>
    <comment ref="AH8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Revenue to be up 6%-9%</t>
        </r>
      </text>
    </comment>
    <comment ref="AI8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Revenue to be up 12-15%</t>
        </r>
      </text>
    </comment>
    <comment ref="AE17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14M in amortization + $1M if restructuring charges</t>
        </r>
      </text>
    </comment>
    <comment ref="AF17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16M in amortization + restructuring charges</t>
        </r>
      </text>
    </comment>
    <comment ref="AG17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17M in amortization + restructuring charges</t>
        </r>
      </text>
    </comment>
    <comment ref="AB20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Gross margin 47.5% +/- 100bps Per earnings release</t>
        </r>
      </text>
    </comment>
    <comment ref="AC20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GM 47.5% +/- 75bps</t>
        </r>
      </text>
    </comment>
    <comment ref="AD20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48.5%+/-75bps</t>
        </r>
      </text>
    </comment>
    <comment ref="AE20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48.5 +/- 75 bps</t>
        </r>
      </text>
    </comment>
    <comment ref="AF20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47.5% +/- 100 bps</t>
        </r>
      </text>
    </comment>
    <comment ref="AG20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47.5% +/- 100 bps</t>
        </r>
      </text>
    </comment>
    <comment ref="AH20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48% +/- 1%</t>
        </r>
      </text>
    </comment>
    <comment ref="AI20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Gross Margin 46%+/-1%</t>
        </r>
      </text>
    </comment>
    <comment ref="AH24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51% +/- 1%</t>
        </r>
      </text>
    </comment>
    <comment ref="AI24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GM 50%+/-1%</t>
        </r>
      </text>
    </comment>
    <comment ref="AM28" authorId="4">
      <text>
        <r>
          <rPr>
            <sz val="9"/>
            <color indexed="81"/>
            <rFont val="Tahoma"/>
            <family val="2"/>
          </rPr>
          <t>Hardcoded</t>
        </r>
      </text>
    </comment>
    <comment ref="AH43" authorId="5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CyOptics $1.2mn
</t>
        </r>
      </text>
    </comment>
    <comment ref="AI43" authorId="5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CyOptics $3.3mn
</t>
        </r>
      </text>
    </comment>
    <comment ref="AE57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$5M</t>
        </r>
      </text>
    </comment>
    <comment ref="J58" authorId="6">
      <text>
        <r>
          <rPr>
            <sz val="8"/>
            <color indexed="81"/>
            <rFont val="Tahoma"/>
            <family val="2"/>
          </rPr>
          <t>Acquired in-process R&amp;D</t>
        </r>
      </text>
    </comment>
    <comment ref="S58" authorId="6">
      <text>
        <r>
          <rPr>
            <sz val="8"/>
            <color indexed="81"/>
            <rFont val="Tahoma"/>
            <family val="2"/>
          </rPr>
          <t>Litigation settlement costs</t>
        </r>
      </text>
    </comment>
    <comment ref="AE59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$1M in restructuring charges</t>
        </r>
      </text>
    </comment>
    <comment ref="AB6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Opex $142M Per earnings release</t>
        </r>
      </text>
    </comment>
    <comment ref="AC6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Opex  $142M</t>
        </r>
      </text>
    </comment>
    <comment ref="AD6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Gaap Opex $152M</t>
        </r>
      </text>
    </comment>
    <comment ref="AE6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$143M</t>
        </r>
      </text>
    </comment>
    <comment ref="AF65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$151M</t>
        </r>
      </text>
    </comment>
    <comment ref="AG65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OpEx of $153m</t>
        </r>
      </text>
    </comment>
    <comment ref="AH65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Opex of $156m</t>
        </r>
      </text>
    </comment>
    <comment ref="AI65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Opex of $178m</t>
        </r>
      </text>
    </comment>
    <comment ref="AI66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Opex of $145m</t>
        </r>
      </text>
    </comment>
    <comment ref="AB7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Interest and other ($1M) press release</t>
        </r>
      </text>
    </comment>
    <comment ref="AC7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Interest and other $0M</t>
        </r>
      </text>
    </comment>
    <comment ref="AD7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Interest and Other $1M</t>
        </r>
      </text>
    </comment>
    <comment ref="AF74" authorId="2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 Interest and Other $1M</t>
        </r>
      </text>
    </comment>
    <comment ref="AG74" authorId="2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Guided Interest and Other $1m</t>
        </r>
      </text>
    </comment>
    <comment ref="AH74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Interest and Other $1m</t>
        </r>
      </text>
    </comment>
    <comment ref="AB76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Interest and other ($1M) press release</t>
        </r>
      </text>
    </comment>
    <comment ref="AC76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Interest and other $0M</t>
        </r>
      </text>
    </comment>
    <comment ref="Y77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Do not include "Loss on Extinguishment of Debt" put in line 85 instead</t>
        </r>
      </text>
    </comment>
    <comment ref="Z77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Do not include "Loss on Extinguishment of Debt" put in line 85 instead</t>
        </r>
      </text>
    </comment>
    <comment ref="AH77" authorId="5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$200k impact from cash paid for CyOptics
</t>
        </r>
      </text>
    </comment>
    <comment ref="AI77" authorId="5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$500 impact form CyOptcis
</t>
        </r>
      </text>
    </comment>
    <comment ref="AI79" authorId="7">
      <text>
        <r>
          <rPr>
            <b/>
            <sz val="8"/>
            <color indexed="81"/>
            <rFont val="Tahoma"/>
            <family val="2"/>
          </rPr>
          <t>Alexander French:</t>
        </r>
        <r>
          <rPr>
            <sz val="8"/>
            <color indexed="81"/>
            <rFont val="Tahoma"/>
            <family val="2"/>
          </rPr>
          <t xml:space="preserve">
Loss on extinguistment of debt.</t>
        </r>
      </text>
    </comment>
    <comment ref="AL79" authorId="8">
      <text>
        <r>
          <rPr>
            <sz val="9"/>
            <color indexed="81"/>
            <rFont val="Tahoma"/>
            <family val="2"/>
          </rPr>
          <t>Discontinued Operations</t>
        </r>
      </text>
    </comment>
    <comment ref="AB8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Taxe Guidance $4M per press release</t>
        </r>
      </text>
    </comment>
    <comment ref="AC8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Taxes $7M</t>
        </r>
      </text>
    </comment>
    <comment ref="AD8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Taxes $7M</t>
        </r>
      </text>
    </comment>
    <comment ref="AF85" authorId="2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 Taxes $7M</t>
        </r>
      </text>
    </comment>
    <comment ref="AG85" authorId="2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Guided Taxes $6m</t>
        </r>
      </text>
    </comment>
    <comment ref="AH85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Taxes $6m</t>
        </r>
      </text>
    </comment>
    <comment ref="AI85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Taxes of $6m</t>
        </r>
      </text>
    </comment>
    <comment ref="AB8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Long-term tax rate to be 3-4% of revs.</t>
        </r>
      </text>
    </comment>
    <comment ref="AI88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Taxes of $12m</t>
        </r>
      </text>
    </comment>
    <comment ref="BN102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Net Income off $1M bc old model did not add back sbc in cogs</t>
        </r>
      </text>
    </comment>
    <comment ref="BQ106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off by 5 cents from old model since share calucuation averaging wrong columns</t>
        </r>
      </text>
    </comment>
    <comment ref="H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I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J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K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L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M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O113" authorId="6">
      <text>
        <r>
          <rPr>
            <sz val="8"/>
            <color indexed="81"/>
            <rFont val="Tahoma"/>
            <family val="2"/>
          </rPr>
          <t>Assumed as Diluted Shares since data is no longer available</t>
        </r>
      </text>
    </comment>
    <comment ref="Z11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Gaap Sharecount to be 253 million.</t>
        </r>
      </text>
    </comment>
    <comment ref="AB11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share guidance 251M per press release</t>
        </r>
      </text>
    </comment>
    <comment ref="AC11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Diluted Shares Gaap 251</t>
        </r>
      </text>
    </comment>
    <comment ref="AD11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Gaap 251M</t>
        </r>
      </text>
    </comment>
    <comment ref="AE114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251M shares</t>
        </r>
      </text>
    </comment>
    <comment ref="AF114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251M shares</t>
        </r>
      </text>
    </comment>
    <comment ref="AG114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252m shares</t>
        </r>
      </text>
    </comment>
    <comment ref="AH114" authorId="3">
      <text>
        <r>
          <rPr>
            <b/>
            <sz val="8"/>
            <color indexed="81"/>
            <rFont val="Tahoma"/>
            <family val="2"/>
          </rPr>
          <t>CH:</t>
        </r>
        <r>
          <rPr>
            <sz val="8"/>
            <color indexed="81"/>
            <rFont val="Tahoma"/>
            <family val="2"/>
          </rPr>
          <t xml:space="preserve">
253m shares</t>
        </r>
      </text>
    </comment>
    <comment ref="AI114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254m shares</t>
        </r>
      </text>
    </comment>
    <comment ref="Z11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Gaap Sharecount to be 253 million.</t>
        </r>
      </text>
    </comment>
    <comment ref="AB11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share guidance 251M per press release</t>
        </r>
      </text>
    </comment>
    <comment ref="AC11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Diluted Shares Gaap 251</t>
        </r>
      </text>
    </comment>
    <comment ref="AD11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Gaap 251M</t>
        </r>
      </text>
    </comment>
    <comment ref="AE11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251M shares</t>
        </r>
      </text>
    </comment>
    <comment ref="AF115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251M shares</t>
        </r>
      </text>
    </comment>
    <comment ref="AG115" authorId="1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252m shares</t>
        </r>
      </text>
    </comment>
    <comment ref="AH115" authorId="3">
      <text>
        <r>
          <rPr>
            <b/>
            <sz val="8"/>
            <color indexed="81"/>
            <rFont val="Tahoma"/>
            <family val="2"/>
          </rPr>
          <t>CH:</t>
        </r>
        <r>
          <rPr>
            <sz val="8"/>
            <color indexed="81"/>
            <rFont val="Tahoma"/>
            <family val="2"/>
          </rPr>
          <t xml:space="preserve">
253m shares</t>
        </r>
      </text>
    </comment>
    <comment ref="AI115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254m shares</t>
        </r>
      </text>
    </comment>
    <comment ref="AA120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updated 9-8-11 per press release </t>
        </r>
      </text>
    </comment>
    <comment ref="AE12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$2M of SBC</t>
        </r>
      </text>
    </comment>
    <comment ref="AI12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$2M of SBC</t>
        </r>
      </text>
    </comment>
    <comment ref="AH128" authorId="9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</t>
        </r>
      </text>
    </comment>
  </commentList>
</comments>
</file>

<file path=xl/comments3.xml><?xml version="1.0" encoding="utf-8"?>
<comments xmlns="http://schemas.openxmlformats.org/spreadsheetml/2006/main">
  <authors>
    <author>josuev</author>
    <author>Gonzalez, Andres (Research)</author>
  </authors>
  <commentList>
    <comment ref="D13" authorId="0">
      <text>
        <r>
          <rPr>
            <sz val="8"/>
            <color indexed="81"/>
            <rFont val="Tahoma"/>
            <family val="2"/>
          </rPr>
          <t>Includes Assets of discontinued operations</t>
        </r>
      </text>
    </comment>
    <comment ref="E13" authorId="0">
      <text>
        <r>
          <rPr>
            <sz val="8"/>
            <color indexed="81"/>
            <rFont val="Tahoma"/>
            <family val="2"/>
          </rPr>
          <t>Includes Assets of discontinued operations</t>
        </r>
      </text>
    </comment>
    <comment ref="K13" authorId="0">
      <text>
        <r>
          <rPr>
            <sz val="8"/>
            <color indexed="81"/>
            <rFont val="Tahoma"/>
            <family val="2"/>
          </rPr>
          <t>Includes Assets of discontinued operations</t>
        </r>
      </text>
    </comment>
    <comment ref="AM13" authorId="1">
      <text>
        <r>
          <rPr>
            <sz val="9"/>
            <color indexed="81"/>
            <rFont val="Tahoma"/>
            <family val="2"/>
          </rPr>
          <t>Include assets held for sale</t>
        </r>
      </text>
    </comment>
    <comment ref="D27" authorId="0">
      <text>
        <r>
          <rPr>
            <sz val="8"/>
            <color indexed="81"/>
            <rFont val="Tahoma"/>
            <family val="2"/>
          </rPr>
          <t>Includes liabilities of discontinued operations</t>
        </r>
      </text>
    </comment>
    <comment ref="E27" authorId="0">
      <text>
        <r>
          <rPr>
            <sz val="8"/>
            <color indexed="81"/>
            <rFont val="Tahoma"/>
            <family val="2"/>
          </rPr>
          <t>Includes liabilities of discontinued operations</t>
        </r>
      </text>
    </comment>
    <comment ref="AM34" authorId="1">
      <text>
        <r>
          <rPr>
            <sz val="9"/>
            <color indexed="81"/>
            <rFont val="Tahoma"/>
            <family val="2"/>
          </rPr>
          <t>Includes Pension-Post retirment benefit obligations</t>
        </r>
      </text>
    </comment>
  </commentList>
</comments>
</file>

<file path=xl/comments4.xml><?xml version="1.0" encoding="utf-8"?>
<comments xmlns="http://schemas.openxmlformats.org/spreadsheetml/2006/main">
  <authors>
    <author>josuev</author>
    <author>DJF</author>
    <author>Gonzalez, Andres (Research)</author>
    <author>kimmic</author>
  </authors>
  <commentList>
    <comment ref="H17" authorId="0">
      <text>
        <r>
          <rPr>
            <sz val="8"/>
            <color indexed="81"/>
            <rFont val="Tahoma"/>
            <family val="2"/>
          </rPr>
          <t>Non cash portion of restructuring charges</t>
        </r>
      </text>
    </comment>
    <comment ref="I17" authorId="0">
      <text>
        <r>
          <rPr>
            <sz val="8"/>
            <color indexed="81"/>
            <rFont val="Tahoma"/>
            <family val="2"/>
          </rPr>
          <t>Non cash portion of restructuring charges</t>
        </r>
      </text>
    </comment>
    <comment ref="J17" authorId="0">
      <text>
        <r>
          <rPr>
            <sz val="8"/>
            <color indexed="81"/>
            <rFont val="Tahoma"/>
            <family val="2"/>
          </rPr>
          <t>Includes Asset impairment charges, Non cash portion of restructuring charges, and Acquired in process R&amp;D</t>
        </r>
      </text>
    </comment>
    <comment ref="K17" authorId="0">
      <text>
        <r>
          <rPr>
            <sz val="8"/>
            <color indexed="81"/>
            <rFont val="Tahoma"/>
            <family val="2"/>
          </rPr>
          <t>Includes Gain on discontinued operations, and Acquired in process R&amp;D</t>
        </r>
      </text>
    </comment>
    <comment ref="L17" authorId="0">
      <text>
        <r>
          <rPr>
            <sz val="8"/>
            <color indexed="81"/>
            <rFont val="Tahoma"/>
            <family val="2"/>
          </rPr>
          <t>Gain on discontinued operations</t>
        </r>
      </text>
    </comment>
    <comment ref="N17" authorId="0">
      <text>
        <r>
          <rPr>
            <sz val="8"/>
            <color indexed="81"/>
            <rFont val="Tahoma"/>
            <family val="2"/>
          </rPr>
          <t>Gain on discontinued operations</t>
        </r>
      </text>
    </comment>
    <comment ref="O17" authorId="0">
      <text>
        <r>
          <rPr>
            <sz val="8"/>
            <color indexed="81"/>
            <rFont val="Tahoma"/>
            <family val="2"/>
          </rPr>
          <t>Gain on discontinued operations</t>
        </r>
      </text>
    </comment>
    <comment ref="Q17" authorId="0">
      <text>
        <r>
          <rPr>
            <sz val="8"/>
            <color indexed="81"/>
            <rFont val="Tahoma"/>
            <family val="2"/>
          </rPr>
          <t>Includes Non cash portion of restructuring charges</t>
        </r>
      </text>
    </comment>
    <comment ref="AH29" authorId="1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CyOptics deal closing</t>
        </r>
      </text>
    </comment>
    <comment ref="AM30" authorId="2">
      <text>
        <r>
          <rPr>
            <sz val="9"/>
            <color indexed="81"/>
            <rFont val="Tahoma"/>
            <family val="2"/>
          </rPr>
          <t>Sale of discontinued operations</t>
        </r>
      </text>
    </comment>
    <comment ref="AN30" authorId="2">
      <text>
        <r>
          <rPr>
            <sz val="9"/>
            <color indexed="81"/>
            <rFont val="Tahoma"/>
            <family val="2"/>
          </rPr>
          <t>Sale of discontinued operations</t>
        </r>
      </text>
    </comment>
    <comment ref="E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F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H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I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K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L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N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Q32" authorId="0">
      <text>
        <r>
          <rPr>
            <sz val="8"/>
            <color indexed="81"/>
            <rFont val="Tahoma"/>
            <family val="2"/>
          </rPr>
          <t>Includes Proceeds from sale of discontinued operations</t>
        </r>
      </text>
    </comment>
    <comment ref="AM32" authorId="2">
      <text>
        <r>
          <rPr>
            <sz val="9"/>
            <color indexed="81"/>
            <rFont val="Tahoma"/>
            <family val="2"/>
          </rPr>
          <t>Proceed from sale of investments</t>
        </r>
      </text>
    </comment>
    <comment ref="AN32" authorId="2">
      <text>
        <r>
          <rPr>
            <sz val="9"/>
            <color indexed="81"/>
            <rFont val="Tahoma"/>
            <family val="2"/>
          </rPr>
          <t>Proceeds from disposals of property, plant and equipment</t>
        </r>
      </text>
    </comment>
    <comment ref="Y36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debt financing costs</t>
        </r>
      </text>
    </comment>
    <comment ref="J42" authorId="0">
      <text>
        <r>
          <rPr>
            <sz val="8"/>
            <color indexed="81"/>
            <rFont val="Tahoma"/>
            <family val="2"/>
          </rPr>
          <t>Cash settlement of equity awards</t>
        </r>
      </text>
    </comment>
    <comment ref="K42" authorId="0">
      <text>
        <r>
          <rPr>
            <sz val="8"/>
            <color indexed="81"/>
            <rFont val="Tahoma"/>
            <family val="2"/>
          </rPr>
          <t>Cash settlement of equity awards</t>
        </r>
      </text>
    </comment>
    <comment ref="L42" authorId="0">
      <text>
        <r>
          <rPr>
            <sz val="8"/>
            <color indexed="81"/>
            <rFont val="Tahoma"/>
            <family val="2"/>
          </rPr>
          <t>Cash settlement of equity awards</t>
        </r>
      </text>
    </comment>
    <comment ref="O42" authorId="0">
      <text>
        <r>
          <rPr>
            <sz val="8"/>
            <color indexed="81"/>
            <rFont val="Tahoma"/>
            <family val="2"/>
          </rPr>
          <t>Cash settlement of equity awards</t>
        </r>
      </text>
    </comment>
    <comment ref="Q42" authorId="0">
      <text>
        <r>
          <rPr>
            <sz val="8"/>
            <color indexed="81"/>
            <rFont val="Tahoma"/>
            <family val="2"/>
          </rPr>
          <t>Cash settlement of equity awards</t>
        </r>
      </text>
    </comment>
    <comment ref="AF66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CapEx in range of $75-$85m</t>
        </r>
      </text>
    </comment>
    <comment ref="AC72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Formula needs to be rolled over to balance</t>
        </r>
      </text>
    </comment>
    <comment ref="AF80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Depreciation $20m and Amortization $19m</t>
        </r>
      </text>
    </comment>
  </commentList>
</comments>
</file>

<file path=xl/comments5.xml><?xml version="1.0" encoding="utf-8"?>
<comments xmlns="http://schemas.openxmlformats.org/spreadsheetml/2006/main">
  <authors>
    <author>hettenba</author>
  </authors>
  <commentList>
    <comment ref="AK54" authorId="0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Change in Cyoptics model - shift to components and away from modules. The CM will do module
</t>
        </r>
      </text>
    </comment>
    <comment ref="AL54" authorId="0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busines model shift - assume 2 quarter event
</t>
        </r>
      </text>
    </comment>
    <comment ref="AO54" authorId="0">
      <text>
        <r>
          <rPr>
            <b/>
            <sz val="8"/>
            <color indexed="81"/>
            <rFont val="Tahoma"/>
            <family val="2"/>
          </rPr>
          <t>hettenba:</t>
        </r>
        <r>
          <rPr>
            <sz val="8"/>
            <color indexed="81"/>
            <rFont val="Tahoma"/>
            <family val="2"/>
          </rPr>
          <t xml:space="preserve">
busines model shift - assume 2 quarter event
</t>
        </r>
      </text>
    </comment>
  </commentList>
</comments>
</file>

<file path=xl/sharedStrings.xml><?xml version="1.0" encoding="utf-8"?>
<sst xmlns="http://schemas.openxmlformats.org/spreadsheetml/2006/main" count="1215" uniqueCount="794">
  <si>
    <t>Other income (expense), net</t>
  </si>
  <si>
    <t>Total Interest Income (net) and Other Income - MW</t>
  </si>
  <si>
    <t>PBT - MW</t>
  </si>
  <si>
    <t>Taxes-SBC</t>
  </si>
  <si>
    <t>Taxes-Extraordinary</t>
  </si>
  <si>
    <t>Income Tax Expense (Benefit) - MW</t>
  </si>
  <si>
    <t>Effective tax rate MW</t>
  </si>
  <si>
    <t>SBC, net of tax</t>
  </si>
  <si>
    <t>Net Income - GAAP</t>
  </si>
  <si>
    <t>EPS - GAAP</t>
  </si>
  <si>
    <t>EPS - non GAAP</t>
  </si>
  <si>
    <t xml:space="preserve">EPS - MW </t>
  </si>
  <si>
    <t>Average Basic Shares - GAAP</t>
  </si>
  <si>
    <t>Dilution Ratio</t>
  </si>
  <si>
    <t>Avago's Wired Infrastructure</t>
  </si>
  <si>
    <t>Networking</t>
  </si>
  <si>
    <t>Industrial &amp; Other</t>
  </si>
  <si>
    <t>CY2016E</t>
  </si>
  <si>
    <t>CY2017E</t>
  </si>
  <si>
    <t>CY2018E</t>
  </si>
  <si>
    <t>CY2019E</t>
  </si>
  <si>
    <t>F3Q17E</t>
  </si>
  <si>
    <t>Dividends Declared Per Share</t>
  </si>
  <si>
    <t>Statutory Tax (%)</t>
  </si>
  <si>
    <t>Operating Expenses</t>
  </si>
  <si>
    <t>Actual/Estimate Toggle</t>
  </si>
  <si>
    <t>Fiscal Year</t>
  </si>
  <si>
    <t>Fiscal Quarter</t>
  </si>
  <si>
    <t>Calendar Year</t>
  </si>
  <si>
    <t>Calendar Quarter</t>
  </si>
  <si>
    <t>USD</t>
  </si>
  <si>
    <t>A</t>
  </si>
  <si>
    <t>E</t>
  </si>
  <si>
    <t>Assets</t>
  </si>
  <si>
    <t>Cash and cash equivalents</t>
  </si>
  <si>
    <t>Accounts receivables, net</t>
  </si>
  <si>
    <t>Total Current Assets</t>
  </si>
  <si>
    <t>Goodwill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</si>
  <si>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</si>
  <si>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</si>
  <si>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</si>
  <si>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</si>
  <si>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</si>
  <si>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</si>
  <si>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</si>
  <si>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</si>
  <si>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</si>
  <si>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</si>
  <si>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</si>
  <si>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</si>
  <si>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</si>
  <si>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</si>
  <si>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</si>
  <si>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</si>
  <si>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</si>
  <si>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</si>
  <si>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</si>
  <si>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</si>
  <si>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</si>
  <si>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</si>
  <si>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</si>
  <si>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</si>
  <si>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</si>
  <si>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</si>
  <si>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</si>
  <si>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</si>
  <si>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</si>
  <si>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</si>
  <si>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</si>
  <si>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</si>
  <si>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Adjustments to reconcile net income to net cash provided by operating activities:</t>
  </si>
  <si>
    <t>Depreciation and amortization</t>
  </si>
  <si>
    <t>Stock-based compensation expense</t>
  </si>
  <si>
    <t>Other operating activities</t>
  </si>
  <si>
    <t>Changes in current assets and liabilities:</t>
  </si>
  <si>
    <t>Accounts receivable</t>
  </si>
  <si>
    <t>Inventory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</si>
  <si>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</si>
  <si>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</si>
  <si>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</si>
  <si>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</si>
  <si>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</si>
  <si>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</si>
  <si>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</si>
  <si>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</si>
  <si>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</si>
  <si>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</si>
  <si>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</si>
  <si>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</si>
  <si>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</si>
  <si>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</si>
  <si>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</si>
  <si>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</si>
  <si>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</si>
  <si>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</si>
  <si>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</si>
  <si>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</si>
  <si>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</si>
  <si>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Percentage of Gross PP&amp;E</t>
  </si>
  <si>
    <t>vs. Cash Flow Statement</t>
  </si>
  <si>
    <t>Cash Flow Statement Metrics</t>
  </si>
  <si>
    <t>Adjusted FCF</t>
  </si>
  <si>
    <t>Other financing activities</t>
  </si>
  <si>
    <t>Revenue</t>
  </si>
  <si>
    <t>Gross Margin</t>
  </si>
  <si>
    <t>GAAP Net Income</t>
  </si>
  <si>
    <t>Capex</t>
  </si>
  <si>
    <t>BRCM.O,mscalc:sedolCodeCalc</t>
  </si>
  <si>
    <t>BRCM.O,mscalc:closePriceCurrencyCalc</t>
  </si>
  <si>
    <t>BRCM.O,mscalc:targetPrice,,,,USD</t>
  </si>
  <si>
    <t>Q-o-Q growth</t>
  </si>
  <si>
    <t>Y-o-Y growth</t>
  </si>
  <si>
    <t>Percent of Revenue</t>
  </si>
  <si>
    <t>Total Bottoms Up Revenue</t>
  </si>
  <si>
    <t>Actual Revenue from Income Statement</t>
  </si>
  <si>
    <t>BU / Income Statement Check</t>
  </si>
  <si>
    <t>100% Check</t>
  </si>
  <si>
    <t>This sheet contains Factset binary data for use with this workbook's =FDS codes.  Modifying the worksheet's contents may damage the workbook's =FDS functionality.</t>
  </si>
  <si>
    <t>COGS</t>
  </si>
  <si>
    <t>Difference</t>
  </si>
  <si>
    <t>Gross Profit</t>
  </si>
  <si>
    <t>R&amp;D</t>
  </si>
  <si>
    <t>SG&amp;A</t>
  </si>
  <si>
    <t>Operating Income</t>
  </si>
  <si>
    <t>Interest expense</t>
  </si>
  <si>
    <t>Net Income</t>
  </si>
  <si>
    <t>Long-term debt</t>
  </si>
  <si>
    <t>2235822</t>
  </si>
  <si>
    <t>48</t>
  </si>
  <si>
    <t>TXN.N,mscalc:sedolCodeCalc</t>
  </si>
  <si>
    <t>TXN.N,mscalc:closePriceCurrencyCalc</t>
  </si>
  <si>
    <t>TXN.N,mscalc:targetPrice,,,,USD</t>
  </si>
  <si>
    <t>NA</t>
  </si>
  <si>
    <t>-</t>
  </si>
  <si>
    <t>Currency</t>
  </si>
  <si>
    <t>Current Stock Price</t>
  </si>
  <si>
    <t>Count</t>
  </si>
  <si>
    <t>Current portion of long-term debt</t>
  </si>
  <si>
    <t>Proceeds from sale of property and equipment</t>
  </si>
  <si>
    <t>Payments to repurchase stock</t>
  </si>
  <si>
    <t>Interest income</t>
  </si>
  <si>
    <t>Restructuring charges</t>
  </si>
  <si>
    <t>Loss (gain) on sale of assets</t>
  </si>
  <si>
    <t>Intangible assets, net</t>
  </si>
  <si>
    <t>Other assets</t>
  </si>
  <si>
    <t>Other long-term liabilities</t>
  </si>
  <si>
    <t>Asset impairment charges</t>
  </si>
  <si>
    <t>Accrued and other liabilities</t>
  </si>
  <si>
    <t>Excess tax benefit on stock-based compensation</t>
  </si>
  <si>
    <t>Acquisition of intangible assets</t>
  </si>
  <si>
    <t>Payments on (Proceeds from) debt, net</t>
  </si>
  <si>
    <t>AVGO.O</t>
  </si>
  <si>
    <t>AVGO.O,mscalc:closePriceCurrencyCalc</t>
  </si>
  <si>
    <t>AVGO.O,mscalc:sedolCodeCalc</t>
  </si>
  <si>
    <t>AVGO.O,mscalc:targetPrice,,,,USD</t>
  </si>
  <si>
    <t>Avago Technologies Ltd.</t>
  </si>
  <si>
    <t>Amortization of intangible assets</t>
  </si>
  <si>
    <t>Acquired in-process R&amp;D</t>
  </si>
  <si>
    <t>Wireless communications</t>
  </si>
  <si>
    <t>Industrial &amp; Automotive</t>
  </si>
  <si>
    <t>Consumer and Computing Peripherals</t>
  </si>
  <si>
    <t>Employee Compensation and Benefits</t>
  </si>
  <si>
    <t>Capital Lease obligations - current</t>
  </si>
  <si>
    <t>Capital Lease obligations - non-current</t>
  </si>
  <si>
    <t>Other current liabilities</t>
  </si>
  <si>
    <t>Other current assets</t>
  </si>
  <si>
    <t>Property, plant and equipment, net</t>
  </si>
  <si>
    <t>Amortization of debt issuance costs</t>
  </si>
  <si>
    <t>Employee compensation and benefits</t>
  </si>
  <si>
    <t>Other current assets and current liabilities</t>
  </si>
  <si>
    <t>Other long-term assets and long-term liabilities</t>
  </si>
  <si>
    <t>Acquisitions and investments, net</t>
  </si>
  <si>
    <t>Acquisition of property and equipment</t>
  </si>
  <si>
    <t>Issuance of ordinary stock</t>
  </si>
  <si>
    <t>Payment on capital lease obligation</t>
  </si>
  <si>
    <t>Excess tax benefit on share-based compensation</t>
  </si>
  <si>
    <t>Dividend payments to shareholders</t>
  </si>
  <si>
    <t>Gain/Loss on disposal of PP&amp;E</t>
  </si>
  <si>
    <t>Loss on extinguishment of debt</t>
  </si>
  <si>
    <t>Other liabilities as % of operating liabilities</t>
  </si>
  <si>
    <t>($ in millions; fiscal year ends in October)</t>
  </si>
  <si>
    <t>CY2007</t>
  </si>
  <si>
    <t>CY2006</t>
  </si>
  <si>
    <t>CY2008</t>
  </si>
  <si>
    <t>CY2009</t>
  </si>
  <si>
    <t>CY2010</t>
  </si>
  <si>
    <t>XLNX.O,mscalc:targetPrice,,,,USD</t>
  </si>
  <si>
    <t>,mscalc:closePriceCurrencyCalc</t>
  </si>
  <si>
    <t>,mscalc:sedolCodeCalc</t>
  </si>
  <si>
    <t>XLNX.O,mscalc:sedolCodeCalc</t>
  </si>
  <si>
    <t>XLNX.O,mscalc:closePriceCurrencyCalc</t>
  </si>
  <si>
    <t>,mscalc:targetPrice,,,,USD</t>
  </si>
  <si>
    <t>2985677</t>
  </si>
  <si>
    <t>AVGO.O,mscalc:targetPrice</t>
  </si>
  <si>
    <t>FY2017E</t>
  </si>
  <si>
    <t>FY2018E</t>
  </si>
  <si>
    <t>FY2019E</t>
  </si>
  <si>
    <t>Company</t>
  </si>
  <si>
    <t>Q/Q Change</t>
  </si>
  <si>
    <t>Gross Margins</t>
  </si>
  <si>
    <t xml:space="preserve"> </t>
  </si>
  <si>
    <t>Bottoms Up Segment Model Build</t>
  </si>
  <si>
    <t>5 year average Q-o-Q growth</t>
  </si>
  <si>
    <t>Percent Gross Margin</t>
  </si>
  <si>
    <t>COGS Worksheet:</t>
  </si>
  <si>
    <t>Variable cost portion</t>
  </si>
  <si>
    <t>% of Revenues</t>
  </si>
  <si>
    <t>Depreciation</t>
  </si>
  <si>
    <t>Other fixed costs</t>
  </si>
  <si>
    <t>Total Bottoms Up Gross Margin</t>
  </si>
  <si>
    <t>Gross Margin %</t>
  </si>
  <si>
    <t>Actual Gross Margin from Income Statement</t>
  </si>
  <si>
    <t>Actual Operating Income from Income Statement</t>
  </si>
  <si>
    <t>Revenues by Customer/Distributor ($)</t>
  </si>
  <si>
    <t xml:space="preserve">Total </t>
  </si>
  <si>
    <t>Revenues by Customer/Distributor (%)</t>
  </si>
  <si>
    <t>Revenues by Geography ($)</t>
  </si>
  <si>
    <t>Revenues by Geography (%)</t>
  </si>
  <si>
    <t>Foxconn Technology Group</t>
  </si>
  <si>
    <t>Revenues by Market ($)</t>
  </si>
  <si>
    <t>Revenues by Market (%)</t>
  </si>
  <si>
    <t>China</t>
  </si>
  <si>
    <t>United States</t>
  </si>
  <si>
    <t>Germany</t>
  </si>
  <si>
    <t>Korea</t>
  </si>
  <si>
    <t>Singapore</t>
  </si>
  <si>
    <t>Rest of the World</t>
  </si>
  <si>
    <t>10 main customers (including distributors)</t>
  </si>
  <si>
    <t>Other customers</t>
  </si>
  <si>
    <t>Consensus Revs.</t>
  </si>
  <si>
    <t>One-time Items</t>
  </si>
  <si>
    <t>% of Revs.</t>
  </si>
  <si>
    <t>% of Rev. Growth</t>
  </si>
  <si>
    <t>SG&amp;A - MW</t>
  </si>
  <si>
    <t>Other</t>
  </si>
  <si>
    <t>Operating Margin %</t>
  </si>
  <si>
    <t>Income Tax Expense (Benefit)</t>
  </si>
  <si>
    <t>Total Interest Income (net) and Other Income</t>
  </si>
  <si>
    <t>Effective tax rate %</t>
  </si>
  <si>
    <t>Extraordinary Items</t>
  </si>
  <si>
    <t>EPS - Consensus</t>
  </si>
  <si>
    <t>Share Count and Dividend Summary</t>
  </si>
  <si>
    <t>Enterprise Storage</t>
  </si>
  <si>
    <t>F2Q14A</t>
  </si>
  <si>
    <t>Wired Infrastructure Revenue</t>
  </si>
  <si>
    <t xml:space="preserve"> IP Revenue</t>
  </si>
  <si>
    <t>Period-end Shares (Do not delete)</t>
  </si>
  <si>
    <t>Stock Based Compensation</t>
  </si>
  <si>
    <t>COGs</t>
  </si>
  <si>
    <t>Subtotal</t>
  </si>
  <si>
    <t>Non-GAAP Measures</t>
  </si>
  <si>
    <t>Percentage of Revenue</t>
  </si>
  <si>
    <t>Other Expense</t>
  </si>
  <si>
    <t>Income Tax Expense</t>
  </si>
  <si>
    <t>Non-GAAP EPS</t>
  </si>
  <si>
    <t>Reconciliations</t>
  </si>
  <si>
    <t>Reconciliation of GAAP to MS Modelware</t>
  </si>
  <si>
    <t>Amortization of Intangibles</t>
  </si>
  <si>
    <t>One-time items</t>
  </si>
  <si>
    <t>Tax Effect</t>
  </si>
  <si>
    <t>Modelware Net Income</t>
  </si>
  <si>
    <t>Non-GAAP Net Income</t>
  </si>
  <si>
    <t>Included in COGs</t>
  </si>
  <si>
    <t>Included in Other OpEx</t>
  </si>
  <si>
    <t>Net Income - non GAAP</t>
  </si>
  <si>
    <t>Net Income - MW</t>
  </si>
  <si>
    <t>AVGO Statement of Cash Flows (Non Cumulative)</t>
  </si>
  <si>
    <t>AVGO Statement of Cash Flows (Cumulative)</t>
  </si>
  <si>
    <t>Average Diluted Shares</t>
  </si>
  <si>
    <t>Book Value</t>
  </si>
  <si>
    <t>Book Value per Share</t>
  </si>
  <si>
    <t>Tangible Book Value</t>
  </si>
  <si>
    <t>Tangible Book Value per Share</t>
  </si>
  <si>
    <t>Net Cash</t>
  </si>
  <si>
    <t>Total Cash</t>
  </si>
  <si>
    <t>Principal Value of Debt</t>
  </si>
  <si>
    <t>Net Cash per Share</t>
  </si>
  <si>
    <t>Interest Income</t>
  </si>
  <si>
    <t>Beginning of Period</t>
  </si>
  <si>
    <t>Cash &amp; Equivalents</t>
  </si>
  <si>
    <t>End of Period</t>
  </si>
  <si>
    <t>Interest Rate</t>
  </si>
  <si>
    <t>Other interest income 1x</t>
  </si>
  <si>
    <t>Income (Loss) from Discontinued Operations</t>
  </si>
  <si>
    <t>PBT</t>
  </si>
  <si>
    <t>Cash Flow from Operations</t>
  </si>
  <si>
    <t>Less: Stock-based compensation</t>
  </si>
  <si>
    <t>Less: Changes in Working Capital</t>
  </si>
  <si>
    <t>Less: Acquisition of PP&amp;E</t>
  </si>
  <si>
    <t>CY2011</t>
  </si>
  <si>
    <t>CY2012</t>
  </si>
  <si>
    <t>Total</t>
  </si>
  <si>
    <t>Description</t>
  </si>
  <si>
    <t>F1Q14</t>
  </si>
  <si>
    <t>F1Q06</t>
  </si>
  <si>
    <t>F2Q06</t>
  </si>
  <si>
    <t>F3Q06</t>
  </si>
  <si>
    <t>F4Q06</t>
  </si>
  <si>
    <t>F1Q07</t>
  </si>
  <si>
    <t>F2Q07</t>
  </si>
  <si>
    <t>F3Q07</t>
  </si>
  <si>
    <t>F4Q07</t>
  </si>
  <si>
    <t>F1Q08</t>
  </si>
  <si>
    <t>F2Q08</t>
  </si>
  <si>
    <t>F3Q08</t>
  </si>
  <si>
    <t>F4Q08</t>
  </si>
  <si>
    <t>F1Q09</t>
  </si>
  <si>
    <t>F2Q09</t>
  </si>
  <si>
    <t>F3Q09</t>
  </si>
  <si>
    <t>F4Q09</t>
  </si>
  <si>
    <t>Short-term marketable securities</t>
  </si>
  <si>
    <t>CY2013</t>
  </si>
  <si>
    <t>Stock Based Compensation - Avago</t>
  </si>
  <si>
    <t>Stock Based Compensation - LSI</t>
  </si>
  <si>
    <t>Networking LSI Revenue</t>
  </si>
  <si>
    <t>F1Q10</t>
  </si>
  <si>
    <t>F2Q10</t>
  </si>
  <si>
    <t>F3Q10</t>
  </si>
  <si>
    <t>F4Q10</t>
  </si>
  <si>
    <t>F1Q11</t>
  </si>
  <si>
    <t>F2Q11</t>
  </si>
  <si>
    <t>F3Q11</t>
  </si>
  <si>
    <t>F4Q11</t>
  </si>
  <si>
    <t>F1Q12</t>
  </si>
  <si>
    <t>F2Q12</t>
  </si>
  <si>
    <t>F3Q12</t>
  </si>
  <si>
    <t>F4Q12</t>
  </si>
  <si>
    <t>F1Q13</t>
  </si>
  <si>
    <t>FY2006</t>
  </si>
  <si>
    <t>FY2007</t>
  </si>
  <si>
    <t>FY2008</t>
  </si>
  <si>
    <t>FY2009</t>
  </si>
  <si>
    <t>FY2010</t>
  </si>
  <si>
    <t>FY2011</t>
  </si>
  <si>
    <t>FY2012</t>
  </si>
  <si>
    <t>F2Q13</t>
  </si>
  <si>
    <t>F3Q13</t>
  </si>
  <si>
    <t>%of Rev.</t>
  </si>
  <si>
    <t>R&amp;D %</t>
  </si>
  <si>
    <t>SG&amp;A %</t>
  </si>
  <si>
    <t>3G</t>
  </si>
  <si>
    <t>LTE Phones</t>
  </si>
  <si>
    <t>Samsung Analysis</t>
  </si>
  <si>
    <t>Apple Analysis</t>
  </si>
  <si>
    <t>Smartphone Shipments</t>
  </si>
  <si>
    <t>Total Smartphones</t>
  </si>
  <si>
    <t>Distributors</t>
  </si>
  <si>
    <t>Synergies</t>
  </si>
  <si>
    <t>Average Diluted Shares - Non-GAAP</t>
  </si>
  <si>
    <t>% of Total</t>
  </si>
  <si>
    <t>CyOptics</t>
  </si>
  <si>
    <t>F4Q13</t>
  </si>
  <si>
    <t>CY2015E</t>
  </si>
  <si>
    <t>Average Diluted Shares - GAAP</t>
  </si>
  <si>
    <t>FY2013</t>
  </si>
  <si>
    <t>($ in millions; fiscal year ends in December)</t>
  </si>
  <si>
    <t>Y-o-Y change</t>
  </si>
  <si>
    <t>COGS - MW</t>
  </si>
  <si>
    <t>Gross Profit - MW</t>
  </si>
  <si>
    <t>Gross Margin - MW</t>
  </si>
  <si>
    <t>R&amp;D - MW</t>
  </si>
  <si>
    <t>Other OpEx - GAAP</t>
  </si>
  <si>
    <t>Other OpEx - MW</t>
  </si>
  <si>
    <t>Operating Expenses - MW</t>
  </si>
  <si>
    <t>Operating Income - MW</t>
  </si>
  <si>
    <t>Operating Margin MW%</t>
  </si>
  <si>
    <t>F3Q14A</t>
  </si>
  <si>
    <t>you are,mscalc:targetPrice,,,,USD</t>
  </si>
  <si>
    <t>you are,mscalc:closePriceCurrencyCalc</t>
  </si>
  <si>
    <t>you are,mscalc:sedolCodeCalc</t>
  </si>
  <si>
    <t>`</t>
  </si>
  <si>
    <t>F4Q14A</t>
  </si>
  <si>
    <t>F1Q15A</t>
  </si>
  <si>
    <t>no,mscalc:closePriceCurrencyCalc</t>
  </si>
  <si>
    <t>no,mscalc:sedolCodeCalc</t>
  </si>
  <si>
    <t>no,mscalc:targetPrice,,,,USD</t>
  </si>
  <si>
    <t>$AR$2</t>
  </si>
  <si>
    <t>FY2014A</t>
  </si>
  <si>
    <t>CY2014A</t>
  </si>
  <si>
    <t>F2Q15A</t>
  </si>
  <si>
    <t>F3Q15A</t>
  </si>
  <si>
    <t>Reconciliation of GAAP to AVGO Non-GAAP</t>
  </si>
  <si>
    <t>F1Q18E</t>
  </si>
  <si>
    <t>F2Q18E</t>
  </si>
  <si>
    <t>F3Q18E</t>
  </si>
  <si>
    <t>F4Q18E</t>
  </si>
  <si>
    <t>F4Q15A</t>
  </si>
  <si>
    <t>FY2015A</t>
  </si>
  <si>
    <t>Financials</t>
  </si>
  <si>
    <t>BD9WQP4</t>
  </si>
  <si>
    <t>R&amp;D Excluding Synergies</t>
  </si>
  <si>
    <t>SG&amp;A Excluding Synergies</t>
  </si>
  <si>
    <t>F1Q16A</t>
  </si>
  <si>
    <t>Total Depreciation</t>
  </si>
  <si>
    <t>F2Q16A</t>
  </si>
  <si>
    <t>Non-GAAP EBITDA</t>
  </si>
  <si>
    <t>Broadcom Ltd.</t>
  </si>
  <si>
    <t>Broadcom Ltd. Income Statement</t>
  </si>
  <si>
    <t>Broadcom Ltd. Balance Sheet</t>
  </si>
  <si>
    <t>Broadcom Ltd. Bottoms Up Model</t>
  </si>
  <si>
    <t>CY2015A</t>
  </si>
  <si>
    <t>F3Q16A</t>
  </si>
  <si>
    <t>FY2016A</t>
  </si>
  <si>
    <t>F1Q19E</t>
  </si>
  <si>
    <t>F2Q19E</t>
  </si>
  <si>
    <t>F3Q19E</t>
  </si>
  <si>
    <t>F4Q19E</t>
  </si>
  <si>
    <t>F4Q16A</t>
  </si>
  <si>
    <t>F1Q17A</t>
  </si>
  <si>
    <t>F2Q17A</t>
  </si>
  <si>
    <t>CY2016A</t>
  </si>
  <si>
    <t>F3Q17A</t>
  </si>
  <si>
    <t>F1Q20E</t>
  </si>
  <si>
    <t>F2Q20E</t>
  </si>
  <si>
    <t>F3Q20E</t>
  </si>
  <si>
    <t>F4Q20E</t>
  </si>
  <si>
    <t>FY2020E</t>
  </si>
  <si>
    <t>F4Q17A</t>
  </si>
  <si>
    <t>FY2017A</t>
  </si>
  <si>
    <t>SBCas % of sales</t>
  </si>
  <si>
    <t>Net income (loss) attributable to noncontrolling interest GAAP</t>
  </si>
  <si>
    <t>Net income (loss) attributable to ordinary shares GAAP</t>
  </si>
  <si>
    <t>CY2017A</t>
  </si>
  <si>
    <t>F1Q18A</t>
  </si>
  <si>
    <t>Research</t>
  </si>
  <si>
    <t xml:space="preserve">                                    ########                                    </t>
  </si>
  <si>
    <t xml:space="preserve">                             #######                             </t>
  </si>
  <si>
    <t xml:space="preserve">                                                      #######                                                      </t>
  </si>
  <si>
    <t xml:space="preserve">                          #######                          </t>
  </si>
  <si>
    <t xml:space="preserve">                                                     #######                                                     </t>
  </si>
  <si>
    <t xml:space="preserve">                          Manual Calculation                          </t>
  </si>
  <si>
    <t xml:space="preserve">                          ########                          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</si>
  <si>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</si>
  <si>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</si>
  <si>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</si>
  <si>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</si>
  <si>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</si>
  <si>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</si>
  <si>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Moore, Vinayak Rao</t>
  </si>
  <si>
    <t>Date: 19 Mar 2018</t>
  </si>
  <si>
    <t>Ticker: AVGO.O</t>
  </si>
  <si>
    <t>Stock Rating: Overweight</t>
  </si>
  <si>
    <t>Industry: Semiconductors</t>
  </si>
  <si>
    <t>Industry View: In-Line</t>
  </si>
  <si>
    <t>Price as of 19 Mar 2018: 244.95</t>
  </si>
  <si>
    <t>Target Price: 305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</si>
  <si>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</si>
  <si>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</si>
  <si>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</si>
  <si>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</si>
  <si>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Broadcom Ltd.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</si>
  <si>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</si>
  <si>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</si>
  <si>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</si>
  <si>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</si>
  <si>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</si>
  <si>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</si>
  <si>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</si>
  <si>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</si>
  <si>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</si>
  <si>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</si>
  <si>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</si>
  <si>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</si>
  <si>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</si>
  <si>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</si>
  <si>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</si>
  <si>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</si>
  <si>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</si>
  <si>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</si>
  <si>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</si>
  <si>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</si>
  <si>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</si>
  <si>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</si>
  <si>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</si>
  <si>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</si>
  <si>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</si>
  <si>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</si>
  <si>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</si>
  <si>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</si>
  <si>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</si>
  <si>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</si>
  <si>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</si>
  <si>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</si>
  <si>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</si>
  <si>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</si>
  <si>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</si>
  <si>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</si>
  <si>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</si>
  <si>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</si>
  <si>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</si>
  <si>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</si>
  <si>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</si>
  <si>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</si>
  <si>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</si>
  <si>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</si>
  <si>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</si>
  <si>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</si>
  <si>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</si>
  <si>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</si>
  <si>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</si>
  <si>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</si>
  <si>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</si>
  <si>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</si>
  <si>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</si>
  <si>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</si>
  <si>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</si>
  <si>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</si>
  <si>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</si>
  <si>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</si>
  <si>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</si>
  <si>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</si>
  <si>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</si>
  <si>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</si>
  <si>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</si>
  <si>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</si>
  <si>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</si>
  <si>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</si>
  <si>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</si>
  <si>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</si>
  <si>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</si>
  <si>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</si>
  <si>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</si>
  <si>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</si>
  <si>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</si>
  <si>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</si>
  <si>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</si>
  <si>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</si>
  <si>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</si>
  <si>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</si>
  <si>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</si>
  <si>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</si>
  <si>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</si>
  <si>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</si>
  <si>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</si>
  <si>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</si>
  <si>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</si>
  <si>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</si>
  <si>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</si>
  <si>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</si>
  <si>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</si>
  <si>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</si>
  <si>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</si>
  <si>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</si>
  <si>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</si>
  <si>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</si>
  <si>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</si>
  <si>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</si>
  <si>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</si>
  <si>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</si>
  <si>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</si>
  <si>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</si>
  <si>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</si>
  <si>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</si>
  <si>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</si>
  <si>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</si>
  <si>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</si>
  <si>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</si>
  <si>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</si>
  <si>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</si>
  <si>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</si>
  <si>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</si>
  <si>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</si>
  <si>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</si>
  <si>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</si>
  <si>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</si>
  <si>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</si>
  <si>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</si>
  <si>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</si>
  <si>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</si>
  <si>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</si>
  <si>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</si>
  <si>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</si>
  <si>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</si>
  <si>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</si>
  <si>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</si>
  <si>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</si>
  <si>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</si>
  <si>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</si>
  <si>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</si>
  <si>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</si>
  <si>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</si>
  <si>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</si>
  <si>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</si>
  <si>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</si>
  <si>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</si>
  <si>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</si>
  <si>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</si>
  <si>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</si>
  <si>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</si>
  <si>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</si>
  <si>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</si>
  <si>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</si>
  <si>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</si>
  <si>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</si>
  <si>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</si>
  <si>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</si>
  <si>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</si>
  <si>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</si>
  <si>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</si>
  <si>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</si>
  <si>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</si>
  <si>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</si>
  <si>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</si>
  <si>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</si>
  <si>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</si>
  <si>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</si>
  <si>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</si>
  <si>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</si>
  <si>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</si>
  <si>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</si>
  <si>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</si>
  <si>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</si>
  <si>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</si>
  <si>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</si>
  <si>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</si>
  <si>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</si>
  <si>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</si>
  <si>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</si>
  <si>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</si>
  <si>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</si>
  <si>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</si>
  <si>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</si>
  <si>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</si>
  <si>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</si>
  <si>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</si>
  <si>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</si>
  <si>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</si>
  <si>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</si>
  <si>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</si>
  <si>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</si>
  <si>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</si>
  <si>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</si>
  <si>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</si>
  <si>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</si>
  <si>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</si>
  <si>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</si>
  <si>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</si>
  <si>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</si>
  <si>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</si>
  <si>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</si>
  <si>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</si>
  <si>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</si>
  <si>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</si>
  <si>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</si>
  <si>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</si>
  <si>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</si>
  <si>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</si>
  <si>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</si>
  <si>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</si>
  <si>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</si>
  <si>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</si>
  <si>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</si>
  <si>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</si>
  <si>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</si>
  <si>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</si>
  <si>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</si>
  <si>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</si>
  <si>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</si>
  <si>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</si>
  <si>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</si>
  <si>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</si>
  <si>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</si>
  <si>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</si>
  <si>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</si>
  <si>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</si>
  <si>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</si>
  <si>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</si>
  <si>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</si>
  <si>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</si>
  <si>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</si>
  <si>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</si>
  <si>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</si>
  <si>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</si>
  <si>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</si>
  <si>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</si>
  <si>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</si>
  <si>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</si>
  <si>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</si>
  <si>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</si>
  <si>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</si>
  <si>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</si>
  <si>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</si>
  <si>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</si>
  <si>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</si>
  <si>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</si>
  <si>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</si>
  <si>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</si>
  <si>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</si>
  <si>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</si>
  <si>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</si>
  <si>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</si>
  <si>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</si>
  <si>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</si>
  <si>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Broadcom Ltd.</t>
  </si>
  <si>
    <t>Within the last 12 months, Morgan Stanley has provided or is providing investment banking services to,</t>
  </si>
  <si>
    <t>or has an investment banking client relationship with, the following company: Broadcom Ltd.</t>
  </si>
  <si>
    <t>Within the last 12 months, Morgan Stanley has received compensation for products and services other than</t>
  </si>
  <si>
    <t>investment banking services from Broadcom Ltd.</t>
  </si>
  <si>
    <t>In the next 3 months, Morgan Stanley expects to receive or intends to seek compensation for investment</t>
  </si>
  <si>
    <t>banking services from Broadcom Ltd.</t>
  </si>
  <si>
    <t>As of February 28, 2018, Morgan Stanley beneficially owned 1% or more of a class of common equity</t>
  </si>
  <si>
    <t>securities of the following companies covered in Morgan Stanley Research: Broadcom Ltd.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</si>
  <si>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</si>
  <si>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</si>
  <si>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</si>
  <si>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</si>
  <si>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</si>
  <si>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</si>
  <si>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</si>
  <si>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</si>
  <si>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</si>
  <si>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</si>
  <si>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</si>
  <si>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</si>
  <si>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</si>
  <si>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</si>
  <si>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</si>
  <si>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</si>
  <si>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</si>
  <si>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</si>
  <si>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</si>
  <si>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</si>
  <si>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</si>
  <si>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</si>
  <si>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</si>
  <si>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</si>
  <si>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</si>
  <si>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</si>
  <si>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</si>
  <si>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</si>
  <si>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</si>
  <si>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</si>
  <si>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</si>
  <si>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</si>
  <si>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</si>
  <si>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</si>
  <si>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</si>
  <si>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</si>
  <si>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</si>
  <si>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</si>
  <si>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</si>
  <si>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</si>
  <si>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</si>
  <si>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</si>
  <si>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</si>
  <si>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</si>
  <si>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</si>
  <si>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</si>
  <si>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</si>
  <si>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</si>
  <si>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</si>
  <si>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</si>
  <si>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</si>
  <si>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</si>
  <si>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</si>
  <si>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</si>
  <si>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</si>
  <si>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</si>
  <si>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</si>
  <si>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</si>
  <si>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</si>
  <si>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</si>
  <si>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</si>
  <si>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</si>
  <si>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</si>
  <si>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</si>
  <si>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</si>
  <si>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</si>
  <si>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</si>
  <si>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</si>
  <si>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</si>
  <si>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</si>
  <si>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</si>
  <si>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</si>
  <si>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</si>
  <si>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</si>
  <si>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</si>
  <si>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vinayakr</t>
  </si>
  <si>
    <t>Broadcom Ltd</t>
  </si>
  <si>
    <t>MSA89GWN, MSA32FNJ, MSA68HLF</t>
  </si>
  <si>
    <t>L:\SEMI CAP\Joe Files\Companies\AVGO\Models\AVGO WIP.xlsm</t>
  </si>
  <si>
    <t>[BRO MSA]</t>
  </si>
  <si>
    <t>[PRODUCT MODEL]</t>
  </si>
  <si>
    <t>[EMAIL_ALERT YES]</t>
  </si>
  <si>
    <t>[DISCIPLINE Company]</t>
  </si>
  <si>
    <t>[SUPPRESSED NO]</t>
  </si>
  <si>
    <t>[DOCDAT 2018-03-19]</t>
  </si>
  <si>
    <t>[DOCTIME 15:46]</t>
  </si>
  <si>
    <t>[PSYM AVGO.O(S&amp;P) (None)]</t>
  </si>
  <si>
    <t>[COU 1]</t>
  </si>
  <si>
    <t>[ANA MSA32FNJ MSA68HLF]</t>
  </si>
  <si>
    <t>[HL AVGO.O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</si>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</sst>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00_);_(&quot;$&quot;* \(#,##0.0000\);_(&quot;$&quot;* &quot;-&quot;_);_(@_)"/>
    <numFmt numFmtId="172" formatCode="_(* #,##0.0000_);_(* \(#,##0.0000\);_(* &quot;-&quot;?_);_(@_)"/>
    <numFmt numFmtId="173" formatCode="_(&quot;$&quot;* #,##0.00_);_(&quot;$&quot;* \(#,##0.00\);_(&quot;$&quot;* &quot;-&quot;_);_(@_)"/>
    <numFmt numFmtId="174" formatCode="#,##0.0_);\(#,##0.0\);#,##0.0_);@_)"/>
    <numFmt numFmtId="175" formatCode="_(* #,##0.00_);_(* \(#,##0.00\);_(* &quot;-&quot;?_);_(@_)"/>
    <numFmt numFmtId="177" formatCode="_(* #,##0.0_);_(* \(#,##0.0\);_(* &quot;-&quot;??_);_(@_)"/>
    <numFmt numFmtId="178" formatCode="#,##0.0000_);\(#,##0.0000\)"/>
    <numFmt numFmtId="179" formatCode="#,##0.0_);\(#,##0.0\)"/>
    <numFmt numFmtId="180" formatCode="_(* #,##0.0_);_(* \(#,##0.0\);_(* &quot;-&quot;_);_(@_)"/>
    <numFmt numFmtId="181" formatCode="0.0"/>
    <numFmt numFmtId="182" formatCode="_(* #,##0.000_);_(* \(#,##0.000\);_(* &quot;-&quot;_);_(@_)"/>
    <numFmt numFmtId="183" formatCode="_(* #,##0_);_(* \(#,##0\);_(* &quot;-&quot;??_);_(@_)"/>
    <numFmt numFmtId="184" formatCode="_(* #,##0.00_);_(* \(#,##0.00\);_(* &quot;-&quot;_);_(@_)"/>
    <numFmt numFmtId="185" formatCode="_(&quot;$&quot;* #,##0.0_);_(&quot;$&quot;* \(#,##0.0\);_(&quot;$&quot;* &quot;-&quot;??_);_(@_)"/>
    <numFmt numFmtId="187" formatCode="&quot;$&quot;#,##0.0_);[Red]\(&quot;$&quot;#,##0.0\)"/>
    <numFmt numFmtId="188" formatCode="_(&quot;$&quot;* #,##0_);_(&quot;$&quot;* \(#,##0\);_(&quot;$&quot;* &quot;-&quot;??_);_(@_)"/>
    <numFmt numFmtId="192" formatCode="#,##0.0"/>
    <numFmt numFmtId="195" formatCode="0.00_);\(0.00\)"/>
    <numFmt numFmtId="197" formatCode="_(&quot;$&quot;* #,##0.000000_);_(&quot;$&quot;* \(#,##0.000000\);_(&quot;$&quot;* &quot;-&quot;_);_(@_)"/>
    <numFmt numFmtId="198" formatCode="_(&quot;$&quot;* #,##0.00000_);_(&quot;$&quot;* \(#,##0.00000\);_(&quot;$&quot;* &quot;-&quot;??_);_(@_)"/>
    <numFmt numFmtId="199" formatCode="0.000%"/>
    <numFmt numFmtId="200" formatCode="0_)"/>
    <numFmt numFmtId="201" formatCode="#,##0.0_);[Red]\(#,##0.0\)"/>
    <numFmt numFmtId="202" formatCode="_(&quot;$&quot;* #,##0.00_);_(&quot;$&quot;* \(#,##0.00\);_(&quot;$&quot;* &quot;-&quot;?_);_(@_)"/>
    <numFmt numFmtId="203" formatCode="_(* #,##0_);_(* \(#,##0\);_(* &quot;-&quot;?_);_(@_)"/>
    <numFmt numFmtId="217" formatCode="&quot;$&quot;#,##0.0;\(&quot;$&quot;#,##0.0\)"/>
    <numFmt numFmtId="218" formatCode="\£\ #,##0_);[Red]\(\£\ #,##0\)"/>
    <numFmt numFmtId="219" formatCode="\¥\ #,##0_);[Red]\(\¥\ #,##0\)"/>
    <numFmt numFmtId="220" formatCode="_(* #,##0.0_);_(* \(#,##0.0\);_(* &quot;--- &quot;_)"/>
    <numFmt numFmtId="221" formatCode="General_)"/>
    <numFmt numFmtId="222" formatCode="\•\ \ @"/>
    <numFmt numFmtId="223" formatCode="0.000_)"/>
    <numFmt numFmtId="224" formatCode="\ \ _•\–\ \ \ \ @"/>
    <numFmt numFmtId="225" formatCode="#,##0.0;\(###0.0\)"/>
    <numFmt numFmtId="226" formatCode="mmm\-yyyy"/>
    <numFmt numFmtId="227" formatCode="0.00_)"/>
    <numFmt numFmtId="228" formatCode="0.00000000000000000%"/>
    <numFmt numFmtId="229" formatCode="#,##0.0;\(#,##0.0\)"/>
    <numFmt numFmtId="230" formatCode="0.00\ "/>
    <numFmt numFmtId="240" formatCode="#,##0_);\(#,##0\);\-_)"/>
    <numFmt numFmtId="241" formatCode="_(#,##0_)\ &quot;e&quot;;\(#,##0\)\ &quot;e&quot;"/>
    <numFmt numFmtId="242" formatCode="_([$€-2]* #,##0.00_);_([$€-2]* \(#,##0.00\);_([$€-2]* &quot;-&quot;??_)"/>
    <numFmt numFmtId="243" formatCode="_-* #,##0.00_-;\-* #,##0.00_-;_-* &quot;-&quot;??_-;_-@_-"/>
    <numFmt numFmtId="244" formatCode="&quot;$&quot;#,##0.000_);[Red]\(&quot;$&quot;#,##0.000\)"/>
    <numFmt numFmtId="245" formatCode="&quot;Ç&quot;\ &quot;´&quot;&quot;´&quot;&quot;´&quot;&quot;´&quot;\ &quot;»&quot;&quot;»&quot;&quot;»&quot;&quot;»&quot;"/>
    <numFmt numFmtId="246" formatCode="0.0_)\%;\(0.0\)\%;0.0_)\%;@_)_%"/>
    <numFmt numFmtId="247" formatCode="&quot;$&quot;_(#,##0.00_);&quot;$&quot;\(#,##0.00\);&quot;$&quot;_(0.00_);@_)"/>
    <numFmt numFmtId="248" formatCode="#,##0.0_)_x;\(#,##0.0\)_x;0.0_)_x;@_)_x"/>
    <numFmt numFmtId="249" formatCode="0.0%;\(0.0%\)"/>
    <numFmt numFmtId="250" formatCode="0.0%_);\(0.0%\)"/>
    <numFmt numFmtId="251" formatCode="0.00\ \ \ \ "/>
    <numFmt numFmtId="252" formatCode="yyyy"/>
    <numFmt numFmtId="253" formatCode="0.00%_);[Red]\(0.00%\)"/>
    <numFmt numFmtId="254" formatCode="0.0%_);[Red]\(0.0%\)"/>
    <numFmt numFmtId="255" formatCode="#,##0.000_);[Red]\(#,##0.000\)"/>
    <numFmt numFmtId="256" formatCode="0.00%;[Red]\(0.00%\)"/>
    <numFmt numFmtId="257" formatCode="&quot;Fr.&quot;#,##0_);[Red]\(&quot;Fr.&quot;#,##0\)"/>
    <numFmt numFmtId="258" formatCode="&quot;£&quot;\ #,##0_);[Red]\(&quot;£&quot;\ #,##0\)"/>
    <numFmt numFmtId="259" formatCode="&quot;\&quot;\ #,##0_);[Red]\(&quot;\&quot;\ #,##0\)"/>
    <numFmt numFmtId="260" formatCode="&quot;•&quot;\ \ @"/>
    <numFmt numFmtId="261" formatCode="#,##0.00000;[Red]\(#,##0.00000\)"/>
    <numFmt numFmtId="262" formatCode="&quot;$&quot;#,##0.00;\(&quot;$&quot;#,##0.00\)"/>
    <numFmt numFmtId="263" formatCode="_ * #,##0_)_£_ ;_ * \(#,##0\)_£_ ;_ * &quot;-&quot;_)_£_ ;_ @_ "/>
    <numFmt numFmtId="264" formatCode="&quot;$&quot;#,##0.0;[Red]\(&quot;$&quot;#,##0.0\)"/>
    <numFmt numFmtId="265" formatCode="\ \ _•&quot;–&quot;\ \ \ \ @"/>
    <numFmt numFmtId="266" formatCode="#,##0.0;[Red]\(#,##0.0\)"/>
    <numFmt numFmtId="267" formatCode="#,##0;[Red]\(#,##0\)"/>
    <numFmt numFmtId="268" formatCode="#,##0.00\x_);[Red]\(#,##0.00\x\)"/>
    <numFmt numFmtId="269" formatCode="0%;[Red]\(0%\)"/>
    <numFmt numFmtId="270" formatCode="_-&quot;$&quot;* #,##0_-;\-&quot;$&quot;* #,##0_-;_-&quot;$&quot;* &quot;-&quot;_-;_-@_-"/>
    <numFmt numFmtId="271" formatCode="_-* #,##0_-;\-* #,##0_-;_-* &quot;-&quot;_-;_-@_-"/>
    <numFmt numFmtId="272" formatCode="&quot;¥&quot;\ #,##0_);[Red]\(&quot;¥&quot;\ #,##0\)"/>
    <numFmt numFmtId="273" formatCode="_-&quot;$&quot;* #,##0.00_-;\-&quot;$&quot;* #,##0.00_-;_-&quot;$&quot;* &quot;-&quot;??_-;_-@_-"/>
    <numFmt numFmtId="274" formatCode="[Blue]General;[Blue]\-General;[Blue]&quot;--&quot;"/>
    <numFmt numFmtId="275" formatCode="&quot;$&quot;#,##0.00;[Red]\(&quot;$&quot;#,##0.00\)"/>
    <numFmt numFmtId="276" formatCode="0.00_);\(0.00\);0.00"/>
    <numFmt numFmtId="277" formatCode="&quot;$&quot;#,##0\ ;\(&quot;$&quot;#,##0\)"/>
    <numFmt numFmtId="278" formatCode="&quot;SFr.&quot;#,##0.00;&quot;SFr.&quot;\-#,##0.00"/>
    <numFmt numFmtId="279" formatCode="0.0%;[Red]\(0.0%\)"/>
    <numFmt numFmtId="280" formatCode="0.00\%;\-0.00\%;0.00\%"/>
    <numFmt numFmtId="281" formatCode="0.00\x;\-0.00\x;0.00\x"/>
    <numFmt numFmtId="282" formatCode="##0.00000"/>
    <numFmt numFmtId="283" formatCode="&quot;?G&quot;#,##0.00;\-&quot;?G&quot;#,###"/>
    <numFmt numFmtId="286" formatCode="#,###,##0"/>
    <numFmt numFmtId="287" formatCode="&quot;DM&quot;#,##0.00;[Red]\-&quot;DM&quot;#,##0.00"/>
    <numFmt numFmtId="295" formatCode="mm/dd/yy\ hh:mm"/>
  </numFmts>
  <fonts count="33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i/>
      <sz val="11"/>
      <name val="Arial"/>
      <family val="2"/>
    </font>
    <font>
      <sz val="11"/>
      <color indexed="17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b/>
      <sz val="11"/>
      <color indexed="30"/>
      <name val="Arial"/>
      <family val="2"/>
    </font>
    <font>
      <b/>
      <sz val="11"/>
      <color indexed="30"/>
      <name val="Arial"/>
      <family val="2"/>
    </font>
    <font>
      <b/>
      <sz val="11"/>
      <color indexed="17"/>
      <name val="Arial"/>
      <family val="2"/>
    </font>
    <font>
      <b/>
      <i/>
      <sz val="11"/>
      <color indexed="30"/>
      <name val="Arial"/>
      <family val="2"/>
    </font>
    <font>
      <b/>
      <i/>
      <sz val="11"/>
      <name val="Arial"/>
      <family val="2"/>
    </font>
    <font>
      <u/>
      <sz val="11"/>
      <color indexed="17"/>
      <name val="Arial"/>
      <family val="2"/>
    </font>
    <font>
      <u/>
      <sz val="10"/>
      <name val="Arial"/>
      <family val="2"/>
    </font>
    <font>
      <u/>
      <sz val="11"/>
      <color indexed="8"/>
      <name val="Arial"/>
      <family val="2"/>
    </font>
    <font>
      <sz val="11"/>
      <color indexed="20"/>
      <name val="Arial"/>
      <family val="2"/>
    </font>
    <font>
      <sz val="10"/>
      <color indexed="20"/>
      <name val="Arial"/>
      <family val="2"/>
    </font>
    <font>
      <u/>
      <sz val="11"/>
      <name val="Arial"/>
      <family val="2"/>
    </font>
    <font>
      <u/>
      <sz val="11"/>
      <color indexed="8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i/>
      <sz val="11"/>
      <color indexed="10"/>
      <name val="Arial"/>
      <family val="2"/>
    </font>
    <font>
      <u/>
      <sz val="10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7"/>
      <name val="Arial"/>
      <family val="2"/>
    </font>
    <font>
      <b/>
      <sz val="9"/>
      <color indexed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Arial"/>
      <family val="2"/>
    </font>
    <font>
      <sz val="8"/>
      <name val="Tms Rmn"/>
    </font>
    <font>
      <sz val="10"/>
      <name val="Helv"/>
      <family val="2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0"/>
      <name val="Arial"/>
      <family val="2"/>
    </font>
    <font>
      <sz val="8"/>
      <name val="Arial"/>
      <family val="2"/>
    </font>
    <font>
      <i/>
      <sz val="11"/>
      <color indexed="24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1"/>
      <color rgb="FF00B050"/>
      <name val="Arial"/>
      <family val="2"/>
    </font>
    <font>
      <i/>
      <sz val="11"/>
      <color rgb="FF0000FF"/>
      <name val="Arial"/>
      <family val="2"/>
    </font>
    <font>
      <i/>
      <sz val="11"/>
      <color rgb="FF00B050"/>
      <name val="Arial"/>
      <family val="2"/>
    </font>
    <font>
      <sz val="11"/>
      <color rgb="FF0070C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color theme="1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sz val="10"/>
      <name val="Courier"/>
      <family val="3"/>
    </font>
    <font>
      <sz val="12"/>
      <name val="바탕체"/>
      <family val="3"/>
    </font>
    <font>
      <sz val="12"/>
      <name val="新細明體"/>
      <family val="1"/>
      <charset val="136"/>
    </font>
    <font>
      <u/>
      <sz val="8.5"/>
      <color indexed="12"/>
      <name val="Arial"/>
      <family val="2"/>
    </font>
    <font>
      <u/>
      <sz val="8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9"/>
      <name val="Verdana"/>
      <family val="2"/>
    </font>
    <font>
      <b/>
      <sz val="10"/>
      <color indexed="63"/>
      <name val="Verdana"/>
      <family val="2"/>
    </font>
    <font>
      <sz val="11"/>
      <color rgb="FF0000FF"/>
      <name val="Arial"/>
      <family val="2"/>
    </font>
    <font>
      <u/>
      <sz val="11"/>
      <color indexed="24"/>
      <name val="Calibri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u/>
      <sz val="11"/>
      <color indexed="24"/>
      <name val="Calibri"/>
      <family val="2"/>
      <scheme val="minor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11"/>
      <color indexed="53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8"/>
      <color theme="1"/>
      <name val="Arial"/>
      <family val="2"/>
    </font>
    <font>
      <i/>
      <sz val="9"/>
      <name val="Arial"/>
      <family val="2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sz val="10"/>
      <color rgb="FF00000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ＭＳ 明朝"/>
      <family val="2"/>
      <charset val="128"/>
    </font>
    <font>
      <sz val="11"/>
      <color theme="1"/>
      <name val="Calibri"/>
      <family val="2"/>
      <charset val="128"/>
      <scheme val="minor"/>
    </font>
    <font>
      <sz val="8"/>
      <color indexed="12"/>
      <name val="Times"/>
      <family val="1"/>
    </font>
    <font>
      <sz val="10"/>
      <color indexed="62"/>
      <name val="Arial"/>
      <family val="2"/>
    </font>
    <font>
      <sz val="10"/>
      <name val="MS Sans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9"/>
      <color indexed="8"/>
      <name val="Arial"/>
      <family val="2"/>
    </font>
    <font>
      <b/>
      <sz val="18"/>
      <color indexed="56"/>
      <name val="Cambria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i/>
      <sz val="12"/>
      <color indexed="10"/>
      <name val="Arial"/>
      <family val="2"/>
    </font>
    <font>
      <b/>
      <i/>
      <sz val="10"/>
      <color indexed="8"/>
      <name val="Arial"/>
      <family val="2"/>
    </font>
    <font>
      <b/>
      <sz val="12"/>
      <color rgb="FF000080"/>
      <name val="Arial"/>
      <family val="2"/>
    </font>
  </fonts>
  <fills count="100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48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indexed="41"/>
      </patternFill>
    </fill>
    <fill>
      <patternFill patternType="solid">
        <fgColor indexed="60"/>
      </patternFill>
    </fill>
    <fill>
      <patternFill patternType="solid">
        <fgColor indexed="15"/>
      </patternFill>
    </fill>
    <fill>
      <patternFill patternType="solid">
        <fgColor indexed="53"/>
      </patternFill>
    </fill>
    <fill>
      <patternFill patternType="solid">
        <fgColor indexed="28"/>
      </patternFill>
    </fill>
    <fill>
      <patternFill patternType="solid">
        <fgColor indexed="51"/>
      </patternFill>
    </fill>
    <fill>
      <patternFill patternType="solid">
        <fgColor indexed="35"/>
      </patternFill>
    </fill>
    <fill>
      <patternFill patternType="solid">
        <fgColor indexed="56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31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gray0625"/>
    </fill>
    <fill>
      <patternFill patternType="solid">
        <fgColor indexed="44"/>
        <bgColor indexed="64"/>
      </patternFill>
    </fill>
    <fill>
      <patternFill patternType="lightGray">
        <fgColor indexed="12"/>
      </patternFill>
    </fill>
    <fill>
      <patternFill patternType="solid">
        <fgColor indexed="2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lightGray">
        <fgColor indexed="9"/>
      </patternFill>
    </fill>
    <fill>
      <patternFill patternType="gray0625">
        <fgColor indexed="9"/>
        <bgColor indexed="9"/>
      </patternFill>
    </fill>
    <fill>
      <patternFill patternType="lightGray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gray125">
        <fgColor indexed="9"/>
        <bgColor indexed="9"/>
      </patternFill>
    </fill>
    <fill>
      <patternFill patternType="gray0625">
        <fgColor indexed="22"/>
      </patternFill>
    </fill>
    <fill>
      <patternFill patternType="gray0625">
        <fgColor indexed="9"/>
      </patternFill>
    </fill>
    <fill>
      <patternFill patternType="lightGray">
        <fgColor indexed="22"/>
      </patternFill>
    </fill>
    <fill>
      <patternFill patternType="solid">
        <fgColor indexed="6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0173">
    <xf numFmtId="0" fontId="0" fillId="0" borderId="0" applyNumberFormat="0" applyFont="0" applyFill="0" applyBorder="0" applyAlignment="0" applyProtection="0"/>
    <xf numFmtId="9" fontId="68" fillId="0" borderId="0">
      <alignment horizontal="right"/>
    </xf>
    <xf numFmtId="0" fontId="92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217" fontId="101" fillId="0" borderId="0">
      <alignment horizontal="right"/>
    </xf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67" fillId="0" borderId="0"/>
    <xf numFmtId="0" fontId="45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67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67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67" fillId="0" borderId="0"/>
    <xf numFmtId="0" fontId="24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156" fillId="0" borderId="0"/>
    <xf numFmtId="0" fontId="45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59" fillId="0" borderId="0"/>
    <xf numFmtId="0" fontId="45" fillId="0" borderId="0"/>
    <xf numFmtId="0" fontId="24" fillId="0" borderId="0"/>
    <xf numFmtId="0" fontId="24" fillId="0" borderId="0"/>
    <xf numFmtId="0" fontId="165" fillId="0" borderId="0"/>
    <xf numFmtId="0" fontId="24" fillId="0" borderId="0"/>
    <xf numFmtId="0" fontId="167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02" fillId="0" borderId="0"/>
    <xf numFmtId="0" fontId="45" fillId="0" borderId="0" applyFill="0" applyAlignment="0">
      <protection locked="0"/>
    </xf>
    <xf numFmtId="0" fontId="24" fillId="0" borderId="0" applyFill="0" applyAlignment="0">
      <protection locked="0"/>
    </xf>
    <xf numFmtId="44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8" fontId="104" fillId="0" borderId="0" applyFont="0" applyFill="0" applyBorder="0" applyAlignment="0" applyProtection="0"/>
    <xf numFmtId="219" fontId="104" fillId="0" borderId="0" applyFont="0" applyFill="0" applyBorder="0" applyAlignment="0" applyProtection="0"/>
    <xf numFmtId="0" fontId="100" fillId="0" borderId="0"/>
    <xf numFmtId="0" fontId="143" fillId="0" borderId="0"/>
    <xf numFmtId="0" fontId="45" fillId="0" borderId="0"/>
    <xf numFmtId="0" fontId="24" fillId="0" borderId="0"/>
    <xf numFmtId="0" fontId="24" fillId="0" borderId="0"/>
    <xf numFmtId="0" fontId="45" fillId="0" borderId="0"/>
    <xf numFmtId="0" fontId="24" fillId="0" borderId="0"/>
    <xf numFmtId="0" fontId="24" fillId="0" borderId="0"/>
    <xf numFmtId="0" fontId="167" fillId="0" borderId="0"/>
    <xf numFmtId="0" fontId="105" fillId="0" borderId="0"/>
    <xf numFmtId="0" fontId="50" fillId="0" borderId="0"/>
    <xf numFmtId="0" fontId="50" fillId="0" borderId="0"/>
    <xf numFmtId="9" fontId="100" fillId="0" borderId="0"/>
    <xf numFmtId="9" fontId="143" fillId="0" borderId="0"/>
    <xf numFmtId="9" fontId="45" fillId="0" borderId="0"/>
    <xf numFmtId="9" fontId="24" fillId="0" borderId="0"/>
    <xf numFmtId="9" fontId="24" fillId="0" borderId="0"/>
    <xf numFmtId="9" fontId="45" fillId="0" borderId="0"/>
    <xf numFmtId="9" fontId="24" fillId="0" borderId="0"/>
    <xf numFmtId="9" fontId="24" fillId="0" borderId="0"/>
    <xf numFmtId="9" fontId="167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2" fontId="50" fillId="0" borderId="0"/>
    <xf numFmtId="2" fontId="50" fillId="0" borderId="0"/>
    <xf numFmtId="10" fontId="50" fillId="0" borderId="0"/>
    <xf numFmtId="10" fontId="50" fillId="0" borderId="0"/>
    <xf numFmtId="0" fontId="50" fillId="0" borderId="0"/>
    <xf numFmtId="0" fontId="50" fillId="0" borderId="0"/>
    <xf numFmtId="0" fontId="50" fillId="0" borderId="0"/>
    <xf numFmtId="0" fontId="97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97" fillId="0" borderId="0"/>
    <xf numFmtId="0" fontId="50" fillId="0" borderId="0"/>
    <xf numFmtId="0" fontId="50" fillId="0" borderId="0"/>
    <xf numFmtId="0" fontId="50" fillId="0" borderId="0"/>
    <xf numFmtId="200" fontId="50" fillId="0" borderId="0"/>
    <xf numFmtId="200" fontId="50" fillId="0" borderId="0"/>
    <xf numFmtId="200" fontId="50" fillId="0" borderId="0"/>
    <xf numFmtId="179" fontId="100" fillId="0" borderId="0"/>
    <xf numFmtId="179" fontId="143" fillId="0" borderId="0"/>
    <xf numFmtId="179" fontId="45" fillId="0" borderId="0"/>
    <xf numFmtId="179" fontId="24" fillId="0" borderId="0"/>
    <xf numFmtId="179" fontId="24" fillId="0" borderId="0"/>
    <xf numFmtId="179" fontId="45" fillId="0" borderId="0"/>
    <xf numFmtId="179" fontId="24" fillId="0" borderId="0"/>
    <xf numFmtId="179" fontId="24" fillId="0" borderId="0"/>
    <xf numFmtId="179" fontId="167" fillId="0" borderId="0"/>
    <xf numFmtId="0" fontId="136" fillId="2" borderId="0" applyNumberFormat="0" applyBorder="0" applyAlignment="0" applyProtection="0"/>
    <xf numFmtId="0" fontId="23" fillId="2" borderId="0" applyNumberFormat="0" applyBorder="0" applyAlignment="0" applyProtection="0"/>
    <xf numFmtId="0" fontId="136" fillId="3" borderId="0" applyNumberFormat="0" applyBorder="0" applyAlignment="0" applyProtection="0"/>
    <xf numFmtId="0" fontId="23" fillId="3" borderId="0" applyNumberFormat="0" applyBorder="0" applyAlignment="0" applyProtection="0"/>
    <xf numFmtId="0" fontId="136" fillId="5" borderId="0" applyNumberFormat="0" applyBorder="0" applyAlignment="0" applyProtection="0"/>
    <xf numFmtId="0" fontId="23" fillId="5" borderId="0" applyNumberFormat="0" applyBorder="0" applyAlignment="0" applyProtection="0"/>
    <xf numFmtId="0" fontId="136" fillId="2" borderId="0" applyNumberFormat="0" applyBorder="0" applyAlignment="0" applyProtection="0"/>
    <xf numFmtId="0" fontId="23" fillId="2" borderId="0" applyNumberFormat="0" applyBorder="0" applyAlignment="0" applyProtection="0"/>
    <xf numFmtId="0" fontId="136" fillId="6" borderId="0" applyNumberFormat="0" applyBorder="0" applyAlignment="0" applyProtection="0"/>
    <xf numFmtId="0" fontId="23" fillId="6" borderId="0" applyNumberFormat="0" applyBorder="0" applyAlignment="0" applyProtection="0"/>
    <xf numFmtId="0" fontId="136" fillId="5" borderId="0" applyNumberFormat="0" applyBorder="0" applyAlignment="0" applyProtection="0"/>
    <xf numFmtId="0" fontId="23" fillId="5" borderId="0" applyNumberFormat="0" applyBorder="0" applyAlignment="0" applyProtection="0"/>
    <xf numFmtId="0" fontId="136" fillId="7" borderId="0" applyNumberFormat="0" applyBorder="0" applyAlignment="0" applyProtection="0"/>
    <xf numFmtId="0" fontId="23" fillId="7" borderId="0" applyNumberFormat="0" applyBorder="0" applyAlignment="0" applyProtection="0"/>
    <xf numFmtId="0" fontId="136" fillId="3" borderId="0" applyNumberFormat="0" applyBorder="0" applyAlignment="0" applyProtection="0"/>
    <xf numFmtId="0" fontId="23" fillId="3" borderId="0" applyNumberFormat="0" applyBorder="0" applyAlignment="0" applyProtection="0"/>
    <xf numFmtId="0" fontId="136" fillId="5" borderId="0" applyNumberFormat="0" applyBorder="0" applyAlignment="0" applyProtection="0"/>
    <xf numFmtId="0" fontId="23" fillId="5" borderId="0" applyNumberFormat="0" applyBorder="0" applyAlignment="0" applyProtection="0"/>
    <xf numFmtId="0" fontId="136" fillId="7" borderId="0" applyNumberFormat="0" applyBorder="0" applyAlignment="0" applyProtection="0"/>
    <xf numFmtId="0" fontId="23" fillId="7" borderId="0" applyNumberFormat="0" applyBorder="0" applyAlignment="0" applyProtection="0"/>
    <xf numFmtId="0" fontId="136" fillId="8" borderId="0" applyNumberFormat="0" applyBorder="0" applyAlignment="0" applyProtection="0"/>
    <xf numFmtId="0" fontId="23" fillId="8" borderId="0" applyNumberFormat="0" applyBorder="0" applyAlignment="0" applyProtection="0"/>
    <xf numFmtId="0" fontId="136" fillId="5" borderId="0" applyNumberFormat="0" applyBorder="0" applyAlignment="0" applyProtection="0"/>
    <xf numFmtId="0" fontId="23" fillId="5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7" borderId="0" applyNumberFormat="0" applyBorder="0" applyAlignment="0" applyProtection="0"/>
    <xf numFmtId="0" fontId="137" fillId="9" borderId="0" applyNumberFormat="0" applyBorder="0" applyAlignment="0" applyProtection="0"/>
    <xf numFmtId="0" fontId="137" fillId="5" borderId="0" applyNumberFormat="0" applyBorder="0" applyAlignment="0" applyProtection="0"/>
    <xf numFmtId="37" fontId="106" fillId="0" borderId="0">
      <alignment horizontal="center"/>
    </xf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12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220" fontId="107" fillId="0" borderId="0" applyFont="0" applyFill="0" applyBorder="0" applyAlignment="0" applyProtection="0"/>
    <xf numFmtId="221" fontId="108" fillId="0" borderId="0">
      <alignment horizontal="left"/>
    </xf>
    <xf numFmtId="0" fontId="144" fillId="13" borderId="0" applyNumberFormat="0" applyBorder="0" applyAlignment="0" applyProtection="0"/>
    <xf numFmtId="1" fontId="109" fillId="14" borderId="1" applyNumberFormat="0" applyBorder="0" applyAlignment="0">
      <alignment horizontal="center" vertical="top" wrapText="1"/>
      <protection hidden="1"/>
    </xf>
    <xf numFmtId="0" fontId="110" fillId="0" borderId="0" applyNumberFormat="0" applyFill="0" applyBorder="0" applyAlignment="0" applyProtection="0"/>
    <xf numFmtId="0" fontId="111" fillId="0" borderId="2" applyNumberFormat="0" applyFill="0" applyAlignment="0" applyProtection="0"/>
    <xf numFmtId="222" fontId="104" fillId="0" borderId="0" applyFon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98" fillId="0" borderId="0"/>
    <xf numFmtId="0" fontId="51" fillId="0" borderId="0"/>
    <xf numFmtId="0" fontId="51" fillId="0" borderId="0"/>
    <xf numFmtId="0" fontId="51" fillId="0" borderId="0"/>
    <xf numFmtId="0" fontId="46" fillId="0" borderId="0"/>
    <xf numFmtId="0" fontId="145" fillId="15" borderId="3" applyNumberFormat="0" applyAlignment="0" applyProtection="0"/>
    <xf numFmtId="0" fontId="101" fillId="0" borderId="0">
      <alignment horizontal="right"/>
    </xf>
    <xf numFmtId="1" fontId="112" fillId="0" borderId="0"/>
    <xf numFmtId="0" fontId="138" fillId="16" borderId="4" applyNumberFormat="0" applyAlignment="0" applyProtection="0"/>
    <xf numFmtId="0" fontId="113" fillId="0" borderId="2" applyNumberFormat="0" applyFill="0" applyProtection="0">
      <alignment horizontal="left" vertical="center"/>
    </xf>
    <xf numFmtId="181" fontId="67" fillId="0" borderId="0" applyBorder="0">
      <alignment horizontal="right"/>
    </xf>
    <xf numFmtId="181" fontId="67" fillId="0" borderId="5" applyAlignment="0">
      <alignment horizontal="right"/>
    </xf>
    <xf numFmtId="43" fontId="24" fillId="0" borderId="0" applyFont="0" applyFill="0" applyBorder="0" applyAlignment="0" applyProtection="0"/>
    <xf numFmtId="223" fontId="114" fillId="0" borderId="0"/>
    <xf numFmtId="223" fontId="114" fillId="0" borderId="0"/>
    <xf numFmtId="223" fontId="114" fillId="0" borderId="0"/>
    <xf numFmtId="223" fontId="114" fillId="0" borderId="0"/>
    <xf numFmtId="223" fontId="114" fillId="0" borderId="0"/>
    <xf numFmtId="223" fontId="114" fillId="0" borderId="0"/>
    <xf numFmtId="223" fontId="114" fillId="0" borderId="0"/>
    <xf numFmtId="223" fontId="114" fillId="0" borderId="0"/>
    <xf numFmtId="43" fontId="156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6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6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00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67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6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15" fillId="0" borderId="0"/>
    <xf numFmtId="0" fontId="116" fillId="0" borderId="0" applyFill="0" applyBorder="0">
      <alignment horizontal="left"/>
    </xf>
    <xf numFmtId="44" fontId="24" fillId="0" borderId="0" applyFont="0" applyFill="0" applyBorder="0" applyAlignment="0" applyProtection="0"/>
    <xf numFmtId="44" fontId="100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43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59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6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67" fillId="0" borderId="0" applyFont="0" applyFill="0" applyBorder="0" applyAlignment="0" applyProtection="0"/>
    <xf numFmtId="224" fontId="104" fillId="0" borderId="0" applyFont="0" applyFill="0" applyBorder="0" applyAlignment="0" applyProtection="0"/>
    <xf numFmtId="14" fontId="41" fillId="0" borderId="6" applyFont="0">
      <alignment horizontal="right"/>
    </xf>
    <xf numFmtId="0" fontId="103" fillId="0" borderId="0"/>
    <xf numFmtId="0" fontId="117" fillId="0" borderId="0"/>
    <xf numFmtId="225" fontId="101" fillId="0" borderId="0">
      <alignment horizontal="right"/>
    </xf>
    <xf numFmtId="0" fontId="101" fillId="0" borderId="0"/>
    <xf numFmtId="5" fontId="69" fillId="0" borderId="0" applyFont="0" applyFill="0" applyBorder="0" applyAlignment="0" applyProtection="0">
      <protection locked="0"/>
    </xf>
    <xf numFmtId="5" fontId="69" fillId="0" borderId="0" applyFont="0" applyFill="0" applyBorder="0" applyAlignment="0" applyProtection="0">
      <protection locked="0"/>
    </xf>
    <xf numFmtId="0" fontId="139" fillId="0" borderId="0" applyNumberFormat="0" applyFill="0" applyBorder="0" applyAlignment="0" applyProtection="0"/>
    <xf numFmtId="0" fontId="163" fillId="0" borderId="0"/>
    <xf numFmtId="1" fontId="118" fillId="17" borderId="7" applyNumberFormat="0" applyBorder="0" applyAlignment="0">
      <alignment horizontal="centerContinuous" vertical="center"/>
      <protection locked="0"/>
    </xf>
    <xf numFmtId="0" fontId="162" fillId="11" borderId="0"/>
    <xf numFmtId="0" fontId="101" fillId="0" borderId="0"/>
    <xf numFmtId="0" fontId="119" fillId="0" borderId="0" applyNumberFormat="0" applyFill="0" applyBorder="0" applyProtection="0">
      <alignment horizontal="left" vertical="center"/>
    </xf>
    <xf numFmtId="49" fontId="46" fillId="0" borderId="0" applyFill="0" applyBorder="0"/>
    <xf numFmtId="49" fontId="46" fillId="0" borderId="0" applyFill="0" applyBorder="0"/>
    <xf numFmtId="49" fontId="100" fillId="0" borderId="0"/>
    <xf numFmtId="49" fontId="100" fillId="0" borderId="0" applyFill="0" applyBorder="0">
      <alignment horizontal="right" vertical="center"/>
    </xf>
    <xf numFmtId="49" fontId="143" fillId="0" borderId="0" applyFill="0" applyBorder="0">
      <alignment horizontal="right" vertical="center"/>
    </xf>
    <xf numFmtId="49" fontId="45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45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167" fillId="0" borderId="0" applyFill="0" applyBorder="0">
      <alignment horizontal="right" vertical="center"/>
    </xf>
    <xf numFmtId="49" fontId="100" fillId="0" borderId="0" applyFill="0" applyBorder="0">
      <alignment horizontal="right" vertical="center"/>
    </xf>
    <xf numFmtId="49" fontId="143" fillId="0" borderId="0" applyFill="0" applyBorder="0">
      <alignment horizontal="right" vertical="center"/>
    </xf>
    <xf numFmtId="49" fontId="45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45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167" fillId="0" borderId="0" applyFill="0" applyBorder="0">
      <alignment horizontal="right" vertical="center"/>
    </xf>
    <xf numFmtId="0" fontId="146" fillId="4" borderId="0" applyNumberFormat="0" applyBorder="0" applyAlignment="0" applyProtection="0"/>
    <xf numFmtId="0" fontId="120" fillId="0" borderId="0"/>
    <xf numFmtId="0" fontId="154" fillId="0" borderId="0"/>
    <xf numFmtId="0" fontId="120" fillId="0" borderId="0"/>
    <xf numFmtId="0" fontId="168" fillId="0" borderId="0"/>
    <xf numFmtId="38" fontId="46" fillId="18" borderId="0" applyNumberFormat="0" applyBorder="0" applyAlignment="0" applyProtection="0"/>
    <xf numFmtId="38" fontId="46" fillId="18" borderId="0" applyNumberFormat="0" applyBorder="0" applyAlignment="0" applyProtection="0"/>
    <xf numFmtId="38" fontId="46" fillId="18" borderId="0" applyNumberFormat="0" applyBorder="0" applyAlignment="0" applyProtection="0"/>
    <xf numFmtId="168" fontId="45" fillId="19" borderId="8" applyNumberFormat="0" applyFont="0" applyBorder="0" applyAlignment="0" applyProtection="0"/>
    <xf numFmtId="168" fontId="24" fillId="19" borderId="8" applyNumberFormat="0" applyFont="0" applyBorder="0" applyAlignment="0" applyProtection="0"/>
    <xf numFmtId="179" fontId="121" fillId="19" borderId="0" applyNumberFormat="0" applyFont="0" applyAlignment="0"/>
    <xf numFmtId="0" fontId="64" fillId="0" borderId="9" applyNumberFormat="0" applyAlignment="0" applyProtection="0">
      <alignment horizontal="left" vertical="center"/>
    </xf>
    <xf numFmtId="0" fontId="64" fillId="0" borderId="6">
      <alignment horizontal="left" vertical="center"/>
    </xf>
    <xf numFmtId="0" fontId="147" fillId="0" borderId="10" applyNumberFormat="0" applyFill="0" applyAlignment="0" applyProtection="0"/>
    <xf numFmtId="0" fontId="148" fillId="0" borderId="11" applyNumberFormat="0" applyFill="0" applyAlignment="0" applyProtection="0"/>
    <xf numFmtId="0" fontId="149" fillId="0" borderId="12" applyNumberFormat="0" applyFill="0" applyAlignment="0" applyProtection="0"/>
    <xf numFmtId="0" fontId="149" fillId="0" borderId="0" applyNumberFormat="0" applyFill="0" applyBorder="0" applyAlignment="0" applyProtection="0"/>
    <xf numFmtId="0" fontId="160" fillId="0" borderId="0">
      <alignment wrapText="1"/>
    </xf>
    <xf numFmtId="10" fontId="46" fillId="21" borderId="8" applyNumberFormat="0" applyBorder="0" applyAlignment="0" applyProtection="0"/>
    <xf numFmtId="10" fontId="46" fillId="21" borderId="8" applyNumberFormat="0" applyBorder="0" applyAlignment="0" applyProtection="0"/>
    <xf numFmtId="10" fontId="46" fillId="21" borderId="8" applyNumberFormat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22" fillId="0" borderId="0" applyNumberFormat="0" applyFill="0" applyBorder="0" applyAlignment="0">
      <protection locked="0"/>
    </xf>
    <xf numFmtId="0" fontId="101" fillId="0" borderId="0"/>
    <xf numFmtId="0" fontId="123" fillId="0" borderId="0" applyNumberFormat="0" applyFill="0" applyBorder="0" applyProtection="0">
      <alignment horizontal="left" vertical="center"/>
    </xf>
    <xf numFmtId="0" fontId="151" fillId="0" borderId="13" applyNumberFormat="0" applyFill="0" applyAlignment="0" applyProtection="0"/>
    <xf numFmtId="0" fontId="162" fillId="0" borderId="0"/>
    <xf numFmtId="0" fontId="164" fillId="0" borderId="0"/>
    <xf numFmtId="0" fontId="161" fillId="0" borderId="0"/>
    <xf numFmtId="226" fontId="46" fillId="21" borderId="0">
      <alignment horizontal="center"/>
    </xf>
    <xf numFmtId="226" fontId="46" fillId="21" borderId="0">
      <alignment horizontal="center"/>
    </xf>
    <xf numFmtId="226" fontId="46" fillId="21" borderId="0">
      <alignment horizontal="center"/>
    </xf>
    <xf numFmtId="0" fontId="152" fillId="5" borderId="0" applyNumberFormat="0" applyBorder="0" applyAlignment="0" applyProtection="0"/>
    <xf numFmtId="37" fontId="124" fillId="0" borderId="0"/>
    <xf numFmtId="227" fontId="125" fillId="0" borderId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0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00" fillId="0" borderId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7" fillId="0" borderId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26" fillId="0" borderId="0"/>
    <xf numFmtId="0" fontId="28" fillId="0" borderId="0"/>
    <xf numFmtId="166" fontId="33" fillId="0" borderId="0"/>
    <xf numFmtId="0" fontId="28" fillId="0" borderId="0"/>
    <xf numFmtId="0" fontId="143" fillId="5" borderId="14" applyNumberFormat="0" applyFont="0" applyAlignment="0" applyProtection="0"/>
    <xf numFmtId="0" fontId="45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167" fillId="5" borderId="14" applyNumberFormat="0" applyFont="0" applyAlignment="0" applyProtection="0"/>
    <xf numFmtId="164" fontId="68" fillId="0" borderId="0" applyFont="0" applyFill="0" applyBorder="0" applyProtection="0">
      <alignment horizontal="right"/>
    </xf>
    <xf numFmtId="4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81" fontId="45" fillId="0" borderId="0"/>
    <xf numFmtId="0" fontId="127" fillId="0" borderId="0">
      <alignment horizontal="left"/>
    </xf>
    <xf numFmtId="0" fontId="140" fillId="15" borderId="15" applyNumberFormat="0" applyAlignment="0" applyProtection="0"/>
    <xf numFmtId="0" fontId="53" fillId="0" borderId="0">
      <alignment vertical="center"/>
    </xf>
    <xf numFmtId="0" fontId="161" fillId="0" borderId="0"/>
    <xf numFmtId="9" fontId="24" fillId="0" borderId="0" applyFont="0" applyFill="0" applyBorder="0" applyAlignment="0" applyProtection="0"/>
    <xf numFmtId="10" fontId="100" fillId="0" borderId="0" applyFont="0" applyFill="0" applyBorder="0" applyAlignment="0" applyProtection="0"/>
    <xf numFmtId="10" fontId="143" fillId="0" borderId="0" applyFont="0" applyFill="0" applyBorder="0" applyAlignment="0" applyProtection="0"/>
    <xf numFmtId="10" fontId="45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45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167" fillId="0" borderId="0" applyFont="0" applyFill="0" applyBorder="0" applyAlignment="0" applyProtection="0"/>
    <xf numFmtId="9" fontId="15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5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5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6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6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6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0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67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9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4" fillId="0" borderId="0" applyFont="0" applyFill="0" applyBorder="0" applyAlignment="0" applyProtection="0"/>
    <xf numFmtId="1" fontId="128" fillId="18" borderId="0">
      <alignment horizontal="center"/>
    </xf>
    <xf numFmtId="228" fontId="46" fillId="0" borderId="0"/>
    <xf numFmtId="228" fontId="46" fillId="0" borderId="0"/>
    <xf numFmtId="0" fontId="129" fillId="0" borderId="0"/>
    <xf numFmtId="0" fontId="155" fillId="0" borderId="0"/>
    <xf numFmtId="0" fontId="129" fillId="0" borderId="0"/>
    <xf numFmtId="0" fontId="169" fillId="0" borderId="0"/>
    <xf numFmtId="0" fontId="123" fillId="0" borderId="0" applyNumberFormat="0" applyFill="0" applyBorder="0" applyProtection="0">
      <alignment horizontal="right" vertical="center"/>
    </xf>
    <xf numFmtId="0" fontId="45" fillId="22" borderId="0" applyNumberFormat="0" applyFont="0" applyBorder="0" applyAlignment="0" applyProtection="0"/>
    <xf numFmtId="0" fontId="24" fillId="22" borderId="0" applyNumberFormat="0" applyFont="0" applyBorder="0" applyAlignment="0" applyProtection="0"/>
    <xf numFmtId="179" fontId="54" fillId="0" borderId="0"/>
    <xf numFmtId="179" fontId="54" fillId="0" borderId="0"/>
    <xf numFmtId="179" fontId="54" fillId="0" borderId="0"/>
    <xf numFmtId="0" fontId="54" fillId="0" borderId="0"/>
    <xf numFmtId="0" fontId="54" fillId="0" borderId="0"/>
    <xf numFmtId="0" fontId="54" fillId="0" borderId="0"/>
    <xf numFmtId="0" fontId="99" fillId="0" borderId="0"/>
    <xf numFmtId="0" fontId="54" fillId="0" borderId="0"/>
    <xf numFmtId="0" fontId="54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99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55" fillId="0" borderId="16"/>
    <xf numFmtId="0" fontId="24" fillId="0" borderId="0">
      <alignment vertical="top"/>
    </xf>
    <xf numFmtId="0" fontId="143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156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159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165" fillId="0" borderId="0">
      <alignment vertical="top"/>
    </xf>
    <xf numFmtId="0" fontId="24" fillId="0" borderId="0">
      <alignment vertical="top"/>
    </xf>
    <xf numFmtId="0" fontId="167" fillId="0" borderId="0">
      <alignment vertical="top"/>
    </xf>
    <xf numFmtId="0" fontId="45" fillId="0" borderId="0"/>
    <xf numFmtId="0" fontId="45" fillId="0" borderId="0">
      <alignment vertical="top"/>
    </xf>
    <xf numFmtId="0" fontId="24" fillId="0" borderId="0">
      <alignment vertical="top"/>
    </xf>
    <xf numFmtId="0" fontId="24" fillId="0" borderId="0"/>
    <xf numFmtId="0" fontId="63" fillId="0" borderId="0"/>
    <xf numFmtId="0" fontId="63" fillId="0" borderId="0"/>
    <xf numFmtId="0" fontId="100" fillId="0" borderId="0">
      <alignment vertical="top"/>
    </xf>
    <xf numFmtId="0" fontId="143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45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167" fillId="0" borderId="0">
      <alignment vertical="top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53" fillId="0" borderId="0" applyNumberFormat="0" applyFill="0" applyBorder="0" applyAlignment="0" applyProtection="0"/>
    <xf numFmtId="0" fontId="131" fillId="23" borderId="0" applyNumberFormat="0" applyBorder="0" applyProtection="0">
      <alignment horizontal="left" vertical="center"/>
    </xf>
    <xf numFmtId="0" fontId="132" fillId="1" borderId="0" applyNumberFormat="0" applyBorder="0" applyProtection="0">
      <alignment horizontal="left" vertical="center"/>
    </xf>
    <xf numFmtId="181" fontId="62" fillId="0" borderId="0"/>
    <xf numFmtId="188" fontId="133" fillId="0" borderId="17" applyNumberFormat="0" applyFont="0" applyFill="0" applyAlignment="0" applyProtection="0"/>
    <xf numFmtId="0" fontId="141" fillId="0" borderId="18" applyNumberFormat="0" applyFill="0" applyAlignment="0" applyProtection="0"/>
    <xf numFmtId="181" fontId="67" fillId="0" borderId="19"/>
    <xf numFmtId="229" fontId="134" fillId="0" borderId="0">
      <alignment horizontal="right"/>
    </xf>
    <xf numFmtId="230" fontId="128" fillId="18" borderId="1" applyBorder="0">
      <alignment horizontal="right" vertical="center"/>
      <protection locked="0"/>
    </xf>
    <xf numFmtId="0" fontId="135" fillId="0" borderId="0" applyNumberFormat="0"/>
    <xf numFmtId="0" fontId="142" fillId="0" borderId="0" applyNumberFormat="0" applyFill="0" applyBorder="0" applyAlignment="0" applyProtection="0"/>
    <xf numFmtId="1" fontId="100" fillId="0" borderId="0">
      <alignment horizontal="center"/>
    </xf>
    <xf numFmtId="1" fontId="143" fillId="0" borderId="0">
      <alignment horizontal="center"/>
    </xf>
    <xf numFmtId="1" fontId="45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45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167" fillId="0" borderId="0">
      <alignment horizontal="center"/>
    </xf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/>
    <xf numFmtId="179" fontId="24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0" fontId="120" fillId="0" borderId="0"/>
    <xf numFmtId="0" fontId="24" fillId="0" borderId="0"/>
    <xf numFmtId="0" fontId="24" fillId="5" borderId="14" applyNumberFormat="0" applyFont="0" applyAlignment="0" applyProtection="0"/>
    <xf numFmtId="10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29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1" fontId="24" fillId="0" borderId="0">
      <alignment horizontal="center"/>
    </xf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7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75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76" fillId="0" borderId="0"/>
    <xf numFmtId="0" fontId="177" fillId="0" borderId="0"/>
    <xf numFmtId="0" fontId="24" fillId="0" borderId="0" applyNumberFormat="0" applyFont="0" applyFill="0" applyBorder="0" applyAlignment="0" applyProtection="0"/>
    <xf numFmtId="0" fontId="120" fillId="0" borderId="0"/>
    <xf numFmtId="0" fontId="129" fillId="0" borderId="0"/>
    <xf numFmtId="0" fontId="178" fillId="0" borderId="0"/>
    <xf numFmtId="0" fontId="179" fillId="0" borderId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69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180" fillId="0" borderId="0"/>
    <xf numFmtId="0" fontId="181" fillId="11" borderId="0"/>
    <xf numFmtId="0" fontId="182" fillId="0" borderId="0">
      <alignment wrapText="1"/>
    </xf>
    <xf numFmtId="0" fontId="181" fillId="0" borderId="0"/>
    <xf numFmtId="0" fontId="183" fillId="0" borderId="0"/>
    <xf numFmtId="0" fontId="18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5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185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18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50" fillId="5" borderId="3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150" fillId="5" borderId="3" applyNumberFormat="0" applyAlignment="0" applyProtection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 applyNumberFormat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185" fillId="0" borderId="0"/>
    <xf numFmtId="0" fontId="185" fillId="0" borderId="0"/>
    <xf numFmtId="9" fontId="69" fillId="0" borderId="0" applyFont="0" applyFill="0" applyBorder="0" applyAlignment="0" applyProtection="0"/>
    <xf numFmtId="0" fontId="185" fillId="0" borderId="0"/>
    <xf numFmtId="9" fontId="69" fillId="0" borderId="0" applyFont="0" applyFill="0" applyBorder="0" applyAlignment="0" applyProtection="0"/>
    <xf numFmtId="0" fontId="185" fillId="0" borderId="0"/>
    <xf numFmtId="9" fontId="69" fillId="0" borderId="0" applyFont="0" applyFill="0" applyBorder="0" applyAlignment="0" applyProtection="0"/>
    <xf numFmtId="0" fontId="185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3" fontId="73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3" fontId="73" fillId="0" borderId="0"/>
    <xf numFmtId="3" fontId="73" fillId="0" borderId="0"/>
    <xf numFmtId="3" fontId="73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0" fontId="24" fillId="0" borderId="0"/>
    <xf numFmtId="192" fontId="73" fillId="0" borderId="0"/>
    <xf numFmtId="226" fontId="24" fillId="0" borderId="0" applyFon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0" fontId="187" fillId="0" borderId="0" applyNumberFormat="0" applyFill="0" applyBorder="0" applyAlignment="0" applyProtection="0"/>
    <xf numFmtId="0" fontId="22" fillId="0" borderId="0"/>
    <xf numFmtId="3" fontId="73" fillId="0" borderId="0"/>
    <xf numFmtId="168" fontId="24" fillId="0" borderId="0" applyFont="0" applyFill="0" applyBorder="0" applyAlignment="0" applyProtection="0"/>
    <xf numFmtId="49" fontId="73" fillId="0" borderId="0">
      <alignment horizontal="right"/>
    </xf>
    <xf numFmtId="3" fontId="46" fillId="0" borderId="0"/>
    <xf numFmtId="3" fontId="73" fillId="0" borderId="0"/>
    <xf numFmtId="3" fontId="62" fillId="0" borderId="0" applyNumberFormat="0"/>
    <xf numFmtId="3" fontId="188" fillId="0" borderId="0"/>
    <xf numFmtId="0" fontId="62" fillId="0" borderId="6">
      <alignment horizontal="right" wrapText="1"/>
    </xf>
    <xf numFmtId="0" fontId="62" fillId="0" borderId="6">
      <alignment horizontal="right" wrapText="1"/>
    </xf>
    <xf numFmtId="3" fontId="62" fillId="0" borderId="2" applyNumberFormat="0"/>
    <xf numFmtId="168" fontId="189" fillId="0" borderId="0" applyFont="0" applyFill="0" applyBorder="0" applyAlignment="0" applyProtection="0"/>
    <xf numFmtId="42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0" fontId="190" fillId="0" borderId="0" applyFont="0" applyFill="0" applyBorder="0" applyAlignment="0" applyProtection="0">
      <alignment vertical="center"/>
    </xf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20" fillId="0" borderId="0"/>
    <xf numFmtId="0" fontId="129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1" fillId="0" borderId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92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5" borderId="0" applyNumberFormat="0" applyBorder="0" applyAlignment="0" applyProtection="0"/>
    <xf numFmtId="0" fontId="23" fillId="2" borderId="0" applyNumberFormat="0" applyBorder="0" applyAlignment="0" applyProtection="0"/>
    <xf numFmtId="0" fontId="23" fillId="6" borderId="0" applyNumberFormat="0" applyBorder="0" applyAlignment="0" applyProtection="0"/>
    <xf numFmtId="0" fontId="23" fillId="5" borderId="0" applyNumberFormat="0" applyBorder="0" applyAlignment="0" applyProtection="0"/>
    <xf numFmtId="0" fontId="23" fillId="7" borderId="0" applyNumberFormat="0" applyBorder="0" applyAlignment="0" applyProtection="0"/>
    <xf numFmtId="0" fontId="23" fillId="3" borderId="0" applyNumberFormat="0" applyBorder="0" applyAlignment="0" applyProtection="0"/>
    <xf numFmtId="0" fontId="23" fillId="5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5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7" borderId="0" applyNumberFormat="0" applyBorder="0" applyAlignment="0" applyProtection="0"/>
    <xf numFmtId="0" fontId="137" fillId="9" borderId="0" applyNumberFormat="0" applyBorder="0" applyAlignment="0" applyProtection="0"/>
    <xf numFmtId="0" fontId="137" fillId="5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12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168" fontId="193" fillId="0" borderId="0" applyFont="0" applyFill="0" applyBorder="0" applyAlignment="0" applyProtection="0"/>
    <xf numFmtId="0" fontId="144" fillId="13" borderId="0" applyNumberFormat="0" applyBorder="0" applyAlignment="0" applyProtection="0"/>
    <xf numFmtId="0" fontId="51" fillId="0" borderId="0"/>
    <xf numFmtId="0" fontId="51" fillId="0" borderId="0"/>
    <xf numFmtId="0" fontId="145" fillId="15" borderId="3" applyNumberFormat="0" applyAlignment="0" applyProtection="0"/>
    <xf numFmtId="0" fontId="138" fillId="16" borderId="4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139" fillId="0" borderId="0" applyNumberFormat="0" applyFill="0" applyBorder="0" applyAlignment="0" applyProtection="0"/>
    <xf numFmtId="0" fontId="146" fillId="4" borderId="0" applyNumberFormat="0" applyBorder="0" applyAlignment="0" applyProtection="0"/>
    <xf numFmtId="0" fontId="147" fillId="0" borderId="10" applyNumberFormat="0" applyFill="0" applyAlignment="0" applyProtection="0"/>
    <xf numFmtId="0" fontId="148" fillId="0" borderId="11" applyNumberFormat="0" applyFill="0" applyAlignment="0" applyProtection="0"/>
    <xf numFmtId="0" fontId="149" fillId="0" borderId="12" applyNumberFormat="0" applyFill="0" applyAlignment="0" applyProtection="0"/>
    <xf numFmtId="0" fontId="149" fillId="0" borderId="0" applyNumberFormat="0" applyFill="0" applyBorder="0" applyAlignment="0" applyProtection="0"/>
    <xf numFmtId="0" fontId="151" fillId="0" borderId="13" applyNumberFormat="0" applyFill="0" applyAlignment="0" applyProtection="0"/>
    <xf numFmtId="0" fontId="152" fillId="5" borderId="0" applyNumberFormat="0" applyBorder="0" applyAlignment="0" applyProtection="0"/>
    <xf numFmtId="0" fontId="20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16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0" fontId="20" fillId="0" borderId="0"/>
    <xf numFmtId="0" fontId="24" fillId="0" borderId="0" applyNumberFormat="0" applyFont="0" applyFill="0" applyBorder="0" applyAlignment="0" applyProtection="0"/>
    <xf numFmtId="0" fontId="20" fillId="0" borderId="0"/>
    <xf numFmtId="0" fontId="24" fillId="0" borderId="0" applyNumberFormat="0" applyFont="0" applyFill="0" applyBorder="0" applyAlignment="0" applyProtection="0"/>
    <xf numFmtId="0" fontId="20" fillId="0" borderId="0"/>
    <xf numFmtId="0" fontId="24" fillId="0" borderId="0" applyNumberFormat="0" applyFont="0" applyFill="0" applyBorder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3" fontId="73" fillId="0" borderId="0" applyBorder="0"/>
    <xf numFmtId="164" fontId="68" fillId="0" borderId="0" applyFont="0" applyFill="0" applyBorder="0" applyProtection="0">
      <alignment horizontal="right"/>
    </xf>
    <xf numFmtId="0" fontId="140" fillId="15" borderId="15" applyNumberForma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54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3" fontId="7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63" fillId="0" borderId="0"/>
    <xf numFmtId="0" fontId="63" fillId="0" borderId="0"/>
    <xf numFmtId="0" fontId="153" fillId="0" borderId="0" applyNumberFormat="0" applyFill="0" applyBorder="0" applyAlignment="0" applyProtection="0"/>
    <xf numFmtId="0" fontId="141" fillId="0" borderId="18" applyNumberFormat="0" applyFill="0" applyAlignment="0" applyProtection="0"/>
    <xf numFmtId="0" fontId="142" fillId="0" borderId="0" applyNumberFormat="0" applyFill="0" applyBorder="0" applyAlignment="0" applyProtection="0"/>
    <xf numFmtId="0" fontId="24" fillId="0" borderId="0" applyNumberFormat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10" fontId="24" fillId="0" borderId="0" applyFont="0" applyFill="0" applyBorder="0" applyAlignment="0" applyProtection="0"/>
    <xf numFmtId="3" fontId="73" fillId="0" borderId="0"/>
    <xf numFmtId="0" fontId="24" fillId="0" borderId="0"/>
    <xf numFmtId="0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240" fontId="46" fillId="0" borderId="0" applyFont="0" applyFill="0" applyBorder="0" applyProtection="0"/>
    <xf numFmtId="242" fontId="23" fillId="0" borderId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46" fillId="0" borderId="0" applyNumberFormat="0" applyBorder="0" applyAlignment="0" applyProtection="0"/>
    <xf numFmtId="0" fontId="194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Protection="0">
      <alignment vertical="center"/>
    </xf>
    <xf numFmtId="241" fontId="46" fillId="0" borderId="0"/>
    <xf numFmtId="0" fontId="46" fillId="0" borderId="0" applyNumberFormat="0" applyBorder="0" applyAlignment="0" applyProtection="0"/>
    <xf numFmtId="0" fontId="24" fillId="0" borderId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24" fillId="0" borderId="0">
      <alignment vertical="center"/>
    </xf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24" fillId="0" borderId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24" fillId="0" borderId="0"/>
    <xf numFmtId="0" fontId="24" fillId="0" borderId="0"/>
    <xf numFmtId="0" fontId="25" fillId="0" borderId="0" applyNumberFormat="0" applyFont="0" applyFill="0" applyBorder="0" applyAlignment="0" applyProtection="0"/>
    <xf numFmtId="0" fontId="102" fillId="0" borderId="0"/>
    <xf numFmtId="0" fontId="24" fillId="0" borderId="0"/>
    <xf numFmtId="0" fontId="24" fillId="0" borderId="0"/>
    <xf numFmtId="0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0" fontId="150" fillId="5" borderId="3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3" fontId="73" fillId="0" borderId="0" applyBorder="0"/>
    <xf numFmtId="9" fontId="19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1" fillId="0" borderId="0"/>
    <xf numFmtId="0" fontId="51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17" fillId="0" borderId="0"/>
    <xf numFmtId="0" fontId="17" fillId="0" borderId="0"/>
    <xf numFmtId="0" fontId="24" fillId="0" borderId="0"/>
    <xf numFmtId="0" fontId="24" fillId="0" borderId="0"/>
    <xf numFmtId="0" fontId="24" fillId="5" borderId="14" applyNumberFormat="0" applyFon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54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0" fontId="196" fillId="0" borderId="0"/>
    <xf numFmtId="0" fontId="24" fillId="0" borderId="0"/>
    <xf numFmtId="0" fontId="24" fillId="0" borderId="0" applyNumberForma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17" fillId="0" borderId="0"/>
    <xf numFmtId="43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/>
    <xf numFmtId="0" fontId="46" fillId="0" borderId="0" applyNumberFormat="0" applyBorder="0" applyAlignment="0" applyProtection="0"/>
    <xf numFmtId="0" fontId="25" fillId="0" borderId="0" applyNumberFormat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195" fillId="0" borderId="0" applyNumberFormat="0" applyFill="0" applyBorder="0" applyAlignment="0" applyProtection="0">
      <alignment vertical="top"/>
      <protection locked="0"/>
    </xf>
    <xf numFmtId="9" fontId="24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4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43" fontId="13" fillId="0" borderId="0" applyFont="0" applyFill="0" applyBorder="0" applyAlignment="0" applyProtection="0"/>
    <xf numFmtId="0" fontId="150" fillId="5" borderId="3" applyNumberFormat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3" fontId="73" fillId="0" borderId="0" applyBorder="0"/>
    <xf numFmtId="9" fontId="1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3" fontId="7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3" fontId="73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3" fontId="73" fillId="0" borderId="0"/>
    <xf numFmtId="3" fontId="7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3" fontId="73" fillId="0" borderId="0"/>
    <xf numFmtId="0" fontId="24" fillId="0" borderId="0"/>
    <xf numFmtId="0" fontId="24" fillId="0" borderId="0"/>
    <xf numFmtId="3" fontId="73" fillId="0" borderId="0"/>
    <xf numFmtId="3" fontId="73" fillId="0" borderId="0"/>
    <xf numFmtId="3" fontId="73" fillId="0" borderId="0"/>
    <xf numFmtId="3" fontId="73" fillId="0" borderId="0"/>
    <xf numFmtId="0" fontId="24" fillId="0" borderId="0"/>
    <xf numFmtId="0" fontId="24" fillId="0" borderId="0"/>
    <xf numFmtId="0" fontId="73" fillId="0" borderId="0"/>
    <xf numFmtId="3" fontId="73" fillId="0" borderId="17" applyBorder="0"/>
    <xf numFmtId="240" fontId="46" fillId="0" borderId="0" applyFont="0" applyFill="0" applyBorder="0" applyProtection="0"/>
    <xf numFmtId="43" fontId="1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192" fontId="73" fillId="0" borderId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2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50" fillId="5" borderId="3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52" fillId="0" borderId="0" applyNumberFormat="0" applyFill="0" applyBorder="0" applyAlignment="0" applyProtection="0">
      <alignment vertical="top"/>
      <protection locked="0"/>
    </xf>
    <xf numFmtId="0" fontId="186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4" fillId="0" borderId="0" applyNumberFormat="0" applyFill="0" applyBorder="0" applyAlignment="0" applyProtection="0">
      <alignment vertical="top"/>
      <protection locked="0"/>
    </xf>
    <xf numFmtId="0" fontId="186" fillId="0" borderId="0" applyNumberFormat="0" applyFill="0" applyBorder="0" applyAlignment="0" applyProtection="0">
      <alignment vertical="top"/>
      <protection locked="0"/>
    </xf>
    <xf numFmtId="0" fontId="187" fillId="0" borderId="0" applyNumberForma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3" fontId="73" fillId="0" borderId="0"/>
    <xf numFmtId="3" fontId="73" fillId="0" borderId="0"/>
    <xf numFmtId="0" fontId="2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 applyNumberFormat="0" applyFont="0" applyFill="0" applyBorder="0" applyAlignment="0" applyProtection="0"/>
    <xf numFmtId="0" fontId="7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2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3" fontId="7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>
      <alignment vertical="center"/>
    </xf>
    <xf numFmtId="0" fontId="24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3" fontId="7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6" fillId="0" borderId="0" applyNumberFormat="0" applyBorder="0" applyAlignment="0" applyProtection="0"/>
    <xf numFmtId="0" fontId="24" fillId="0" borderId="0"/>
    <xf numFmtId="0" fontId="24" fillId="0" borderId="0"/>
    <xf numFmtId="3" fontId="73" fillId="0" borderId="17" applyBorder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3" fillId="32" borderId="33" applyNumberFormat="0" applyFont="0" applyAlignment="0" applyProtection="0"/>
    <xf numFmtId="0" fontId="24" fillId="5" borderId="14" applyNumberFormat="0" applyFont="0" applyAlignment="0" applyProtection="0"/>
    <xf numFmtId="3" fontId="73" fillId="0" borderId="17" applyBorder="0"/>
    <xf numFmtId="164" fontId="68" fillId="0" borderId="0" applyFont="0" applyFill="0" applyBorder="0" applyProtection="0">
      <alignment horizontal="right"/>
    </xf>
    <xf numFmtId="3" fontId="73" fillId="0" borderId="0" applyBorder="0"/>
    <xf numFmtId="3" fontId="73" fillId="0" borderId="0" applyBorder="0"/>
    <xf numFmtId="3" fontId="73" fillId="0" borderId="0" applyBorder="0"/>
    <xf numFmtId="9" fontId="1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73" fillId="0" borderId="0" applyFont="0" applyFill="0" applyBorder="0" applyProtection="0">
      <alignment horizontal="right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73" fillId="0" borderId="0" applyFont="0" applyFill="0" applyBorder="0" applyProtection="0">
      <alignment horizontal="right"/>
    </xf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9" fontId="73" fillId="0" borderId="0">
      <alignment horizontal="right"/>
    </xf>
    <xf numFmtId="3" fontId="46" fillId="0" borderId="0"/>
    <xf numFmtId="0" fontId="24" fillId="0" borderId="0" applyNumberFormat="0" applyFill="0" applyBorder="0" applyAlignment="0" applyProtection="0"/>
    <xf numFmtId="3" fontId="7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197" fillId="33" borderId="34" applyNumberFormat="0" applyAlignment="0" applyProtection="0"/>
    <xf numFmtId="2" fontId="197" fillId="34" borderId="34" applyProtection="0">
      <alignment horizontal="right"/>
    </xf>
    <xf numFmtId="2" fontId="198" fillId="25" borderId="34" applyProtection="0">
      <alignment horizontal="right"/>
    </xf>
    <xf numFmtId="14" fontId="199" fillId="26" borderId="34" applyProtection="0">
      <alignment horizontal="right"/>
    </xf>
    <xf numFmtId="14" fontId="199" fillId="26" borderId="34" applyProtection="0">
      <alignment horizontal="left"/>
    </xf>
    <xf numFmtId="0" fontId="200" fillId="33" borderId="34" applyNumberFormat="0" applyProtection="0">
      <alignment horizontal="left"/>
    </xf>
    <xf numFmtId="0" fontId="62" fillId="0" borderId="6">
      <alignment horizontal="center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62" fillId="0" borderId="6">
      <alignment horizontal="right" wrapText="1"/>
    </xf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24" fillId="0" borderId="0" applyNumberFormat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24" fillId="0" borderId="0"/>
    <xf numFmtId="0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0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50" fillId="5" borderId="3" applyNumberFormat="0" applyAlignment="0" applyProtection="0"/>
    <xf numFmtId="3" fontId="73" fillId="0" borderId="17" applyBorder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179" fontId="24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06" fillId="0" borderId="0">
      <alignment horizontal="center"/>
    </xf>
    <xf numFmtId="240" fontId="46" fillId="0" borderId="0" applyFont="0" applyFill="0" applyBorder="0" applyProtection="0"/>
    <xf numFmtId="0" fontId="51" fillId="0" borderId="0"/>
    <xf numFmtId="0" fontId="51" fillId="0" borderId="0"/>
    <xf numFmtId="0" fontId="51" fillId="0" borderId="0"/>
    <xf numFmtId="3" fontId="73" fillId="0" borderId="17" applyBorder="0"/>
    <xf numFmtId="181" fontId="67" fillId="0" borderId="0" applyBorder="0">
      <alignment horizontal="right"/>
    </xf>
    <xf numFmtId="181" fontId="67" fillId="0" borderId="0" applyBorder="0">
      <alignment horizontal="right"/>
    </xf>
    <xf numFmtId="181" fontId="67" fillId="0" borderId="5" applyAlignment="0">
      <alignment horizontal="right"/>
    </xf>
    <xf numFmtId="181" fontId="67" fillId="0" borderId="5" applyAlignment="0">
      <alignment horizontal="right"/>
    </xf>
    <xf numFmtId="0" fontId="150" fillId="5" borderId="3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103" fillId="0" borderId="0" applyFont="0" applyFill="0" applyBorder="0" applyAlignment="0" applyProtection="0"/>
    <xf numFmtId="44" fontId="103" fillId="0" borderId="0" applyFont="0" applyFill="0" applyBorder="0" applyAlignment="0" applyProtection="0"/>
    <xf numFmtId="44" fontId="10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" fontId="41" fillId="0" borderId="6" applyFont="0">
      <alignment horizontal="right"/>
    </xf>
    <xf numFmtId="5" fontId="69" fillId="0" borderId="0" applyFont="0" applyFill="0" applyBorder="0" applyAlignment="0" applyProtection="0">
      <protection locked="0"/>
    </xf>
    <xf numFmtId="0" fontId="163" fillId="0" borderId="0"/>
    <xf numFmtId="0" fontId="162" fillId="11" borderId="0"/>
    <xf numFmtId="185" fontId="46" fillId="0" borderId="0" applyFill="0" applyBorder="0"/>
    <xf numFmtId="49" fontId="46" fillId="0" borderId="0" applyFill="0" applyBorder="0"/>
    <xf numFmtId="185" fontId="46" fillId="0" borderId="0" applyFill="0" applyBorder="0"/>
    <xf numFmtId="49" fontId="46" fillId="0" borderId="0" applyFill="0" applyBorder="0"/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3" fontId="2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185" fontId="24" fillId="0" borderId="0" applyFill="0" applyBorder="0">
      <alignment horizontal="right" vertical="center"/>
    </xf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46" fillId="18" borderId="0" applyNumberFormat="0" applyBorder="0" applyAlignment="0" applyProtection="0"/>
    <xf numFmtId="38" fontId="46" fillId="18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160" fillId="0" borderId="0">
      <alignment wrapText="1"/>
    </xf>
    <xf numFmtId="0" fontId="205" fillId="0" borderId="0" applyNumberForma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62" fillId="0" borderId="0"/>
    <xf numFmtId="0" fontId="164" fillId="0" borderId="0"/>
    <xf numFmtId="0" fontId="161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203" fillId="0" borderId="0"/>
    <xf numFmtId="0" fontId="120" fillId="0" borderId="0"/>
    <xf numFmtId="0" fontId="120" fillId="0" borderId="0"/>
    <xf numFmtId="0" fontId="1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10" fillId="0" borderId="0"/>
    <xf numFmtId="0" fontId="103" fillId="0" borderId="0" applyNumberFormat="0" applyFill="0" applyBorder="0" applyAlignment="0" applyProtection="0"/>
    <xf numFmtId="0" fontId="24" fillId="0" borderId="0" applyNumberFormat="0" applyFont="0" applyFill="0" applyBorder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02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4" fillId="0" borderId="0"/>
    <xf numFmtId="0" fontId="46" fillId="0" borderId="0" applyNumberFormat="0" applyBorder="0" applyAlignment="0" applyProtection="0"/>
    <xf numFmtId="0" fontId="24" fillId="0" borderId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10" fillId="0" borderId="0"/>
    <xf numFmtId="0" fontId="24" fillId="0" borderId="0" applyNumberFormat="0" applyFont="0" applyFill="0" applyBorder="0" applyAlignment="0" applyProtection="0"/>
    <xf numFmtId="0" fontId="10" fillId="0" borderId="0"/>
    <xf numFmtId="0" fontId="24" fillId="0" borderId="0" applyNumberFormat="0" applyFont="0" applyFill="0" applyBorder="0" applyAlignment="0" applyProtection="0"/>
    <xf numFmtId="0" fontId="10" fillId="0" borderId="0"/>
    <xf numFmtId="0" fontId="24" fillId="0" borderId="0" applyNumberFormat="0" applyFont="0" applyFill="0" applyBorder="0" applyAlignment="0" applyProtection="0"/>
    <xf numFmtId="0" fontId="10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1" fillId="0" borderId="0"/>
    <xf numFmtId="10" fontId="24" fillId="0" borderId="0" applyFont="0" applyFill="0" applyBorder="0" applyAlignment="0" applyProtection="0"/>
    <xf numFmtId="0" fontId="24" fillId="0" borderId="0">
      <alignment vertical="center"/>
    </xf>
    <xf numFmtId="0" fontId="10" fillId="0" borderId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0" fontId="10" fillId="0" borderId="0"/>
    <xf numFmtId="0" fontId="10" fillId="0" borderId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2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24" fillId="0" borderId="0" applyFont="0" applyFill="0" applyBorder="0" applyAlignment="0" applyProtection="0"/>
    <xf numFmtId="0" fontId="10" fillId="0" borderId="0"/>
    <xf numFmtId="0" fontId="10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103" fillId="0" borderId="0" applyFont="0" applyFill="0" applyBorder="0" applyAlignment="0" applyProtection="0"/>
    <xf numFmtId="9" fontId="103" fillId="0" borderId="0" applyFont="0" applyFill="0" applyBorder="0" applyAlignment="0" applyProtection="0"/>
    <xf numFmtId="9" fontId="10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" fontId="73" fillId="0" borderId="17" applyBorder="0"/>
    <xf numFmtId="228" fontId="46" fillId="0" borderId="0"/>
    <xf numFmtId="0" fontId="54" fillId="0" borderId="0"/>
    <xf numFmtId="0" fontId="10" fillId="0" borderId="0"/>
    <xf numFmtId="0" fontId="5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24" fillId="5" borderId="14" applyNumberFormat="0" applyFont="0" applyAlignment="0" applyProtection="0"/>
    <xf numFmtId="0" fontId="23" fillId="5" borderId="33" applyNumberFormat="0" applyFont="0" applyAlignment="0" applyProtection="0"/>
    <xf numFmtId="0" fontId="23" fillId="5" borderId="33" applyNumberFormat="0" applyFont="0" applyAlignment="0" applyProtection="0"/>
    <xf numFmtId="0" fontId="23" fillId="5" borderId="33" applyNumberFormat="0" applyFont="0" applyAlignment="0" applyProtection="0"/>
    <xf numFmtId="3" fontId="73" fillId="0" borderId="17" applyBorder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3" fontId="73" fillId="0" borderId="17" applyBorder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63" fillId="0" borderId="0"/>
    <xf numFmtId="0" fontId="6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67" fillId="0" borderId="19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67" fillId="0" borderId="19"/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0" fontId="24" fillId="0" borderId="0" applyNumberFormat="0" applyFont="0" applyFill="0" applyBorder="0" applyAlignment="0" applyProtection="0"/>
    <xf numFmtId="0" fontId="24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0" fontId="204" fillId="0" borderId="0"/>
    <xf numFmtId="0" fontId="129" fillId="0" borderId="0"/>
    <xf numFmtId="0" fontId="129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06" fillId="0" borderId="0"/>
    <xf numFmtId="0" fontId="207" fillId="0" borderId="0"/>
    <xf numFmtId="0" fontId="24" fillId="0" borderId="0" applyNumberFormat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24" fillId="0" borderId="0" applyNumberFormat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4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209" fillId="37" borderId="37" applyNumberFormat="0" applyAlignment="0" applyProtection="0"/>
    <xf numFmtId="0" fontId="210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0" fontId="8" fillId="38" borderId="0" applyNumberFormat="0" applyBorder="0" applyAlignment="0" applyProtection="0"/>
    <xf numFmtId="0" fontId="213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4" fillId="0" borderId="0" applyFont="0" applyFill="0" applyBorder="0" applyAlignment="0" applyProtection="0"/>
    <xf numFmtId="3" fontId="73" fillId="0" borderId="0"/>
    <xf numFmtId="0" fontId="24" fillId="0" borderId="0" applyNumberFormat="0" applyFont="0" applyFill="0" applyBorder="0" applyAlignment="0" applyProtection="0"/>
    <xf numFmtId="0" fontId="103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5" fontId="234" fillId="0" borderId="0" applyFont="0" applyFill="0" applyBorder="0" applyAlignment="0" applyProtection="0"/>
    <xf numFmtId="8" fontId="234" fillId="0" borderId="0" applyFont="0" applyFill="0" applyBorder="0" applyAlignment="0" applyProtection="0"/>
    <xf numFmtId="0" fontId="22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253" fontId="235" fillId="0" borderId="0"/>
    <xf numFmtId="256" fontId="233" fillId="0" borderId="0"/>
    <xf numFmtId="10" fontId="234" fillId="0" borderId="0" applyFont="0" applyFill="0" applyBorder="0" applyAlignment="0" applyProtection="0"/>
    <xf numFmtId="10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2" fontId="24" fillId="0" borderId="0" applyFont="0" applyFill="0" applyBorder="0" applyAlignment="0" applyProtection="0"/>
    <xf numFmtId="257" fontId="236" fillId="0" borderId="0" applyFont="0" applyFill="0" applyBorder="0" applyAlignment="0" applyProtection="0"/>
    <xf numFmtId="0" fontId="237" fillId="0" borderId="0" applyFont="0" applyFill="0" applyBorder="0" applyAlignment="0" applyProtection="0"/>
    <xf numFmtId="40" fontId="238" fillId="0" borderId="0" applyFont="0" applyFill="0" applyBorder="0" applyAlignment="0" applyProtection="0"/>
    <xf numFmtId="0" fontId="239" fillId="0" borderId="0" applyNumberFormat="0" applyFill="0" applyBorder="0" applyAlignment="0" applyProtection="0">
      <alignment vertical="top"/>
      <protection locked="0"/>
    </xf>
    <xf numFmtId="38" fontId="238" fillId="0" borderId="0" applyFont="0" applyFill="0" applyBorder="0" applyAlignment="0" applyProtection="0"/>
    <xf numFmtId="0" fontId="237" fillId="0" borderId="0"/>
    <xf numFmtId="0" fontId="41" fillId="0" borderId="6" applyNumberFormat="0" applyBorder="0" applyAlignment="0">
      <alignment horizontal="left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4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247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3" fontId="73" fillId="0" borderId="0"/>
    <xf numFmtId="245" fontId="214" fillId="0" borderId="0"/>
    <xf numFmtId="0" fontId="214" fillId="0" borderId="0"/>
    <xf numFmtId="0" fontId="24" fillId="0" borderId="0" applyNumberFormat="0" applyFill="0" applyBorder="0" applyAlignment="0" applyProtection="0"/>
    <xf numFmtId="0" fontId="24" fillId="0" borderId="0" applyFill="0" applyAlignment="0">
      <protection locked="0"/>
    </xf>
    <xf numFmtId="3" fontId="7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Font="0" applyFill="0" applyBorder="0" applyAlignment="0" applyProtection="0"/>
    <xf numFmtId="248" fontId="24" fillId="0" borderId="0" applyFont="0" applyFill="0" applyBorder="0" applyAlignment="0" applyProtection="0"/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246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164" fontId="68" fillId="0" borderId="0" applyFont="0" applyFill="0" applyBorder="0" applyProtection="0">
      <alignment horizontal="right"/>
    </xf>
    <xf numFmtId="0" fontId="24" fillId="0" borderId="0"/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Fill="0" applyAlignment="0">
      <protection locked="0"/>
    </xf>
    <xf numFmtId="0" fontId="24" fillId="0" borderId="0" applyFill="0" applyAlignment="0">
      <protection locked="0"/>
    </xf>
    <xf numFmtId="0" fontId="24" fillId="0" borderId="0"/>
    <xf numFmtId="0" fontId="24" fillId="0" borderId="0"/>
    <xf numFmtId="0" fontId="240" fillId="0" borderId="38" applyBorder="0"/>
    <xf numFmtId="258" fontId="104" fillId="0" borderId="0" applyFont="0" applyFill="0" applyBorder="0" applyAlignment="0" applyProtection="0"/>
    <xf numFmtId="259" fontId="10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9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9" fontId="24" fillId="0" borderId="0"/>
    <xf numFmtId="0" fontId="50" fillId="0" borderId="0"/>
    <xf numFmtId="2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20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179" fontId="24" fillId="0" borderId="0"/>
    <xf numFmtId="10" fontId="215" fillId="0" borderId="0" applyFont="0" applyFill="0" applyBorder="0" applyAlignment="0" applyProtection="0"/>
    <xf numFmtId="0" fontId="23" fillId="2" borderId="0" applyNumberFormat="0" applyBorder="0" applyAlignment="0" applyProtection="0"/>
    <xf numFmtId="0" fontId="23" fillId="8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5" borderId="0" applyNumberFormat="0" applyBorder="0" applyAlignment="0" applyProtection="0"/>
    <xf numFmtId="0" fontId="23" fillId="10" borderId="0" applyNumberFormat="0" applyBorder="0" applyAlignment="0" applyProtection="0"/>
    <xf numFmtId="0" fontId="8" fillId="38" borderId="0" applyNumberFormat="0" applyBorder="0" applyAlignment="0" applyProtection="0"/>
    <xf numFmtId="0" fontId="8" fillId="38" borderId="0" applyNumberFormat="0" applyBorder="0" applyAlignment="0" applyProtection="0"/>
    <xf numFmtId="0" fontId="8" fillId="38" borderId="0" applyNumberFormat="0" applyBorder="0" applyAlignment="0" applyProtection="0"/>
    <xf numFmtId="0" fontId="23" fillId="5" borderId="0" applyNumberFormat="0" applyBorder="0" applyAlignment="0" applyProtection="0"/>
    <xf numFmtId="0" fontId="8" fillId="38" borderId="0" applyNumberFormat="0" applyBorder="0" applyAlignment="0" applyProtection="0"/>
    <xf numFmtId="0" fontId="8" fillId="38" borderId="0" applyNumberFormat="0" applyBorder="0" applyAlignment="0" applyProtection="0"/>
    <xf numFmtId="0" fontId="8" fillId="38" borderId="0" applyNumberFormat="0" applyBorder="0" applyAlignment="0" applyProtection="0"/>
    <xf numFmtId="0" fontId="23" fillId="2" borderId="0" applyNumberFormat="0" applyBorder="0" applyAlignment="0" applyProtection="0"/>
    <xf numFmtId="0" fontId="8" fillId="42" borderId="0" applyNumberFormat="0" applyBorder="0" applyAlignment="0" applyProtection="0"/>
    <xf numFmtId="0" fontId="8" fillId="42" borderId="0" applyNumberFormat="0" applyBorder="0" applyAlignment="0" applyProtection="0"/>
    <xf numFmtId="0" fontId="8" fillId="42" borderId="0" applyNumberFormat="0" applyBorder="0" applyAlignment="0" applyProtection="0"/>
    <xf numFmtId="0" fontId="8" fillId="42" borderId="0" applyNumberFormat="0" applyBorder="0" applyAlignment="0" applyProtection="0"/>
    <xf numFmtId="0" fontId="8" fillId="42" borderId="0" applyNumberFormat="0" applyBorder="0" applyAlignment="0" applyProtection="0"/>
    <xf numFmtId="0" fontId="8" fillId="42" borderId="0" applyNumberFormat="0" applyBorder="0" applyAlignment="0" applyProtection="0"/>
    <xf numFmtId="0" fontId="23" fillId="2" borderId="0" applyNumberFormat="0" applyBorder="0" applyAlignment="0" applyProtection="0"/>
    <xf numFmtId="0" fontId="23" fillId="6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23" fillId="6" borderId="0" applyNumberFormat="0" applyBorder="0" applyAlignment="0" applyProtection="0"/>
    <xf numFmtId="0" fontId="23" fillId="5" borderId="0" applyNumberFormat="0" applyBorder="0" applyAlignment="0" applyProtection="0"/>
    <xf numFmtId="0" fontId="23" fillId="10" borderId="0" applyNumberFormat="0" applyBorder="0" applyAlignment="0" applyProtection="0"/>
    <xf numFmtId="0" fontId="8" fillId="40" borderId="0" applyNumberFormat="0" applyBorder="0" applyAlignment="0" applyProtection="0"/>
    <xf numFmtId="0" fontId="8" fillId="40" borderId="0" applyNumberFormat="0" applyBorder="0" applyAlignment="0" applyProtection="0"/>
    <xf numFmtId="0" fontId="8" fillId="40" borderId="0" applyNumberFormat="0" applyBorder="0" applyAlignment="0" applyProtection="0"/>
    <xf numFmtId="0" fontId="23" fillId="5" borderId="0" applyNumberFormat="0" applyBorder="0" applyAlignment="0" applyProtection="0"/>
    <xf numFmtId="0" fontId="8" fillId="40" borderId="0" applyNumberFormat="0" applyBorder="0" applyAlignment="0" applyProtection="0"/>
    <xf numFmtId="0" fontId="8" fillId="40" borderId="0" applyNumberFormat="0" applyBorder="0" applyAlignment="0" applyProtection="0"/>
    <xf numFmtId="0" fontId="8" fillId="40" borderId="0" applyNumberFormat="0" applyBorder="0" applyAlignment="0" applyProtection="0"/>
    <xf numFmtId="0" fontId="23" fillId="7" borderId="0" applyNumberFormat="0" applyBorder="0" applyAlignment="0" applyProtection="0"/>
    <xf numFmtId="0" fontId="23" fillId="6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8" fillId="41" borderId="0" applyNumberFormat="0" applyBorder="0" applyAlignment="0" applyProtection="0"/>
    <xf numFmtId="0" fontId="23" fillId="7" borderId="0" applyNumberFormat="0" applyBorder="0" applyAlignment="0" applyProtection="0"/>
    <xf numFmtId="0" fontId="23" fillId="3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23" fillId="5" borderId="0" applyNumberFormat="0" applyBorder="0" applyAlignment="0" applyProtection="0"/>
    <xf numFmtId="0" fontId="23" fillId="7" borderId="0" applyNumberFormat="0" applyBorder="0" applyAlignment="0" applyProtection="0"/>
    <xf numFmtId="0" fontId="23" fillId="13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6" borderId="0" applyNumberFormat="0" applyBorder="0" applyAlignment="0" applyProtection="0"/>
    <xf numFmtId="0" fontId="8" fillId="43" borderId="0" applyNumberFormat="0" applyBorder="0" applyAlignment="0" applyProtection="0"/>
    <xf numFmtId="0" fontId="8" fillId="43" borderId="0" applyNumberFormat="0" applyBorder="0" applyAlignment="0" applyProtection="0"/>
    <xf numFmtId="0" fontId="8" fillId="43" borderId="0" applyNumberFormat="0" applyBorder="0" applyAlignment="0" applyProtection="0"/>
    <xf numFmtId="0" fontId="8" fillId="43" borderId="0" applyNumberFormat="0" applyBorder="0" applyAlignment="0" applyProtection="0"/>
    <xf numFmtId="0" fontId="8" fillId="43" borderId="0" applyNumberFormat="0" applyBorder="0" applyAlignment="0" applyProtection="0"/>
    <xf numFmtId="0" fontId="8" fillId="43" borderId="0" applyNumberFormat="0" applyBorder="0" applyAlignment="0" applyProtection="0"/>
    <xf numFmtId="0" fontId="23" fillId="8" borderId="0" applyNumberFormat="0" applyBorder="0" applyAlignment="0" applyProtection="0"/>
    <xf numFmtId="0" fontId="23" fillId="5" borderId="0" applyNumberFormat="0" applyBorder="0" applyAlignment="0" applyProtection="0"/>
    <xf numFmtId="0" fontId="23" fillId="10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23" fillId="5" borderId="0" applyNumberFormat="0" applyBorder="0" applyAlignment="0" applyProtection="0"/>
    <xf numFmtId="0" fontId="137" fillId="9" borderId="0" applyNumberFormat="0" applyBorder="0" applyAlignment="0" applyProtection="0"/>
    <xf numFmtId="0" fontId="137" fillId="6" borderId="0" applyNumberFormat="0" applyBorder="0" applyAlignment="0" applyProtection="0"/>
    <xf numFmtId="0" fontId="137" fillId="9" borderId="0" applyNumberFormat="0" applyBorder="0" applyAlignment="0" applyProtection="0"/>
    <xf numFmtId="0" fontId="213" fillId="8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44" borderId="0" applyNumberFormat="0" applyBorder="0" applyAlignment="0" applyProtection="0"/>
    <xf numFmtId="0" fontId="137" fillId="3" borderId="0" applyNumberFormat="0" applyBorder="0" applyAlignment="0" applyProtection="0"/>
    <xf numFmtId="0" fontId="213" fillId="45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46" borderId="0" applyNumberFormat="0" applyBorder="0" applyAlignment="0" applyProtection="0"/>
    <xf numFmtId="0" fontId="137" fillId="10" borderId="0" applyNumberFormat="0" applyBorder="0" applyAlignment="0" applyProtection="0"/>
    <xf numFmtId="0" fontId="213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7" borderId="0" applyNumberFormat="0" applyBorder="0" applyAlignment="0" applyProtection="0"/>
    <xf numFmtId="0" fontId="137" fillId="13" borderId="0" applyNumberFormat="0" applyBorder="0" applyAlignment="0" applyProtection="0"/>
    <xf numFmtId="0" fontId="137" fillId="7" borderId="0" applyNumberFormat="0" applyBorder="0" applyAlignment="0" applyProtection="0"/>
    <xf numFmtId="0" fontId="213" fillId="7" borderId="0" applyNumberFormat="0" applyBorder="0" applyAlignment="0" applyProtection="0"/>
    <xf numFmtId="0" fontId="137" fillId="7" borderId="0" applyNumberFormat="0" applyBorder="0" applyAlignment="0" applyProtection="0"/>
    <xf numFmtId="0" fontId="137" fillId="9" borderId="0" applyNumberFormat="0" applyBorder="0" applyAlignment="0" applyProtection="0"/>
    <xf numFmtId="0" fontId="137" fillId="6" borderId="0" applyNumberFormat="0" applyBorder="0" applyAlignment="0" applyProtection="0"/>
    <xf numFmtId="0" fontId="137" fillId="9" borderId="0" applyNumberFormat="0" applyBorder="0" applyAlignment="0" applyProtection="0"/>
    <xf numFmtId="0" fontId="213" fillId="47" borderId="0" applyNumberFormat="0" applyBorder="0" applyAlignment="0" applyProtection="0"/>
    <xf numFmtId="0" fontId="137" fillId="9" borderId="0" applyNumberFormat="0" applyBorder="0" applyAlignment="0" applyProtection="0"/>
    <xf numFmtId="0" fontId="137" fillId="5" borderId="0" applyNumberFormat="0" applyBorder="0" applyAlignment="0" applyProtection="0"/>
    <xf numFmtId="0" fontId="137" fillId="3" borderId="0" applyNumberFormat="0" applyBorder="0" applyAlignment="0" applyProtection="0"/>
    <xf numFmtId="0" fontId="137" fillId="5" borderId="0" applyNumberFormat="0" applyBorder="0" applyAlignment="0" applyProtection="0"/>
    <xf numFmtId="0" fontId="213" fillId="2" borderId="0" applyNumberFormat="0" applyBorder="0" applyAlignment="0" applyProtection="0"/>
    <xf numFmtId="0" fontId="137" fillId="5" borderId="0" applyNumberFormat="0" applyBorder="0" applyAlignment="0" applyProtection="0"/>
    <xf numFmtId="37" fontId="241" fillId="0" borderId="0">
      <alignment horizontal="center"/>
    </xf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137" fillId="9" borderId="0" applyNumberFormat="0" applyBorder="0" applyAlignment="0" applyProtection="0"/>
    <xf numFmtId="0" fontId="137" fillId="48" borderId="0" applyNumberFormat="0" applyBorder="0" applyAlignment="0" applyProtection="0"/>
    <xf numFmtId="0" fontId="137" fillId="9" borderId="0" applyNumberFormat="0" applyBorder="0" applyAlignment="0" applyProtection="0"/>
    <xf numFmtId="0" fontId="213" fillId="11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44" borderId="0" applyNumberFormat="0" applyBorder="0" applyAlignment="0" applyProtection="0"/>
    <xf numFmtId="0" fontId="137" fillId="3" borderId="0" applyNumberFormat="0" applyBorder="0" applyAlignment="0" applyProtection="0"/>
    <xf numFmtId="0" fontId="213" fillId="49" borderId="0" applyNumberFormat="0" applyBorder="0" applyAlignment="0" applyProtection="0"/>
    <xf numFmtId="0" fontId="137" fillId="3" borderId="0" applyNumberFormat="0" applyBorder="0" applyAlignment="0" applyProtection="0"/>
    <xf numFmtId="0" fontId="137" fillId="10" borderId="0" applyNumberFormat="0" applyBorder="0" applyAlignment="0" applyProtection="0"/>
    <xf numFmtId="0" fontId="137" fillId="46" borderId="0" applyNumberFormat="0" applyBorder="0" applyAlignment="0" applyProtection="0"/>
    <xf numFmtId="0" fontId="137" fillId="10" borderId="0" applyNumberFormat="0" applyBorder="0" applyAlignment="0" applyProtection="0"/>
    <xf numFmtId="0" fontId="213" fillId="50" borderId="0" applyNumberFormat="0" applyBorder="0" applyAlignment="0" applyProtection="0"/>
    <xf numFmtId="0" fontId="137" fillId="10" borderId="0" applyNumberFormat="0" applyBorder="0" applyAlignment="0" applyProtection="0"/>
    <xf numFmtId="0" fontId="137" fillId="12" borderId="0" applyNumberFormat="0" applyBorder="0" applyAlignment="0" applyProtection="0"/>
    <xf numFmtId="0" fontId="213" fillId="51" borderId="0" applyNumberFormat="0" applyBorder="0" applyAlignment="0" applyProtection="0"/>
    <xf numFmtId="0" fontId="137" fillId="12" borderId="0" applyNumberFormat="0" applyBorder="0" applyAlignment="0" applyProtection="0"/>
    <xf numFmtId="0" fontId="137" fillId="9" borderId="0" applyNumberFormat="0" applyBorder="0" applyAlignment="0" applyProtection="0"/>
    <xf numFmtId="0" fontId="213" fillId="11" borderId="0" applyNumberFormat="0" applyBorder="0" applyAlignment="0" applyProtection="0"/>
    <xf numFmtId="0" fontId="137" fillId="9" borderId="0" applyNumberFormat="0" applyBorder="0" applyAlignment="0" applyProtection="0"/>
    <xf numFmtId="0" fontId="137" fillId="3" borderId="0" applyNumberFormat="0" applyBorder="0" applyAlignment="0" applyProtection="0"/>
    <xf numFmtId="0" fontId="137" fillId="52" borderId="0" applyNumberFormat="0" applyBorder="0" applyAlignment="0" applyProtection="0"/>
    <xf numFmtId="0" fontId="137" fillId="3" borderId="0" applyNumberFormat="0" applyBorder="0" applyAlignment="0" applyProtection="0"/>
    <xf numFmtId="0" fontId="213" fillId="39" borderId="0" applyNumberFormat="0" applyBorder="0" applyAlignment="0" applyProtection="0"/>
    <xf numFmtId="0" fontId="137" fillId="3" borderId="0" applyNumberFormat="0" applyBorder="0" applyAlignment="0" applyProtection="0"/>
    <xf numFmtId="0" fontId="217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4" fillId="0" borderId="0"/>
    <xf numFmtId="0" fontId="217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44" fillId="13" borderId="0" applyNumberFormat="0" applyBorder="0" applyAlignment="0" applyProtection="0"/>
    <xf numFmtId="0" fontId="144" fillId="53" borderId="0" applyNumberFormat="0" applyBorder="0" applyAlignment="0" applyProtection="0"/>
    <xf numFmtId="0" fontId="144" fillId="13" borderId="0" applyNumberFormat="0" applyBorder="0" applyAlignment="0" applyProtection="0"/>
    <xf numFmtId="0" fontId="273" fillId="54" borderId="0" applyNumberFormat="0" applyBorder="0" applyAlignment="0" applyProtection="0"/>
    <xf numFmtId="0" fontId="273" fillId="54" borderId="0" applyNumberFormat="0" applyBorder="0" applyAlignment="0" applyProtection="0"/>
    <xf numFmtId="0" fontId="144" fillId="13" borderId="0" applyNumberFormat="0" applyBorder="0" applyAlignment="0" applyProtection="0"/>
    <xf numFmtId="253" fontId="233" fillId="0" borderId="0"/>
    <xf numFmtId="201" fontId="117" fillId="0" borderId="0" applyFont="0" applyFill="0" applyBorder="0" applyAlignment="0" applyProtection="0"/>
    <xf numFmtId="1" fontId="109" fillId="14" borderId="1" applyNumberFormat="0" applyBorder="0" applyAlignment="0">
      <alignment horizontal="center" vertical="top" wrapText="1"/>
      <protection hidden="1"/>
    </xf>
    <xf numFmtId="37" fontId="10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243" fillId="0" borderId="0" applyNumberFormat="0" applyFill="0" applyBorder="0" applyAlignment="0" applyProtection="0"/>
    <xf numFmtId="0" fontId="234" fillId="0" borderId="2" applyNumberFormat="0" applyFont="0" applyFill="0" applyAlignment="0" applyProtection="0"/>
    <xf numFmtId="0" fontId="234" fillId="0" borderId="1" applyNumberFormat="0" applyFont="0" applyFill="0" applyAlignment="0" applyProtection="0"/>
    <xf numFmtId="0" fontId="234" fillId="0" borderId="1" applyNumberFormat="0" applyFont="0" applyFill="0" applyAlignment="0" applyProtection="0"/>
    <xf numFmtId="0" fontId="234" fillId="0" borderId="21" applyNumberFormat="0" applyFont="0" applyFill="0" applyAlignment="0" applyProtection="0"/>
    <xf numFmtId="0" fontId="234" fillId="0" borderId="17" applyNumberFormat="0" applyFont="0" applyFill="0" applyAlignment="0" applyProtection="0"/>
    <xf numFmtId="37" fontId="244" fillId="0" borderId="0" applyNumberFormat="0" applyFill="0" applyBorder="0" applyAlignment="0" applyProtection="0">
      <alignment horizontal="center"/>
    </xf>
    <xf numFmtId="260" fontId="104" fillId="0" borderId="0" applyFon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18" fillId="0" borderId="0"/>
    <xf numFmtId="0" fontId="219" fillId="0" borderId="0"/>
    <xf numFmtId="0" fontId="218" fillId="0" borderId="0"/>
    <xf numFmtId="0" fontId="218" fillId="0" borderId="0"/>
    <xf numFmtId="0" fontId="220" fillId="0" borderId="0"/>
    <xf numFmtId="0" fontId="217" fillId="0" borderId="0"/>
    <xf numFmtId="0" fontId="220" fillId="0" borderId="0"/>
    <xf numFmtId="0" fontId="217" fillId="0" borderId="0"/>
    <xf numFmtId="0" fontId="220" fillId="0" borderId="0"/>
    <xf numFmtId="0" fontId="217" fillId="0" borderId="0"/>
    <xf numFmtId="0" fontId="24" fillId="0" borderId="0"/>
    <xf numFmtId="261" fontId="236" fillId="0" borderId="0" applyFill="0" applyBorder="0" applyAlignment="0"/>
    <xf numFmtId="0" fontId="145" fillId="15" borderId="3" applyNumberFormat="0" applyAlignment="0" applyProtection="0"/>
    <xf numFmtId="0" fontId="221" fillId="15" borderId="3" applyNumberFormat="0" applyAlignment="0" applyProtection="0"/>
    <xf numFmtId="0" fontId="145" fillId="15" borderId="3" applyNumberFormat="0" applyAlignment="0" applyProtection="0"/>
    <xf numFmtId="0" fontId="291" fillId="15" borderId="35" applyNumberFormat="0" applyAlignment="0" applyProtection="0"/>
    <xf numFmtId="0" fontId="145" fillId="15" borderId="3" applyNumberFormat="0" applyAlignment="0" applyProtection="0"/>
    <xf numFmtId="201" fontId="231" fillId="0" borderId="0" applyFont="0" applyFill="0" applyBorder="0" applyAlignment="0" applyProtection="0"/>
    <xf numFmtId="0" fontId="245" fillId="0" borderId="0">
      <alignment horizontal="right"/>
    </xf>
    <xf numFmtId="262" fontId="245" fillId="0" borderId="0"/>
    <xf numFmtId="0" fontId="69" fillId="0" borderId="0" applyAlignment="0"/>
    <xf numFmtId="0" fontId="138" fillId="16" borderId="4" applyNumberFormat="0" applyAlignment="0" applyProtection="0"/>
    <xf numFmtId="0" fontId="209" fillId="37" borderId="37" applyNumberFormat="0" applyAlignment="0" applyProtection="0"/>
    <xf numFmtId="0" fontId="138" fillId="16" borderId="4" applyNumberFormat="0" applyAlignment="0" applyProtection="0"/>
    <xf numFmtId="0" fontId="280" fillId="0" borderId="0" applyAlignment="0"/>
    <xf numFmtId="0" fontId="280" fillId="0" borderId="0" applyAlignment="0"/>
    <xf numFmtId="0" fontId="280" fillId="0" borderId="0" applyAlignment="0"/>
    <xf numFmtId="0" fontId="280" fillId="0" borderId="0" applyAlignment="0"/>
    <xf numFmtId="0" fontId="281" fillId="26" borderId="0" applyAlignment="0"/>
    <xf numFmtId="43" fontId="24" fillId="0" borderId="0" applyFont="0" applyFill="0" applyBorder="0" applyAlignment="0" applyProtection="0"/>
    <xf numFmtId="263" fontId="24" fillId="0" borderId="0"/>
    <xf numFmtId="263" fontId="24" fillId="0" borderId="0"/>
    <xf numFmtId="263" fontId="24" fillId="0" borderId="0"/>
    <xf numFmtId="263" fontId="24" fillId="0" borderId="0"/>
    <xf numFmtId="263" fontId="24" fillId="0" borderId="0"/>
    <xf numFmtId="263" fontId="24" fillId="0" borderId="0"/>
    <xf numFmtId="263" fontId="24" fillId="0" borderId="0"/>
    <xf numFmtId="229" fontId="232" fillId="0" borderId="0" applyFont="0"/>
    <xf numFmtId="179" fontId="111" fillId="0" borderId="0" applyFont="0" applyFill="0" applyBorder="0" applyAlignment="0">
      <alignment horizontal="center" wrapText="1"/>
    </xf>
    <xf numFmtId="38" fontId="53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6" fillId="0" borderId="0" applyFont="0" applyFill="0" applyBorder="0" applyAlignment="0" applyProtection="0"/>
    <xf numFmtId="243" fontId="23" fillId="0" borderId="0" applyFont="0" applyFill="0" applyBorder="0" applyAlignment="0" applyProtection="0"/>
    <xf numFmtId="243" fontId="23" fillId="0" borderId="0" applyFont="0" applyFill="0" applyBorder="0" applyAlignment="0" applyProtection="0"/>
    <xf numFmtId="43" fontId="23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2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3" fontId="246" fillId="0" borderId="0"/>
    <xf numFmtId="192" fontId="246" fillId="0" borderId="0"/>
    <xf numFmtId="2" fontId="246" fillId="0" borderId="0"/>
    <xf numFmtId="221" fontId="116" fillId="0" borderId="0" applyFill="0" applyBorder="0">
      <alignment horizontal="left"/>
    </xf>
    <xf numFmtId="0" fontId="247" fillId="0" borderId="0" applyNumberFormat="0" applyAlignment="0">
      <alignment horizontal="left"/>
    </xf>
    <xf numFmtId="44" fontId="24" fillId="0" borderId="0" applyFont="0" applyFill="0" applyBorder="0" applyAlignment="0" applyProtection="0"/>
    <xf numFmtId="264" fontId="117" fillId="0" borderId="0"/>
    <xf numFmtId="166" fontId="111" fillId="0" borderId="0" applyFont="0" applyFill="0" applyBorder="0" applyAlignment="0">
      <alignment horizontal="center" wrapText="1"/>
    </xf>
    <xf numFmtId="8" fontId="117" fillId="0" borderId="0" applyFont="0" applyFill="0" applyBorder="0" applyAlignment="0" applyProtection="0">
      <alignment horizontal="left"/>
    </xf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187" fontId="248" fillId="0" borderId="0" applyFont="0" applyFill="0" applyBorder="0" applyAlignment="0" applyProtection="0"/>
    <xf numFmtId="249" fontId="24" fillId="18" borderId="21">
      <alignment horizontal="right"/>
    </xf>
    <xf numFmtId="265" fontId="104" fillId="0" borderId="0" applyFont="0" applyFill="0" applyBorder="0" applyAlignment="0" applyProtection="0"/>
    <xf numFmtId="226" fontId="24" fillId="0" borderId="0" applyFont="0" applyFill="0" applyBorder="0" applyAlignment="0" applyProtection="0"/>
    <xf numFmtId="14" fontId="231" fillId="0" borderId="0" applyFont="0" applyFill="0" applyBorder="0" applyAlignment="0" applyProtection="0">
      <alignment horizontal="center"/>
    </xf>
    <xf numFmtId="252" fontId="231" fillId="0" borderId="0" applyFont="0" applyFill="0" applyBorder="0" applyAlignment="0" applyProtection="0">
      <alignment horizontal="center"/>
    </xf>
    <xf numFmtId="0" fontId="117" fillId="0" borderId="0"/>
    <xf numFmtId="264" fontId="245" fillId="0" borderId="0"/>
    <xf numFmtId="6" fontId="117" fillId="0" borderId="0" applyFont="0" applyFill="0" applyBorder="0" applyAlignment="0" applyProtection="0"/>
    <xf numFmtId="0" fontId="249" fillId="0" borderId="0" applyNumberFormat="0" applyAlignment="0">
      <alignment horizontal="left"/>
    </xf>
    <xf numFmtId="0" fontId="139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91" fillId="0" borderId="0">
      <alignment vertical="center"/>
    </xf>
    <xf numFmtId="0" fontId="250" fillId="0" borderId="0"/>
    <xf numFmtId="0" fontId="163" fillId="0" borderId="0"/>
    <xf numFmtId="0" fontId="180" fillId="0" borderId="0"/>
    <xf numFmtId="0" fontId="251" fillId="11" borderId="0"/>
    <xf numFmtId="0" fontId="162" fillId="11" borderId="0"/>
    <xf numFmtId="0" fontId="181" fillId="11" borderId="0"/>
    <xf numFmtId="266" fontId="245" fillId="0" borderId="0"/>
    <xf numFmtId="187" fontId="24" fillId="18" borderId="21">
      <alignment horizontal="right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0" fontId="146" fillId="4" borderId="0" applyNumberFormat="0" applyBorder="0" applyAlignment="0" applyProtection="0"/>
    <xf numFmtId="0" fontId="146" fillId="6" borderId="0" applyNumberFormat="0" applyBorder="0" applyAlignment="0" applyProtection="0"/>
    <xf numFmtId="0" fontId="146" fillId="4" borderId="0" applyNumberFormat="0" applyBorder="0" applyAlignment="0" applyProtection="0"/>
    <xf numFmtId="0" fontId="274" fillId="3" borderId="0" applyNumberFormat="0" applyBorder="0" applyAlignment="0" applyProtection="0"/>
    <xf numFmtId="0" fontId="274" fillId="3" borderId="0" applyNumberFormat="0" applyBorder="0" applyAlignment="0" applyProtection="0"/>
    <xf numFmtId="0" fontId="146" fillId="4" borderId="0" applyNumberFormat="0" applyBorder="0" applyAlignment="0" applyProtection="0"/>
    <xf numFmtId="256" fontId="235" fillId="0" borderId="0"/>
    <xf numFmtId="253" fontId="235" fillId="0" borderId="0" applyFill="0" applyBorder="0" applyAlignment="0" applyProtection="0"/>
    <xf numFmtId="168" fontId="24" fillId="19" borderId="8" applyNumberFormat="0" applyFont="0" applyBorder="0" applyAlignment="0" applyProtection="0"/>
    <xf numFmtId="168" fontId="24" fillId="19" borderId="8" applyNumberFormat="0" applyFont="0" applyBorder="0" applyAlignment="0" applyProtection="0"/>
    <xf numFmtId="0" fontId="252" fillId="0" borderId="0" applyNumberFormat="0" applyFill="0" applyBorder="0" applyAlignment="0" applyProtection="0"/>
    <xf numFmtId="0" fontId="190" fillId="0" borderId="9" applyNumberFormat="0" applyAlignment="0" applyProtection="0">
      <alignment horizontal="left" vertical="center"/>
    </xf>
    <xf numFmtId="0" fontId="190" fillId="0" borderId="6">
      <alignment horizontal="left" vertical="center"/>
    </xf>
    <xf numFmtId="0" fontId="147" fillId="0" borderId="10" applyNumberFormat="0" applyFill="0" applyAlignment="0" applyProtection="0"/>
    <xf numFmtId="0" fontId="147" fillId="0" borderId="39" applyNumberFormat="0" applyFill="0" applyAlignment="0" applyProtection="0"/>
    <xf numFmtId="0" fontId="147" fillId="0" borderId="10" applyNumberFormat="0" applyFill="0" applyAlignment="0" applyProtection="0"/>
    <xf numFmtId="0" fontId="275" fillId="0" borderId="40" applyNumberFormat="0" applyFill="0" applyAlignment="0" applyProtection="0"/>
    <xf numFmtId="0" fontId="275" fillId="0" borderId="40" applyNumberFormat="0" applyFill="0" applyAlignment="0" applyProtection="0"/>
    <xf numFmtId="0" fontId="147" fillId="0" borderId="10" applyNumberFormat="0" applyFill="0" applyAlignment="0" applyProtection="0"/>
    <xf numFmtId="0" fontId="148" fillId="0" borderId="11" applyNumberFormat="0" applyFill="0" applyAlignment="0" applyProtection="0"/>
    <xf numFmtId="0" fontId="148" fillId="0" borderId="41" applyNumberFormat="0" applyFill="0" applyAlignment="0" applyProtection="0"/>
    <xf numFmtId="0" fontId="148" fillId="0" borderId="11" applyNumberFormat="0" applyFill="0" applyAlignment="0" applyProtection="0"/>
    <xf numFmtId="0" fontId="276" fillId="0" borderId="42" applyNumberFormat="0" applyFill="0" applyAlignment="0" applyProtection="0"/>
    <xf numFmtId="0" fontId="276" fillId="0" borderId="42" applyNumberFormat="0" applyFill="0" applyAlignment="0" applyProtection="0"/>
    <xf numFmtId="0" fontId="148" fillId="0" borderId="11" applyNumberFormat="0" applyFill="0" applyAlignment="0" applyProtection="0"/>
    <xf numFmtId="0" fontId="149" fillId="0" borderId="12" applyNumberFormat="0" applyFill="0" applyAlignment="0" applyProtection="0"/>
    <xf numFmtId="0" fontId="149" fillId="0" borderId="43" applyNumberFormat="0" applyFill="0" applyAlignment="0" applyProtection="0"/>
    <xf numFmtId="0" fontId="149" fillId="0" borderId="12" applyNumberFormat="0" applyFill="0" applyAlignment="0" applyProtection="0"/>
    <xf numFmtId="0" fontId="277" fillId="0" borderId="44" applyNumberFormat="0" applyFill="0" applyAlignment="0" applyProtection="0"/>
    <xf numFmtId="0" fontId="277" fillId="0" borderId="44" applyNumberFormat="0" applyFill="0" applyAlignment="0" applyProtection="0"/>
    <xf numFmtId="0" fontId="149" fillId="0" borderId="12" applyNumberFormat="0" applyFill="0" applyAlignment="0" applyProtection="0"/>
    <xf numFmtId="0" fontId="149" fillId="0" borderId="0" applyNumberFormat="0" applyFill="0" applyBorder="0" applyAlignment="0" applyProtection="0"/>
    <xf numFmtId="0" fontId="277" fillId="0" borderId="0" applyNumberFormat="0" applyFill="0" applyBorder="0" applyAlignment="0" applyProtection="0"/>
    <xf numFmtId="0" fontId="277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253" fillId="0" borderId="0">
      <protection locked="0"/>
    </xf>
    <xf numFmtId="0" fontId="253" fillId="0" borderId="0">
      <protection locked="0"/>
    </xf>
    <xf numFmtId="0" fontId="254" fillId="0" borderId="0">
      <alignment wrapText="1"/>
    </xf>
    <xf numFmtId="0" fontId="160" fillId="0" borderId="0">
      <alignment wrapText="1"/>
    </xf>
    <xf numFmtId="0" fontId="182" fillId="0" borderId="0">
      <alignment wrapText="1"/>
    </xf>
    <xf numFmtId="0" fontId="66" fillId="0" borderId="45" applyNumberFormat="0" applyFill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27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86" fillId="0" borderId="0" applyNumberFormat="0" applyFill="0" applyBorder="0" applyAlignment="0" applyProtection="0">
      <alignment vertical="top"/>
      <protection locked="0"/>
    </xf>
    <xf numFmtId="0" fontId="194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0" fontId="202" fillId="0" borderId="0" applyNumberFormat="0" applyFill="0" applyBorder="0" applyAlignment="0" applyProtection="0"/>
    <xf numFmtId="38" fontId="117" fillId="0" borderId="0"/>
    <xf numFmtId="201" fontId="117" fillId="0" borderId="0" applyFont="0" applyFill="0" applyBorder="0" applyAlignment="0" applyProtection="0"/>
    <xf numFmtId="0" fontId="292" fillId="36" borderId="35" applyNumberFormat="0" applyAlignment="0" applyProtection="0"/>
    <xf numFmtId="0" fontId="150" fillId="5" borderId="3" applyNumberFormat="0" applyAlignment="0" applyProtection="0"/>
    <xf numFmtId="0" fontId="292" fillId="36" borderId="35" applyNumberFormat="0" applyAlignment="0" applyProtection="0"/>
    <xf numFmtId="0" fontId="150" fillId="5" borderId="3" applyNumberFormat="0" applyAlignment="0" applyProtection="0"/>
    <xf numFmtId="43" fontId="8" fillId="0" borderId="0" applyFont="0" applyFill="0" applyBorder="0" applyAlignment="0" applyProtection="0"/>
    <xf numFmtId="267" fontId="245" fillId="0" borderId="0"/>
    <xf numFmtId="0" fontId="282" fillId="0" borderId="0" applyAlignment="0"/>
    <xf numFmtId="38" fontId="55" fillId="0" borderId="0" applyNumberFormat="0" applyBorder="0" applyProtection="0">
      <alignment horizontal="left"/>
    </xf>
    <xf numFmtId="38" fontId="255" fillId="0" borderId="0"/>
    <xf numFmtId="38" fontId="256" fillId="0" borderId="0"/>
    <xf numFmtId="38" fontId="257" fillId="0" borderId="0"/>
    <xf numFmtId="38" fontId="258" fillId="0" borderId="0"/>
    <xf numFmtId="0" fontId="259" fillId="0" borderId="0"/>
    <xf numFmtId="0" fontId="259" fillId="0" borderId="0"/>
    <xf numFmtId="0" fontId="24" fillId="0" borderId="0"/>
    <xf numFmtId="0" fontId="151" fillId="0" borderId="13" applyNumberFormat="0" applyFill="0" applyAlignment="0" applyProtection="0"/>
    <xf numFmtId="0" fontId="142" fillId="0" borderId="46" applyNumberFormat="0" applyFill="0" applyAlignment="0" applyProtection="0"/>
    <xf numFmtId="0" fontId="151" fillId="0" borderId="13" applyNumberFormat="0" applyFill="0" applyAlignment="0" applyProtection="0"/>
    <xf numFmtId="0" fontId="278" fillId="0" borderId="47" applyNumberFormat="0" applyFill="0" applyAlignment="0" applyProtection="0"/>
    <xf numFmtId="0" fontId="278" fillId="0" borderId="47" applyNumberFormat="0" applyFill="0" applyAlignment="0" applyProtection="0"/>
    <xf numFmtId="0" fontId="151" fillId="0" borderId="13" applyNumberFormat="0" applyFill="0" applyAlignment="0" applyProtection="0"/>
    <xf numFmtId="250" fontId="24" fillId="0" borderId="0">
      <alignment horizontal="right"/>
    </xf>
    <xf numFmtId="253" fontId="233" fillId="0" borderId="0" applyFill="0" applyBorder="0" applyAlignment="0" applyProtection="0"/>
    <xf numFmtId="0" fontId="251" fillId="0" borderId="0"/>
    <xf numFmtId="0" fontId="162" fillId="0" borderId="0"/>
    <xf numFmtId="0" fontId="181" fillId="0" borderId="0"/>
    <xf numFmtId="0" fontId="260" fillId="0" borderId="0"/>
    <xf numFmtId="0" fontId="164" fillId="0" borderId="0"/>
    <xf numFmtId="0" fontId="183" fillId="0" borderId="0"/>
    <xf numFmtId="0" fontId="261" fillId="0" borderId="0"/>
    <xf numFmtId="0" fontId="161" fillId="0" borderId="0"/>
    <xf numFmtId="0" fontId="184" fillId="0" borderId="0"/>
    <xf numFmtId="37" fontId="126" fillId="0" borderId="0" applyNumberFormat="0" applyFill="0" applyBorder="0" applyAlignment="0" applyProtection="0">
      <alignment horizontal="center"/>
    </xf>
    <xf numFmtId="37" fontId="126" fillId="0" borderId="0" applyNumberFormat="0" applyFill="0" applyBorder="0" applyAlignment="0" applyProtection="0">
      <alignment horizontal="center"/>
    </xf>
    <xf numFmtId="14" fontId="234" fillId="0" borderId="0" applyFont="0" applyFill="0" applyBorder="0" applyAlignment="0" applyProtection="0"/>
    <xf numFmtId="268" fontId="117" fillId="0" borderId="0" applyFont="0" applyFill="0" applyBorder="0" applyAlignment="0" applyProtection="0"/>
    <xf numFmtId="0" fontId="152" fillId="5" borderId="0" applyNumberFormat="0" applyBorder="0" applyAlignment="0" applyProtection="0"/>
    <xf numFmtId="0" fontId="222" fillId="5" borderId="0" applyNumberFormat="0" applyBorder="0" applyAlignment="0" applyProtection="0"/>
    <xf numFmtId="0" fontId="152" fillId="5" borderId="0" applyNumberFormat="0" applyBorder="0" applyAlignment="0" applyProtection="0"/>
    <xf numFmtId="0" fontId="293" fillId="35" borderId="0" applyNumberFormat="0" applyBorder="0" applyAlignment="0" applyProtection="0"/>
    <xf numFmtId="0" fontId="152" fillId="5" borderId="0" applyNumberFormat="0" applyBorder="0" applyAlignment="0" applyProtection="0"/>
    <xf numFmtId="0" fontId="283" fillId="33" borderId="0" applyAlignment="0"/>
    <xf numFmtId="0" fontId="65" fillId="55" borderId="0" applyAlignment="0"/>
    <xf numFmtId="0" fontId="284" fillId="0" borderId="0" applyAlignment="0"/>
    <xf numFmtId="0" fontId="53" fillId="0" borderId="0"/>
    <xf numFmtId="0" fontId="104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6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8" fillId="0" borderId="0"/>
    <xf numFmtId="0" fontId="24" fillId="0" borderId="0" applyNumberFormat="0" applyFont="0" applyFill="0" applyBorder="0" applyAlignment="0" applyProtection="0"/>
    <xf numFmtId="0" fontId="4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160" fillId="0" borderId="0"/>
    <xf numFmtId="0" fontId="160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4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8" fillId="0" borderId="0"/>
    <xf numFmtId="0" fontId="8" fillId="0" borderId="0"/>
    <xf numFmtId="0" fontId="2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3" fillId="0" borderId="0"/>
    <xf numFmtId="3" fontId="73" fillId="0" borderId="0"/>
    <xf numFmtId="3" fontId="7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>
      <alignment vertical="center"/>
    </xf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>
      <alignment vertical="center"/>
    </xf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0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8" fillId="0" borderId="0"/>
    <xf numFmtId="0" fontId="24" fillId="0" borderId="0" applyNumberFormat="0" applyFont="0" applyFill="0" applyBorder="0" applyAlignment="0" applyProtection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185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3" fillId="0" borderId="0"/>
    <xf numFmtId="0" fontId="24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3" fillId="0" borderId="0"/>
    <xf numFmtId="0" fontId="24" fillId="0" borderId="0" applyNumberFormat="0" applyFont="0" applyFill="0" applyBorder="0" applyAlignment="0" applyProtection="0"/>
    <xf numFmtId="0" fontId="185" fillId="0" borderId="0"/>
    <xf numFmtId="0" fontId="2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/>
    <xf numFmtId="0" fontId="160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9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62" fillId="0" borderId="0"/>
    <xf numFmtId="221" fontId="55" fillId="0" borderId="0" applyBorder="0">
      <alignment horizontal="left"/>
    </xf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10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3" fillId="5" borderId="33" applyNumberFormat="0" applyFont="0" applyAlignment="0" applyProtection="0"/>
    <xf numFmtId="0" fontId="23" fillId="5" borderId="33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3" fontId="73" fillId="0" borderId="0" applyBorder="0"/>
    <xf numFmtId="164" fontId="68" fillId="0" borderId="0" applyFont="0" applyFill="0" applyBorder="0" applyProtection="0">
      <alignment horizontal="right"/>
    </xf>
    <xf numFmtId="201" fontId="117" fillId="0" borderId="0" applyFont="0" applyFill="0" applyBorder="0" applyAlignment="0" applyProtection="0"/>
    <xf numFmtId="256" fontId="233" fillId="0" borderId="0"/>
    <xf numFmtId="0" fontId="140" fillId="15" borderId="15" applyNumberFormat="0" applyAlignment="0" applyProtection="0"/>
    <xf numFmtId="0" fontId="208" fillId="15" borderId="36" applyNumberFormat="0" applyAlignment="0" applyProtection="0"/>
    <xf numFmtId="0" fontId="140" fillId="15" borderId="15" applyNumberFormat="0" applyAlignment="0" applyProtection="0"/>
    <xf numFmtId="0" fontId="261" fillId="0" borderId="0"/>
    <xf numFmtId="0" fontId="161" fillId="0" borderId="0"/>
    <xf numFmtId="0" fontId="184" fillId="0" borderId="0"/>
    <xf numFmtId="9" fontId="24" fillId="0" borderId="0" applyFont="0" applyFill="0" applyBorder="0" applyAlignment="0" applyProtection="0"/>
    <xf numFmtId="168" fontId="117" fillId="0" borderId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68" fillId="0" borderId="0" applyFont="0" applyFill="0" applyBorder="0" applyProtection="0">
      <alignment horizontal="right"/>
    </xf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168" fontId="232" fillId="0" borderId="0"/>
    <xf numFmtId="269" fontId="117" fillId="0" borderId="0" applyFont="0" applyBorder="0"/>
    <xf numFmtId="168" fontId="248" fillId="0" borderId="0" applyFont="0" applyFill="0" applyBorder="0" applyAlignment="0" applyProtection="0"/>
    <xf numFmtId="10" fontId="248" fillId="0" borderId="0" applyFont="0" applyFill="0" applyBorder="0" applyAlignment="0" applyProtection="0"/>
    <xf numFmtId="9" fontId="24" fillId="0" borderId="0"/>
    <xf numFmtId="168" fontId="263" fillId="0" borderId="0" applyFill="0" applyBorder="0" applyAlignment="0" applyProtection="0"/>
    <xf numFmtId="254" fontId="117" fillId="0" borderId="0" applyFont="0" applyFill="0" applyBorder="0" applyAlignment="0" applyProtection="0"/>
    <xf numFmtId="255" fontId="117" fillId="0" borderId="0" applyFont="0" applyFill="0" applyBorder="0" applyAlignment="0" applyProtection="0"/>
    <xf numFmtId="38" fontId="117" fillId="0" borderId="0" applyFont="0" applyFill="0" applyBorder="0" applyAlignment="0" applyProtection="0"/>
    <xf numFmtId="3" fontId="117" fillId="0" borderId="0"/>
    <xf numFmtId="251" fontId="229" fillId="18" borderId="0"/>
    <xf numFmtId="188" fontId="264" fillId="0" borderId="0" applyNumberFormat="0" applyFill="0" applyBorder="0" applyAlignment="0" applyProtection="0">
      <alignment horizontal="left"/>
    </xf>
    <xf numFmtId="0" fontId="24" fillId="22" borderId="0" applyNumberFormat="0" applyFont="0" applyBorder="0" applyAlignment="0" applyProtection="0"/>
    <xf numFmtId="0" fontId="24" fillId="22" borderId="0" applyNumberFormat="0" applyFont="0" applyBorder="0" applyAlignment="0" applyProtection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54" fillId="0" borderId="16">
      <alignment horizontal="centerContinuous"/>
    </xf>
    <xf numFmtId="0" fontId="285" fillId="56" borderId="0" applyAlignment="0"/>
    <xf numFmtId="0" fontId="265" fillId="57" borderId="0" applyNumberFormat="0" applyFont="0" applyBorder="0" applyAlignment="0" applyProtection="0"/>
    <xf numFmtId="201" fontId="117" fillId="0" borderId="0" applyFont="0" applyFill="0" applyBorder="0" applyAlignment="0" applyProtection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3" fontId="73" fillId="0" borderId="0" applyBorder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3" fontId="7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3" fontId="7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46" fillId="58" borderId="8" applyNumberFormat="0" applyProtection="0">
      <alignment horizontal="center" wrapText="1"/>
    </xf>
    <xf numFmtId="14" fontId="199" fillId="26" borderId="34" applyProtection="0">
      <alignment horizontal="right"/>
    </xf>
    <xf numFmtId="0" fontId="46" fillId="0" borderId="0" applyNumberFormat="0" applyFill="0" applyBorder="0" applyProtection="0">
      <alignment vertical="center"/>
    </xf>
    <xf numFmtId="0" fontId="200" fillId="33" borderId="34" applyNumberFormat="0" applyProtection="0">
      <alignment horizontal="left"/>
    </xf>
    <xf numFmtId="41" fontId="24" fillId="0" borderId="0" applyFont="0" applyFill="0" applyBorder="0" applyAlignment="0" applyProtection="0"/>
    <xf numFmtId="0" fontId="46" fillId="24" borderId="8" applyNumberFormat="0" applyProtection="0">
      <alignment wrapText="1"/>
    </xf>
    <xf numFmtId="41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41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69" fillId="0" borderId="0" applyNumberFormat="0" applyBorder="0" applyAlignment="0"/>
    <xf numFmtId="0" fontId="89" fillId="0" borderId="0" applyNumberFormat="0" applyBorder="0" applyAlignment="0"/>
    <xf numFmtId="2" fontId="199" fillId="33" borderId="34" applyProtection="0"/>
    <xf numFmtId="2" fontId="286" fillId="34" borderId="34" applyProtection="0"/>
    <xf numFmtId="2" fontId="286" fillId="55" borderId="34" applyProtection="0"/>
    <xf numFmtId="2" fontId="286" fillId="26" borderId="34" applyProtection="0"/>
    <xf numFmtId="244" fontId="266" fillId="0" borderId="0" applyFill="0" applyBorder="0" applyAlignment="0" applyProtection="0"/>
    <xf numFmtId="253" fontId="267" fillId="0" borderId="0" applyFill="0" applyBorder="0" applyAlignment="0" applyProtection="0"/>
    <xf numFmtId="0" fontId="130" fillId="0" borderId="0" applyNumberFormat="0" applyFill="0" applyBorder="0" applyProtection="0">
      <alignment horizontal="left" vertical="center"/>
    </xf>
    <xf numFmtId="201" fontId="117" fillId="0" borderId="0" applyFill="0" applyBorder="0" applyAlignment="0" applyProtection="0">
      <protection locked="0"/>
    </xf>
    <xf numFmtId="0" fontId="287" fillId="0" borderId="0" applyAlignment="0"/>
    <xf numFmtId="40" fontId="268" fillId="0" borderId="0" applyBorder="0">
      <alignment horizontal="right"/>
    </xf>
    <xf numFmtId="201" fontId="266" fillId="0" borderId="0" applyFill="0" applyBorder="0" applyAlignment="0" applyProtection="0"/>
    <xf numFmtId="0" fontId="288" fillId="0" borderId="0" applyAlignment="0"/>
    <xf numFmtId="0" fontId="62" fillId="0" borderId="0" applyFill="0" applyBorder="0" applyProtection="0">
      <alignment horizontal="left"/>
    </xf>
    <xf numFmtId="0" fontId="46" fillId="0" borderId="1" applyFill="0" applyBorder="0" applyProtection="0">
      <alignment horizontal="left" vertical="top"/>
    </xf>
    <xf numFmtId="0" fontId="46" fillId="0" borderId="1" applyFill="0" applyBorder="0" applyProtection="0">
      <alignment horizontal="left" vertical="top"/>
    </xf>
    <xf numFmtId="38" fontId="246" fillId="0" borderId="0" applyNumberFormat="0" applyBorder="0">
      <alignment horizontal="left"/>
    </xf>
    <xf numFmtId="0" fontId="234" fillId="0" borderId="0" applyNumberFormat="0" applyFont="0" applyFill="0" applyBorder="0" applyProtection="0">
      <alignment horizontal="left" vertical="top" wrapText="1"/>
    </xf>
    <xf numFmtId="0" fontId="226" fillId="0" borderId="0" applyAlignment="0"/>
    <xf numFmtId="0" fontId="226" fillId="0" borderId="0" applyAlignment="0"/>
    <xf numFmtId="0" fontId="289" fillId="0" borderId="0" applyAlignment="0"/>
    <xf numFmtId="0" fontId="225" fillId="0" borderId="0" applyAlignment="0"/>
    <xf numFmtId="0" fontId="153" fillId="0" borderId="0" applyNumberFormat="0" applyFill="0" applyBorder="0" applyAlignment="0" applyProtection="0"/>
    <xf numFmtId="0" fontId="279" fillId="0" borderId="0" applyNumberFormat="0" applyFill="0" applyBorder="0" applyAlignment="0" applyProtection="0"/>
    <xf numFmtId="0" fontId="279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201" fontId="269" fillId="0" borderId="0" applyNumberFormat="0" applyFill="0" applyBorder="0" applyAlignment="0" applyProtection="0"/>
    <xf numFmtId="0" fontId="290" fillId="0" borderId="0" applyAlignment="0"/>
    <xf numFmtId="37" fontId="248" fillId="0" borderId="0" applyNumberFormat="0" applyFill="0" applyBorder="0" applyAlignment="0" applyProtection="0">
      <alignment horizontal="center"/>
    </xf>
    <xf numFmtId="37" fontId="248" fillId="0" borderId="0" applyNumberFormat="0" applyFill="0" applyBorder="0" applyAlignment="0" applyProtection="0">
      <alignment horizontal="center"/>
    </xf>
    <xf numFmtId="0" fontId="141" fillId="0" borderId="18" applyNumberFormat="0" applyFill="0" applyAlignment="0" applyProtection="0"/>
    <xf numFmtId="0" fontId="212" fillId="0" borderId="48" applyNumberFormat="0" applyFill="0" applyAlignment="0" applyProtection="0"/>
    <xf numFmtId="0" fontId="141" fillId="0" borderId="49" applyNumberFormat="0" applyFill="0" applyAlignment="0" applyProtection="0"/>
    <xf numFmtId="0" fontId="141" fillId="0" borderId="18" applyNumberFormat="0" applyFill="0" applyAlignment="0" applyProtection="0"/>
    <xf numFmtId="0" fontId="226" fillId="0" borderId="0" applyAlignment="0">
      <alignment wrapText="1"/>
    </xf>
    <xf numFmtId="0" fontId="226" fillId="0" borderId="0" applyAlignment="0">
      <alignment wrapText="1"/>
    </xf>
    <xf numFmtId="0" fontId="141" fillId="0" borderId="18" applyNumberFormat="0" applyFill="0" applyAlignment="0" applyProtection="0"/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1" fontId="117" fillId="0" borderId="2" applyNumberFormat="0">
      <alignment horizontal="right"/>
    </xf>
    <xf numFmtId="37" fontId="46" fillId="22" borderId="0" applyNumberFormat="0" applyBorder="0" applyAlignment="0" applyProtection="0"/>
    <xf numFmtId="37" fontId="46" fillId="0" borderId="0"/>
    <xf numFmtId="3" fontId="68" fillId="0" borderId="45" applyProtection="0"/>
    <xf numFmtId="6" fontId="270" fillId="0" borderId="50" applyNumberFormat="0" applyFill="0" applyBorder="0" applyAlignment="0" applyProtection="0">
      <alignment horizontal="right"/>
    </xf>
    <xf numFmtId="230" fontId="128" fillId="18" borderId="1" applyBorder="0">
      <alignment horizontal="right" vertical="center"/>
      <protection locked="0"/>
    </xf>
    <xf numFmtId="0" fontId="271" fillId="0" borderId="0" applyNumberFormat="0"/>
    <xf numFmtId="0" fontId="142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1" fontId="117" fillId="0" borderId="0" applyFont="0" applyFill="0" applyBorder="0" applyAlignment="0" applyProtection="0"/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4" fillId="0" borderId="0">
      <alignment horizontal="center"/>
    </xf>
    <xf numFmtId="1" fontId="265" fillId="0" borderId="2">
      <alignment horizontal="center"/>
    </xf>
    <xf numFmtId="0" fontId="223" fillId="0" borderId="0"/>
    <xf numFmtId="40" fontId="228" fillId="0" borderId="0" applyFont="0" applyFill="0" applyBorder="0" applyAlignment="0" applyProtection="0"/>
    <xf numFmtId="0" fontId="224" fillId="0" borderId="0" applyFont="0" applyFill="0" applyBorder="0" applyAlignment="0" applyProtection="0"/>
    <xf numFmtId="0" fontId="224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72" fillId="0" borderId="0"/>
    <xf numFmtId="0" fontId="8" fillId="0" borderId="0"/>
    <xf numFmtId="0" fontId="236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96" fillId="0" borderId="0" applyFont="0" applyFill="0" applyBorder="0" applyAlignment="0" applyProtection="0"/>
    <xf numFmtId="43" fontId="294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94" fillId="0" borderId="0" applyFont="0" applyFill="0" applyBorder="0" applyAlignment="0" applyProtection="0"/>
    <xf numFmtId="1" fontId="109" fillId="14" borderId="1" applyNumberFormat="0" applyBorder="0" applyAlignment="0">
      <alignment horizontal="center" vertical="top" wrapText="1"/>
      <protection hidden="1"/>
    </xf>
    <xf numFmtId="9" fontId="185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24" fillId="0" borderId="0"/>
    <xf numFmtId="0" fontId="24" fillId="0" borderId="0"/>
    <xf numFmtId="271" fontId="24" fillId="0" borderId="0" applyFont="0" applyFill="0" applyBorder="0" applyAlignment="0" applyProtection="0"/>
    <xf numFmtId="243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3" fontId="73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3" fontId="73" fillId="0" borderId="0"/>
    <xf numFmtId="0" fontId="24" fillId="0" borderId="0" applyNumberFormat="0" applyFill="0" applyBorder="0" applyAlignment="0" applyProtection="0"/>
    <xf numFmtId="3" fontId="73" fillId="0" borderId="0"/>
    <xf numFmtId="3" fontId="73" fillId="0" borderId="0"/>
    <xf numFmtId="0" fontId="24" fillId="0" borderId="0" applyNumberFormat="0" applyFill="0" applyBorder="0" applyAlignment="0" applyProtection="0"/>
    <xf numFmtId="3" fontId="73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3" fontId="73" fillId="0" borderId="0"/>
    <xf numFmtId="0" fontId="103" fillId="0" borderId="0"/>
    <xf numFmtId="271" fontId="103" fillId="0" borderId="0" applyFont="0" applyFill="0" applyBorder="0" applyAlignment="0" applyProtection="0"/>
    <xf numFmtId="243" fontId="103" fillId="0" borderId="0" applyFont="0" applyFill="0" applyBorder="0" applyAlignment="0" applyProtection="0"/>
    <xf numFmtId="272" fontId="104" fillId="0" borderId="0" applyFont="0" applyFill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270" fontId="103" fillId="0" borderId="0" applyFont="0" applyFill="0" applyBorder="0" applyAlignment="0" applyProtection="0"/>
    <xf numFmtId="273" fontId="103" fillId="0" borderId="0" applyFont="0" applyFill="0" applyBorder="0" applyAlignment="0" applyProtection="0"/>
    <xf numFmtId="0" fontId="297" fillId="0" borderId="0">
      <alignment horizontal="right"/>
    </xf>
    <xf numFmtId="0" fontId="53" fillId="0" borderId="0"/>
    <xf numFmtId="0" fontId="24" fillId="7" borderId="0" applyNumberFormat="0" applyFont="0" applyAlignment="0"/>
    <xf numFmtId="274" fontId="117" fillId="0" borderId="0">
      <alignment horizontal="right"/>
    </xf>
    <xf numFmtId="0" fontId="298" fillId="0" borderId="0"/>
    <xf numFmtId="275" fontId="245" fillId="0" borderId="0">
      <alignment horizontal="right"/>
    </xf>
    <xf numFmtId="0" fontId="24" fillId="0" borderId="0">
      <alignment horizontal="center" wrapText="1"/>
      <protection hidden="1"/>
    </xf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3" fontId="24" fillId="0" borderId="0" applyFont="0" applyFill="0" applyBorder="0" applyAlignment="0" applyProtection="0"/>
    <xf numFmtId="0" fontId="295" fillId="18" borderId="0" applyNumberFormat="0" applyFill="0" applyBorder="0" applyAlignment="0"/>
    <xf numFmtId="0" fontId="299" fillId="59" borderId="0">
      <alignment horizontal="center" vertical="center" wrapText="1"/>
    </xf>
    <xf numFmtId="276" fontId="24" fillId="0" borderId="0" applyFill="0" applyBorder="0">
      <alignment horizontal="right"/>
      <protection locked="0"/>
    </xf>
    <xf numFmtId="221" fontId="300" fillId="0" borderId="0"/>
    <xf numFmtId="221" fontId="300" fillId="0" borderId="0"/>
    <xf numFmtId="8" fontId="50" fillId="0" borderId="0" applyFont="0" applyFill="0" applyBorder="0" applyAlignment="0" applyProtection="0"/>
    <xf numFmtId="187" fontId="301" fillId="0" borderId="0" applyFont="0" applyFill="0" applyBorder="0" applyAlignment="0" applyProtection="0"/>
    <xf numFmtId="277" fontId="24" fillId="0" borderId="0" applyFont="0" applyFill="0" applyBorder="0" applyAlignment="0" applyProtection="0"/>
    <xf numFmtId="0" fontId="50" fillId="0" borderId="0" applyFont="0" applyFill="0" applyBorder="0" applyAlignment="0">
      <protection locked="0"/>
    </xf>
    <xf numFmtId="44" fontId="24" fillId="0" borderId="0" applyFont="0" applyFill="0" applyBorder="0" applyAlignment="0" applyProtection="0"/>
    <xf numFmtId="38" fontId="225" fillId="19" borderId="51">
      <protection locked="0"/>
    </xf>
    <xf numFmtId="37" fontId="66" fillId="0" borderId="52" applyAlignment="0">
      <protection locked="0"/>
    </xf>
    <xf numFmtId="10" fontId="66" fillId="0" borderId="52" applyAlignment="0">
      <protection locked="0"/>
    </xf>
    <xf numFmtId="37" fontId="66" fillId="0" borderId="52" applyAlignment="0">
      <protection locked="0"/>
    </xf>
    <xf numFmtId="181" fontId="245" fillId="0" borderId="0"/>
    <xf numFmtId="2" fontId="226" fillId="20" borderId="0">
      <alignment horizontal="left"/>
      <protection hidden="1"/>
    </xf>
    <xf numFmtId="229" fontId="117" fillId="0" borderId="0"/>
    <xf numFmtId="2" fontId="245" fillId="0" borderId="0"/>
    <xf numFmtId="269" fontId="117" fillId="0" borderId="0"/>
    <xf numFmtId="266" fontId="245" fillId="0" borderId="0"/>
    <xf numFmtId="267" fontId="94" fillId="0" borderId="0" applyBorder="0" applyAlignment="0"/>
    <xf numFmtId="201" fontId="302" fillId="21" borderId="0" applyNumberFormat="0" applyBorder="0" applyAlignment="0">
      <protection locked="0"/>
    </xf>
    <xf numFmtId="10" fontId="303" fillId="0" borderId="0">
      <protection locked="0"/>
    </xf>
    <xf numFmtId="15" fontId="303" fillId="0" borderId="0">
      <protection locked="0"/>
    </xf>
    <xf numFmtId="2" fontId="303" fillId="0" borderId="26">
      <protection locked="0"/>
    </xf>
    <xf numFmtId="37" fontId="67" fillId="7" borderId="0"/>
    <xf numFmtId="37" fontId="64" fillId="7" borderId="0"/>
    <xf numFmtId="0" fontId="303" fillId="0" borderId="0">
      <protection locked="0"/>
    </xf>
    <xf numFmtId="195" fontId="24" fillId="0" borderId="0" applyFill="0" applyBorder="0">
      <alignment horizontal="right"/>
      <protection locked="0"/>
    </xf>
    <xf numFmtId="0" fontId="41" fillId="27" borderId="30">
      <alignment horizontal="left" vertical="center" wrapText="1"/>
    </xf>
    <xf numFmtId="4" fontId="245" fillId="0" borderId="0"/>
    <xf numFmtId="278" fontId="117" fillId="0" borderId="0"/>
    <xf numFmtId="0" fontId="50" fillId="0" borderId="0"/>
    <xf numFmtId="0" fontId="24" fillId="0" borderId="0" applyNumberFormat="0" applyFill="0" applyBorder="0" applyAlignment="0" applyProtection="0"/>
    <xf numFmtId="0" fontId="50" fillId="0" borderId="0"/>
    <xf numFmtId="0" fontId="8" fillId="0" borderId="0"/>
    <xf numFmtId="0" fontId="8" fillId="0" borderId="0"/>
    <xf numFmtId="201" fontId="67" fillId="0" borderId="0" applyNumberFormat="0" applyFill="0" applyBorder="0" applyAlignment="0" applyProtection="0"/>
    <xf numFmtId="0" fontId="304" fillId="0" borderId="26"/>
    <xf numFmtId="38" fontId="305" fillId="0" borderId="0"/>
    <xf numFmtId="201" fontId="62" fillId="0" borderId="0" applyFont="0" applyBorder="0">
      <alignment horizontal="right"/>
    </xf>
    <xf numFmtId="1" fontId="62" fillId="0" borderId="0">
      <alignment horizontal="right"/>
    </xf>
    <xf numFmtId="37" fontId="66" fillId="0" borderId="52">
      <protection locked="0"/>
    </xf>
    <xf numFmtId="10" fontId="305" fillId="0" borderId="0"/>
    <xf numFmtId="9" fontId="50" fillId="0" borderId="0" applyFont="0" applyFill="0" applyBorder="0" applyAlignment="0" applyProtection="0"/>
    <xf numFmtId="279" fontId="117" fillId="0" borderId="0">
      <alignment horizontal="right"/>
    </xf>
    <xf numFmtId="10" fontId="301" fillId="0" borderId="0" applyFont="0" applyFill="0" applyBorder="0" applyAlignment="0" applyProtection="0"/>
    <xf numFmtId="201" fontId="306" fillId="0" borderId="0">
      <alignment horizontal="right"/>
    </xf>
    <xf numFmtId="280" fontId="24" fillId="0" borderId="0" applyFill="0" applyBorder="0">
      <alignment horizontal="right"/>
      <protection locked="0"/>
    </xf>
    <xf numFmtId="37" fontId="66" fillId="0" borderId="0">
      <protection locked="0"/>
    </xf>
    <xf numFmtId="255" fontId="104" fillId="0" borderId="0" applyFill="0" applyBorder="0">
      <alignment horizontal="right"/>
      <protection locked="0"/>
    </xf>
    <xf numFmtId="2" fontId="305" fillId="0" borderId="0"/>
    <xf numFmtId="281" fontId="24" fillId="0" borderId="0">
      <alignment horizontal="right"/>
      <protection locked="0"/>
    </xf>
    <xf numFmtId="37" fontId="50" fillId="0" borderId="0" applyFont="0" applyFill="0" applyBorder="0" applyAlignment="0" applyProtection="0"/>
    <xf numFmtId="0" fontId="94" fillId="0" borderId="0" applyNumberFormat="0" applyFill="0" applyBorder="0" applyAlignment="0" applyProtection="0"/>
    <xf numFmtId="282" fontId="307" fillId="0" borderId="0" applyFill="0" applyBorder="0">
      <alignment horizontal="right"/>
      <protection hidden="1"/>
    </xf>
    <xf numFmtId="0" fontId="64" fillId="59" borderId="8">
      <alignment horizontal="center" vertical="center" wrapText="1"/>
      <protection hidden="1"/>
    </xf>
    <xf numFmtId="0" fontId="61" fillId="25" borderId="0">
      <alignment horizontal="right"/>
    </xf>
    <xf numFmtId="181" fontId="117" fillId="0" borderId="0"/>
    <xf numFmtId="283" fontId="104" fillId="0" borderId="0">
      <protection locked="0"/>
    </xf>
    <xf numFmtId="0" fontId="69" fillId="0" borderId="1" applyBorder="0">
      <alignment horizontal="center"/>
    </xf>
    <xf numFmtId="38" fontId="24" fillId="0" borderId="0" applyNumberFormat="0" applyBorder="0">
      <alignment horizontal="left"/>
    </xf>
    <xf numFmtId="0" fontId="305" fillId="0" borderId="0"/>
    <xf numFmtId="0" fontId="65" fillId="60" borderId="0" applyNumberFormat="0" applyBorder="0">
      <alignment horizontal="centerContinuous"/>
    </xf>
    <xf numFmtId="0" fontId="24" fillId="0" borderId="0" applyBorder="0"/>
    <xf numFmtId="38" fontId="24" fillId="0" borderId="0">
      <alignment horizontal="right"/>
    </xf>
    <xf numFmtId="201" fontId="46" fillId="21" borderId="51">
      <alignment horizontal="right"/>
    </xf>
    <xf numFmtId="201" fontId="67" fillId="21" borderId="51"/>
    <xf numFmtId="1" fontId="308" fillId="0" borderId="0" applyFont="0">
      <alignment horizontal="right"/>
    </xf>
    <xf numFmtId="0" fontId="193" fillId="0" borderId="0"/>
    <xf numFmtId="271" fontId="193" fillId="0" borderId="0" applyFont="0" applyFill="0" applyBorder="0" applyAlignment="0" applyProtection="0"/>
    <xf numFmtId="243" fontId="193" fillId="0" borderId="0" applyFont="0" applyFill="0" applyBorder="0" applyAlignment="0" applyProtection="0"/>
    <xf numFmtId="9" fontId="73" fillId="0" borderId="0" applyFont="0" applyFill="0" applyBorder="0" applyProtection="0">
      <alignment horizontal="right"/>
    </xf>
    <xf numFmtId="270" fontId="193" fillId="0" borderId="0" applyFont="0" applyFill="0" applyBorder="0" applyAlignment="0" applyProtection="0"/>
    <xf numFmtId="273" fontId="193" fillId="0" borderId="0" applyFon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0" fontId="46" fillId="0" borderId="0"/>
    <xf numFmtId="9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249" fontId="24" fillId="18" borderId="21">
      <alignment horizontal="right"/>
    </xf>
    <xf numFmtId="43" fontId="8" fillId="0" borderId="0" applyFont="0" applyFill="0" applyBorder="0" applyAlignment="0" applyProtection="0"/>
    <xf numFmtId="187" fontId="24" fillId="18" borderId="21">
      <alignment horizontal="right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4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24" fillId="0" borderId="0"/>
    <xf numFmtId="0" fontId="8" fillId="0" borderId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6" fillId="0" borderId="0"/>
    <xf numFmtId="0" fontId="46" fillId="0" borderId="0"/>
    <xf numFmtId="0" fontId="24" fillId="0" borderId="0" applyFont="0" applyFill="0" applyBorder="0" applyAlignment="0" applyProtection="0"/>
    <xf numFmtId="0" fontId="25" fillId="0" borderId="0" applyNumberFormat="0" applyFont="0" applyFill="0" applyBorder="0" applyAlignment="0" applyProtection="0"/>
    <xf numFmtId="245" fontId="214" fillId="0" borderId="0"/>
    <xf numFmtId="0" fontId="23" fillId="8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6" borderId="0" applyNumberFormat="0" applyBorder="0" applyAlignment="0" applyProtection="0"/>
    <xf numFmtId="0" fontId="23" fillId="13" borderId="0" applyNumberFormat="0" applyBorder="0" applyAlignment="0" applyProtection="0"/>
    <xf numFmtId="0" fontId="23" fillId="6" borderId="0" applyNumberFormat="0" applyBorder="0" applyAlignment="0" applyProtection="0"/>
    <xf numFmtId="0" fontId="23" fillId="10" borderId="0" applyNumberFormat="0" applyBorder="0" applyAlignment="0" applyProtection="0"/>
    <xf numFmtId="0" fontId="137" fillId="6" borderId="0" applyNumberFormat="0" applyBorder="0" applyAlignment="0" applyProtection="0"/>
    <xf numFmtId="0" fontId="137" fillId="44" borderId="0" applyNumberFormat="0" applyBorder="0" applyAlignment="0" applyProtection="0"/>
    <xf numFmtId="0" fontId="137" fillId="46" borderId="0" applyNumberFormat="0" applyBorder="0" applyAlignment="0" applyProtection="0"/>
    <xf numFmtId="0" fontId="137" fillId="13" borderId="0" applyNumberFormat="0" applyBorder="0" applyAlignment="0" applyProtection="0"/>
    <xf numFmtId="0" fontId="137" fillId="6" borderId="0" applyNumberFormat="0" applyBorder="0" applyAlignment="0" applyProtection="0"/>
    <xf numFmtId="0" fontId="137" fillId="3" borderId="0" applyNumberFormat="0" applyBorder="0" applyAlignment="0" applyProtection="0"/>
    <xf numFmtId="0" fontId="137" fillId="48" borderId="0" applyNumberFormat="0" applyBorder="0" applyAlignment="0" applyProtection="0"/>
    <xf numFmtId="0" fontId="137" fillId="44" borderId="0" applyNumberFormat="0" applyBorder="0" applyAlignment="0" applyProtection="0"/>
    <xf numFmtId="0" fontId="137" fillId="46" borderId="0" applyNumberFormat="0" applyBorder="0" applyAlignment="0" applyProtection="0"/>
    <xf numFmtId="0" fontId="137" fillId="52" borderId="0" applyNumberFormat="0" applyBorder="0" applyAlignment="0" applyProtection="0"/>
    <xf numFmtId="0" fontId="144" fillId="53" borderId="0" applyNumberFormat="0" applyBorder="0" applyAlignment="0" applyProtection="0"/>
    <xf numFmtId="0" fontId="221" fillId="15" borderId="3" applyNumberFormat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9" fillId="0" borderId="1" applyBorder="0">
      <alignment horizontal="center"/>
    </xf>
    <xf numFmtId="0" fontId="146" fillId="6" borderId="0" applyNumberFormat="0" applyBorder="0" applyAlignment="0" applyProtection="0"/>
    <xf numFmtId="0" fontId="147" fillId="0" borderId="39" applyNumberFormat="0" applyFill="0" applyAlignment="0" applyProtection="0"/>
    <xf numFmtId="0" fontId="148" fillId="0" borderId="41" applyNumberFormat="0" applyFill="0" applyAlignment="0" applyProtection="0"/>
    <xf numFmtId="0" fontId="149" fillId="0" borderId="43" applyNumberFormat="0" applyFill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0" fontId="187" fillId="0" borderId="0" applyNumberFormat="0" applyFill="0" applyBorder="0" applyAlignment="0" applyProtection="0"/>
    <xf numFmtId="0" fontId="142" fillId="0" borderId="46" applyNumberFormat="0" applyFill="0" applyAlignment="0" applyProtection="0"/>
    <xf numFmtId="0" fontId="222" fillId="5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  <xf numFmtId="0" fontId="8" fillId="0" borderId="0"/>
    <xf numFmtId="0" fontId="24" fillId="0" borderId="0" applyNumberFormat="0" applyFont="0" applyFill="0" applyBorder="0" applyAlignment="0" applyProtection="0"/>
    <xf numFmtId="0" fontId="8" fillId="0" borderId="0"/>
    <xf numFmtId="0" fontId="24" fillId="0" borderId="0"/>
    <xf numFmtId="0" fontId="8" fillId="0" borderId="0"/>
    <xf numFmtId="0" fontId="24" fillId="0" borderId="0" applyNumberFormat="0" applyFont="0" applyFill="0" applyBorder="0" applyAlignment="0" applyProtection="0"/>
    <xf numFmtId="0" fontId="8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85" fillId="0" borderId="0"/>
    <xf numFmtId="0" fontId="24" fillId="0" borderId="0"/>
    <xf numFmtId="3" fontId="73" fillId="0" borderId="0" applyBorder="0"/>
    <xf numFmtId="0" fontId="46" fillId="0" borderId="1" applyFill="0" applyBorder="0" applyProtection="0">
      <alignment horizontal="left" vertical="top"/>
    </xf>
    <xf numFmtId="9" fontId="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4" fillId="0" borderId="1" applyNumberFormat="0" applyFont="0" applyFill="0" applyAlignment="0" applyProtection="0"/>
    <xf numFmtId="9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230" fontId="128" fillId="18" borderId="1" applyBorder="0">
      <alignment horizontal="right" vertical="center"/>
      <protection locked="0"/>
    </xf>
    <xf numFmtId="9" fontId="24" fillId="0" borderId="0" applyFont="0" applyFill="0" applyBorder="0" applyAlignment="0" applyProtection="0"/>
    <xf numFmtId="0" fontId="63" fillId="0" borderId="0"/>
    <xf numFmtId="0" fontId="63" fillId="0" borderId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41" fillId="0" borderId="49" applyNumberFormat="0" applyFill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9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/>
    <xf numFmtId="0" fontId="24" fillId="0" borderId="0">
      <alignment vertical="top"/>
    </xf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5" borderId="14" applyNumberFormat="0" applyFont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24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4" fontId="23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179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1" fontId="24" fillId="0" borderId="0">
      <alignment horizontal="center"/>
    </xf>
    <xf numFmtId="0" fontId="24" fillId="0" borderId="0"/>
    <xf numFmtId="0" fontId="24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4" fillId="0" borderId="0"/>
    <xf numFmtId="9" fontId="24" fillId="0" borderId="0" applyFont="0" applyFill="0" applyBorder="0" applyAlignment="0" applyProtection="0"/>
    <xf numFmtId="0" fontId="24" fillId="0" borderId="0"/>
    <xf numFmtId="0" fontId="24" fillId="5" borderId="14" applyNumberFormat="0" applyFont="0" applyAlignment="0" applyProtection="0"/>
    <xf numFmtId="9" fontId="2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44" fontId="24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4" fillId="5" borderId="14" applyNumberFormat="0" applyFont="0" applyAlignment="0" applyProtection="0"/>
    <xf numFmtId="9" fontId="8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9" fontId="24" fillId="0" borderId="0" applyFill="0" applyBorder="0">
      <alignment horizontal="right" vertical="center"/>
    </xf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0" fontId="24" fillId="0" borderId="0"/>
    <xf numFmtId="43" fontId="8" fillId="0" borderId="0" applyFont="0" applyFill="0" applyBorder="0" applyAlignment="0" applyProtection="0"/>
    <xf numFmtId="164" fontId="68" fillId="0" borderId="0" applyFont="0" applyFill="0" applyBorder="0" applyProtection="0">
      <alignment horizontal="right"/>
    </xf>
    <xf numFmtId="179" fontId="24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9" fontId="24" fillId="0" borderId="0"/>
    <xf numFmtId="0" fontId="24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87" fillId="0" borderId="0" applyNumberFormat="0" applyFill="0" applyBorder="0" applyAlignment="0" applyProtection="0"/>
    <xf numFmtId="9" fontId="24" fillId="0" borderId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32" borderId="33" applyNumberFormat="0" applyFont="0" applyAlignment="0" applyProtection="0"/>
    <xf numFmtId="9" fontId="8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8" fillId="0" borderId="0"/>
    <xf numFmtId="9" fontId="23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24" fillId="5" borderId="14" applyNumberFormat="0" applyFont="0" applyAlignment="0" applyProtection="0"/>
    <xf numFmtId="9" fontId="8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29" fillId="0" borderId="0"/>
    <xf numFmtId="0" fontId="24" fillId="0" borderId="0">
      <alignment vertical="top"/>
    </xf>
    <xf numFmtId="1" fontId="24" fillId="0" borderId="0">
      <alignment horizontal="center"/>
    </xf>
    <xf numFmtId="0" fontId="106" fillId="0" borderId="0">
      <alignment horizontal="center"/>
    </xf>
    <xf numFmtId="43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44" fontId="10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20" fillId="0" borderId="0"/>
    <xf numFmtId="0" fontId="8" fillId="0" borderId="0"/>
    <xf numFmtId="9" fontId="2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2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103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23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" fontId="73" fillId="0" borderId="17" applyBorder="0"/>
    <xf numFmtId="0" fontId="24" fillId="0" borderId="0">
      <alignment vertical="top"/>
    </xf>
    <xf numFmtId="0" fontId="24" fillId="0" borderId="0">
      <alignment vertical="top"/>
    </xf>
    <xf numFmtId="179" fontId="24" fillId="0" borderId="0"/>
    <xf numFmtId="43" fontId="24" fillId="0" borderId="0" applyFont="0" applyFill="0" applyBorder="0" applyAlignment="0" applyProtection="0"/>
    <xf numFmtId="9" fontId="24" fillId="0" borderId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24" fillId="0" borderId="0" applyFont="0" applyFill="0" applyBorder="0" applyAlignment="0" applyProtection="0"/>
    <xf numFmtId="0" fontId="24" fillId="5" borderId="14" applyNumberFormat="0" applyFon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5" borderId="14" applyNumberFormat="0" applyFont="0" applyAlignment="0" applyProtection="0"/>
    <xf numFmtId="9" fontId="24" fillId="0" borderId="0" applyFont="0" applyFill="0" applyBorder="0" applyAlignment="0" applyProtection="0"/>
    <xf numFmtId="0" fontId="24" fillId="5" borderId="14" applyNumberFormat="0" applyFon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29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43" fontId="2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43" fontId="23" fillId="0" borderId="0" applyFont="0" applyFill="0" applyBorder="0" applyAlignment="0" applyProtection="0"/>
    <xf numFmtId="0" fontId="310" fillId="0" borderId="0"/>
    <xf numFmtId="0" fontId="311" fillId="0" borderId="0"/>
    <xf numFmtId="0" fontId="24" fillId="0" borderId="0" applyNumberFormat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1" fontId="24" fillId="0" borderId="0">
      <alignment horizontal="center"/>
    </xf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>
      <alignment vertical="top"/>
    </xf>
    <xf numFmtId="43" fontId="23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164" fontId="68" fillId="0" borderId="0" applyFont="0" applyFill="0" applyBorder="0" applyProtection="0">
      <alignment horizontal="right"/>
    </xf>
    <xf numFmtId="9" fontId="2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9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1" fontId="24" fillId="0" borderId="0">
      <alignment horizontal="center"/>
    </xf>
    <xf numFmtId="0" fontId="24" fillId="0" borderId="0"/>
    <xf numFmtId="9" fontId="24" fillId="0" borderId="0" applyFont="0" applyFill="0" applyBorder="0" applyAlignment="0" applyProtection="0"/>
    <xf numFmtId="0" fontId="24" fillId="5" borderId="14" applyNumberFormat="0" applyFont="0" applyAlignment="0" applyProtection="0"/>
    <xf numFmtId="43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9" fontId="24" fillId="0" borderId="0" applyFont="0" applyFill="0" applyBorder="0" applyAlignment="0" applyProtection="0"/>
    <xf numFmtId="0" fontId="24" fillId="0" borderId="0">
      <alignment vertical="top"/>
    </xf>
    <xf numFmtId="0" fontId="24" fillId="5" borderId="14" applyNumberFormat="0" applyFont="0" applyAlignment="0" applyProtection="0"/>
    <xf numFmtId="49" fontId="24" fillId="0" borderId="0" applyFill="0" applyBorder="0">
      <alignment horizontal="right" vertical="center"/>
    </xf>
    <xf numFmtId="44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3" fontId="73" fillId="0" borderId="0" applyBorder="0"/>
    <xf numFmtId="164" fontId="68" fillId="0" borderId="0" applyFont="0" applyFill="0" applyBorder="0" applyProtection="0">
      <alignment horizontal="right"/>
    </xf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164" fontId="68" fillId="0" borderId="0" applyFont="0" applyFill="0" applyBorder="0" applyProtection="0">
      <alignment horizontal="right"/>
    </xf>
    <xf numFmtId="3" fontId="73" fillId="0" borderId="0" applyBorder="0"/>
    <xf numFmtId="3" fontId="73" fillId="0" borderId="0" applyBorder="0"/>
    <xf numFmtId="0" fontId="312" fillId="0" borderId="0" applyNumberFormat="0" applyFill="0" applyBorder="0" applyAlignment="0" applyProtection="0"/>
    <xf numFmtId="0" fontId="313" fillId="0" borderId="53" applyNumberFormat="0" applyFill="0" applyAlignment="0" applyProtection="0"/>
    <xf numFmtId="0" fontId="314" fillId="0" borderId="54" applyNumberFormat="0" applyFill="0" applyAlignment="0" applyProtection="0"/>
    <xf numFmtId="0" fontId="315" fillId="0" borderId="55" applyNumberFormat="0" applyFill="0" applyAlignment="0" applyProtection="0"/>
    <xf numFmtId="0" fontId="315" fillId="0" borderId="0" applyNumberFormat="0" applyFill="0" applyBorder="0" applyAlignment="0" applyProtection="0"/>
    <xf numFmtId="0" fontId="316" fillId="61" borderId="0" applyNumberFormat="0" applyBorder="0" applyAlignment="0" applyProtection="0"/>
    <xf numFmtId="0" fontId="317" fillId="62" borderId="0" applyNumberFormat="0" applyBorder="0" applyAlignment="0" applyProtection="0"/>
    <xf numFmtId="0" fontId="318" fillId="35" borderId="0" applyNumberFormat="0" applyBorder="0" applyAlignment="0" applyProtection="0"/>
    <xf numFmtId="0" fontId="319" fillId="36" borderId="35" applyNumberFormat="0" applyAlignment="0" applyProtection="0"/>
    <xf numFmtId="0" fontId="208" fillId="63" borderId="36" applyNumberFormat="0" applyAlignment="0" applyProtection="0"/>
    <xf numFmtId="0" fontId="320" fillId="63" borderId="35" applyNumberFormat="0" applyAlignment="0" applyProtection="0"/>
    <xf numFmtId="0" fontId="321" fillId="0" borderId="56" applyNumberFormat="0" applyFill="0" applyAlignment="0" applyProtection="0"/>
    <xf numFmtId="0" fontId="212" fillId="0" borderId="57" applyNumberFormat="0" applyFill="0" applyAlignment="0" applyProtection="0"/>
    <xf numFmtId="0" fontId="213" fillId="64" borderId="0" applyNumberFormat="0" applyBorder="0" applyAlignment="0" applyProtection="0"/>
    <xf numFmtId="0" fontId="7" fillId="65" borderId="0" applyNumberFormat="0" applyBorder="0" applyAlignment="0" applyProtection="0"/>
    <xf numFmtId="0" fontId="7" fillId="66" borderId="0" applyNumberFormat="0" applyBorder="0" applyAlignment="0" applyProtection="0"/>
    <xf numFmtId="0" fontId="213" fillId="67" borderId="0" applyNumberFormat="0" applyBorder="0" applyAlignment="0" applyProtection="0"/>
    <xf numFmtId="0" fontId="213" fillId="68" borderId="0" applyNumberFormat="0" applyBorder="0" applyAlignment="0" applyProtection="0"/>
    <xf numFmtId="0" fontId="7" fillId="69" borderId="0" applyNumberFormat="0" applyBorder="0" applyAlignment="0" applyProtection="0"/>
    <xf numFmtId="0" fontId="7" fillId="70" borderId="0" applyNumberFormat="0" applyBorder="0" applyAlignment="0" applyProtection="0"/>
    <xf numFmtId="0" fontId="213" fillId="71" borderId="0" applyNumberFormat="0" applyBorder="0" applyAlignment="0" applyProtection="0"/>
    <xf numFmtId="0" fontId="213" fillId="72" borderId="0" applyNumberFormat="0" applyBorder="0" applyAlignment="0" applyProtection="0"/>
    <xf numFmtId="0" fontId="7" fillId="73" borderId="0" applyNumberFormat="0" applyBorder="0" applyAlignment="0" applyProtection="0"/>
    <xf numFmtId="0" fontId="213" fillId="74" borderId="0" applyNumberFormat="0" applyBorder="0" applyAlignment="0" applyProtection="0"/>
    <xf numFmtId="0" fontId="213" fillId="75" borderId="0" applyNumberFormat="0" applyBorder="0" applyAlignment="0" applyProtection="0"/>
    <xf numFmtId="0" fontId="7" fillId="76" borderId="0" applyNumberFormat="0" applyBorder="0" applyAlignment="0" applyProtection="0"/>
    <xf numFmtId="0" fontId="7" fillId="77" borderId="0" applyNumberFormat="0" applyBorder="0" applyAlignment="0" applyProtection="0"/>
    <xf numFmtId="0" fontId="213" fillId="78" borderId="0" applyNumberFormat="0" applyBorder="0" applyAlignment="0" applyProtection="0"/>
    <xf numFmtId="0" fontId="213" fillId="79" borderId="0" applyNumberFormat="0" applyBorder="0" applyAlignment="0" applyProtection="0"/>
    <xf numFmtId="0" fontId="7" fillId="80" borderId="0" applyNumberFormat="0" applyBorder="0" applyAlignment="0" applyProtection="0"/>
    <xf numFmtId="0" fontId="7" fillId="81" borderId="0" applyNumberFormat="0" applyBorder="0" applyAlignment="0" applyProtection="0"/>
    <xf numFmtId="0" fontId="213" fillId="82" borderId="0" applyNumberFormat="0" applyBorder="0" applyAlignment="0" applyProtection="0"/>
    <xf numFmtId="0" fontId="7" fillId="83" borderId="0" applyNumberFormat="0" applyBorder="0" applyAlignment="0" applyProtection="0"/>
    <xf numFmtId="0" fontId="213" fillId="84" borderId="0" applyNumberFormat="0" applyBorder="0" applyAlignment="0" applyProtection="0"/>
    <xf numFmtId="0" fontId="7" fillId="0" borderId="0"/>
    <xf numFmtId="0" fontId="7" fillId="32" borderId="33" applyNumberFormat="0" applyFont="0" applyAlignment="0" applyProtection="0"/>
    <xf numFmtId="0" fontId="7" fillId="38" borderId="0" applyNumberFormat="0" applyBorder="0" applyAlignment="0" applyProtection="0"/>
    <xf numFmtId="0" fontId="7" fillId="40" borderId="0" applyNumberFormat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3" fontId="73" fillId="0" borderId="0" applyBorder="0"/>
    <xf numFmtId="0" fontId="7" fillId="0" borderId="0"/>
    <xf numFmtId="0" fontId="7" fillId="0" borderId="0"/>
    <xf numFmtId="0" fontId="7" fillId="0" borderId="0"/>
    <xf numFmtId="243" fontId="7" fillId="0" borderId="0" applyFont="0" applyFill="0" applyBorder="0" applyAlignment="0" applyProtection="0"/>
    <xf numFmtId="0" fontId="226" fillId="0" borderId="0" applyAlignment="0"/>
    <xf numFmtId="0" fontId="24" fillId="0" borderId="0" applyNumberFormat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0" fillId="0" borderId="0"/>
    <xf numFmtId="0" fontId="129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38" borderId="0" applyNumberFormat="0" applyBorder="0" applyAlignment="0" applyProtection="0"/>
    <xf numFmtId="0" fontId="6" fillId="40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8" borderId="0" applyNumberFormat="0" applyBorder="0" applyAlignment="0" applyProtection="0"/>
    <xf numFmtId="0" fontId="6" fillId="38" borderId="0" applyNumberFormat="0" applyBorder="0" applyAlignment="0" applyProtection="0"/>
    <xf numFmtId="0" fontId="6" fillId="38" borderId="0" applyNumberFormat="0" applyBorder="0" applyAlignment="0" applyProtection="0"/>
    <xf numFmtId="0" fontId="6" fillId="38" borderId="0" applyNumberFormat="0" applyBorder="0" applyAlignment="0" applyProtection="0"/>
    <xf numFmtId="0" fontId="6" fillId="38" borderId="0" applyNumberFormat="0" applyBorder="0" applyAlignment="0" applyProtection="0"/>
    <xf numFmtId="0" fontId="6" fillId="38" borderId="0" applyNumberFormat="0" applyBorder="0" applyAlignment="0" applyProtection="0"/>
    <xf numFmtId="0" fontId="6" fillId="42" borderId="0" applyNumberFormat="0" applyBorder="0" applyAlignment="0" applyProtection="0"/>
    <xf numFmtId="0" fontId="6" fillId="42" borderId="0" applyNumberFormat="0" applyBorder="0" applyAlignment="0" applyProtection="0"/>
    <xf numFmtId="0" fontId="6" fillId="42" borderId="0" applyNumberFormat="0" applyBorder="0" applyAlignment="0" applyProtection="0"/>
    <xf numFmtId="0" fontId="6" fillId="42" borderId="0" applyNumberFormat="0" applyBorder="0" applyAlignment="0" applyProtection="0"/>
    <xf numFmtId="0" fontId="6" fillId="42" borderId="0" applyNumberFormat="0" applyBorder="0" applyAlignment="0" applyProtection="0"/>
    <xf numFmtId="0" fontId="6" fillId="42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0" borderId="0" applyNumberFormat="0" applyBorder="0" applyAlignment="0" applyProtection="0"/>
    <xf numFmtId="0" fontId="6" fillId="40" borderId="0" applyNumberFormat="0" applyBorder="0" applyAlignment="0" applyProtection="0"/>
    <xf numFmtId="0" fontId="6" fillId="40" borderId="0" applyNumberFormat="0" applyBorder="0" applyAlignment="0" applyProtection="0"/>
    <xf numFmtId="0" fontId="6" fillId="40" borderId="0" applyNumberFormat="0" applyBorder="0" applyAlignment="0" applyProtection="0"/>
    <xf numFmtId="0" fontId="6" fillId="40" borderId="0" applyNumberFormat="0" applyBorder="0" applyAlignment="0" applyProtection="0"/>
    <xf numFmtId="0" fontId="6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43" borderId="0" applyNumberFormat="0" applyBorder="0" applyAlignment="0" applyProtection="0"/>
    <xf numFmtId="0" fontId="6" fillId="43" borderId="0" applyNumberFormat="0" applyBorder="0" applyAlignment="0" applyProtection="0"/>
    <xf numFmtId="0" fontId="6" fillId="43" borderId="0" applyNumberFormat="0" applyBorder="0" applyAlignment="0" applyProtection="0"/>
    <xf numFmtId="0" fontId="6" fillId="43" borderId="0" applyNumberFormat="0" applyBorder="0" applyAlignment="0" applyProtection="0"/>
    <xf numFmtId="0" fontId="6" fillId="43" borderId="0" applyNumberFormat="0" applyBorder="0" applyAlignment="0" applyProtection="0"/>
    <xf numFmtId="0" fontId="6" fillId="43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24" fillId="0" borderId="0" applyNumberFormat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0" fillId="0" borderId="0"/>
    <xf numFmtId="0" fontId="129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65" borderId="0" applyNumberFormat="0" applyBorder="0" applyAlignment="0" applyProtection="0"/>
    <xf numFmtId="0" fontId="6" fillId="66" borderId="0" applyNumberFormat="0" applyBorder="0" applyAlignment="0" applyProtection="0"/>
    <xf numFmtId="0" fontId="6" fillId="69" borderId="0" applyNumberFormat="0" applyBorder="0" applyAlignment="0" applyProtection="0"/>
    <xf numFmtId="0" fontId="6" fillId="70" borderId="0" applyNumberFormat="0" applyBorder="0" applyAlignment="0" applyProtection="0"/>
    <xf numFmtId="0" fontId="6" fillId="73" borderId="0" applyNumberFormat="0" applyBorder="0" applyAlignment="0" applyProtection="0"/>
    <xf numFmtId="0" fontId="6" fillId="76" borderId="0" applyNumberFormat="0" applyBorder="0" applyAlignment="0" applyProtection="0"/>
    <xf numFmtId="0" fontId="6" fillId="77" borderId="0" applyNumberFormat="0" applyBorder="0" applyAlignment="0" applyProtection="0"/>
    <xf numFmtId="0" fontId="6" fillId="80" borderId="0" applyNumberFormat="0" applyBorder="0" applyAlignment="0" applyProtection="0"/>
    <xf numFmtId="0" fontId="6" fillId="81" borderId="0" applyNumberFormat="0" applyBorder="0" applyAlignment="0" applyProtection="0"/>
    <xf numFmtId="0" fontId="6" fillId="83" borderId="0" applyNumberFormat="0" applyBorder="0" applyAlignment="0" applyProtection="0"/>
    <xf numFmtId="0" fontId="6" fillId="0" borderId="0"/>
    <xf numFmtId="0" fontId="6" fillId="32" borderId="33" applyNumberFormat="0" applyFont="0" applyAlignment="0" applyProtection="0"/>
    <xf numFmtId="0" fontId="6" fillId="38" borderId="0" applyNumberFormat="0" applyBorder="0" applyAlignment="0" applyProtection="0"/>
    <xf numFmtId="0" fontId="6" fillId="40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43" fontId="6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24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 applyNumberFormat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38" borderId="0" applyNumberFormat="0" applyBorder="0" applyAlignment="0" applyProtection="0"/>
    <xf numFmtId="0" fontId="5" fillId="40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24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24" fillId="0" borderId="0" applyNumberFormat="0" applyFont="0" applyFill="0" applyBorder="0" applyAlignment="0" applyProtection="0"/>
    <xf numFmtId="0" fontId="5" fillId="0" borderId="0"/>
    <xf numFmtId="0" fontId="5" fillId="0" borderId="0"/>
    <xf numFmtId="0" fontId="24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3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80" borderId="0" applyNumberFormat="0" applyBorder="0" applyAlignment="0" applyProtection="0"/>
    <xf numFmtId="0" fontId="5" fillId="81" borderId="0" applyNumberFormat="0" applyBorder="0" applyAlignment="0" applyProtection="0"/>
    <xf numFmtId="0" fontId="5" fillId="83" borderId="0" applyNumberFormat="0" applyBorder="0" applyAlignment="0" applyProtection="0"/>
    <xf numFmtId="0" fontId="5" fillId="0" borderId="0"/>
    <xf numFmtId="0" fontId="5" fillId="32" borderId="33" applyNumberFormat="0" applyFont="0" applyAlignment="0" applyProtection="0"/>
    <xf numFmtId="0" fontId="5" fillId="38" borderId="0" applyNumberFormat="0" applyBorder="0" applyAlignment="0" applyProtection="0"/>
    <xf numFmtId="0" fontId="5" fillId="40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38" borderId="0" applyNumberFormat="0" applyBorder="0" applyAlignment="0" applyProtection="0"/>
    <xf numFmtId="0" fontId="5" fillId="40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41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3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80" borderId="0" applyNumberFormat="0" applyBorder="0" applyAlignment="0" applyProtection="0"/>
    <xf numFmtId="0" fontId="5" fillId="81" borderId="0" applyNumberFormat="0" applyBorder="0" applyAlignment="0" applyProtection="0"/>
    <xf numFmtId="0" fontId="5" fillId="83" borderId="0" applyNumberFormat="0" applyBorder="0" applyAlignment="0" applyProtection="0"/>
    <xf numFmtId="0" fontId="5" fillId="0" borderId="0"/>
    <xf numFmtId="0" fontId="5" fillId="32" borderId="33" applyNumberFormat="0" applyFont="0" applyAlignment="0" applyProtection="0"/>
    <xf numFmtId="0" fontId="5" fillId="38" borderId="0" applyNumberFormat="0" applyBorder="0" applyAlignment="0" applyProtection="0"/>
    <xf numFmtId="0" fontId="5" fillId="40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43" fontId="5" fillId="0" borderId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22" fillId="0" borderId="0">
      <alignment vertical="center"/>
    </xf>
    <xf numFmtId="38" fontId="190" fillId="0" borderId="0" applyFont="0" applyFill="0" applyBorder="0" applyAlignment="0" applyProtection="0"/>
    <xf numFmtId="38" fontId="190" fillId="0" borderId="0" applyFont="0" applyFill="0" applyBorder="0" applyAlignment="0" applyProtection="0"/>
    <xf numFmtId="0" fontId="322" fillId="0" borderId="0">
      <alignment vertical="center"/>
    </xf>
    <xf numFmtId="0" fontId="190" fillId="0" borderId="0"/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0" fontId="323" fillId="0" borderId="0">
      <alignment vertical="center"/>
    </xf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0" fontId="322" fillId="0" borderId="0">
      <alignment vertical="center"/>
    </xf>
    <xf numFmtId="0" fontId="190" fillId="0" borderId="0"/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38" fontId="322" fillId="0" borderId="0" applyFont="0" applyFill="0" applyBorder="0" applyAlignment="0" applyProtection="0">
      <alignment vertical="center"/>
    </xf>
    <xf numFmtId="0" fontId="323" fillId="0" borderId="0">
      <alignment vertical="center"/>
    </xf>
    <xf numFmtId="38" fontId="323" fillId="0" borderId="0" applyFont="0" applyFill="0" applyBorder="0" applyAlignment="0" applyProtection="0">
      <alignment vertical="center"/>
    </xf>
    <xf numFmtId="0" fontId="323" fillId="0" borderId="0">
      <alignment vertical="center"/>
    </xf>
    <xf numFmtId="0" fontId="46" fillId="0" borderId="0" applyNumberFormat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324" fillId="0" borderId="0" applyNumberFormat="0" applyFill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24" fillId="0" borderId="0" applyNumberFormat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4" fillId="83" borderId="0" applyNumberFormat="0" applyBorder="0" applyAlignment="0" applyProtection="0"/>
    <xf numFmtId="0" fontId="4" fillId="0" borderId="0"/>
    <xf numFmtId="0" fontId="4" fillId="32" borderId="33" applyNumberFormat="0" applyFont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4" fillId="83" borderId="0" applyNumberFormat="0" applyBorder="0" applyAlignment="0" applyProtection="0"/>
    <xf numFmtId="0" fontId="4" fillId="0" borderId="0"/>
    <xf numFmtId="0" fontId="4" fillId="32" borderId="33" applyNumberFormat="0" applyFont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4" fillId="83" borderId="0" applyNumberFormat="0" applyBorder="0" applyAlignment="0" applyProtection="0"/>
    <xf numFmtId="0" fontId="4" fillId="0" borderId="0"/>
    <xf numFmtId="0" fontId="4" fillId="32" borderId="33" applyNumberFormat="0" applyFont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4" fillId="83" borderId="0" applyNumberFormat="0" applyBorder="0" applyAlignment="0" applyProtection="0"/>
    <xf numFmtId="0" fontId="4" fillId="0" borderId="0"/>
    <xf numFmtId="0" fontId="4" fillId="32" borderId="33" applyNumberFormat="0" applyFont="0" applyAlignment="0" applyProtection="0"/>
    <xf numFmtId="0" fontId="4" fillId="38" borderId="0" applyNumberFormat="0" applyBorder="0" applyAlignment="0" applyProtection="0"/>
    <xf numFmtId="0" fontId="4" fillId="40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43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0" fontId="202" fillId="0" borderId="0" applyNumberForma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3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240" fontId="46" fillId="0" borderId="0" applyFont="0" applyFill="0" applyBorder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50" fillId="5" borderId="3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05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205" fillId="0" borderId="0" applyNumberFormat="0" applyFill="0" applyBorder="0" applyAlignment="0" applyProtection="0"/>
    <xf numFmtId="0" fontId="3" fillId="0" borderId="0"/>
    <xf numFmtId="0" fontId="120" fillId="0" borderId="0"/>
    <xf numFmtId="0" fontId="202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202" fillId="0" borderId="0" applyNumberFormat="0" applyFill="0" applyBorder="0" applyAlignment="0" applyProtection="0"/>
    <xf numFmtId="0" fontId="150" fillId="5" borderId="3" applyNumberForma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24" fillId="0" borderId="0"/>
    <xf numFmtId="0" fontId="3" fillId="0" borderId="0"/>
    <xf numFmtId="0" fontId="3" fillId="0" borderId="0"/>
    <xf numFmtId="179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10" fontId="24" fillId="0" borderId="0" applyFont="0" applyFill="0" applyBorder="0" applyAlignment="0" applyProtection="0"/>
    <xf numFmtId="0" fontId="150" fillId="5" borderId="3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>
      <alignment vertical="top"/>
    </xf>
    <xf numFmtId="1" fontId="24" fillId="0" borderId="0">
      <alignment horizontal="center"/>
    </xf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9" fontId="2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9" fontId="23" fillId="0" borderId="0" applyFont="0" applyFill="0" applyBorder="0" applyAlignment="0" applyProtection="0"/>
    <xf numFmtId="9" fontId="24" fillId="0" borderId="0"/>
    <xf numFmtId="9" fontId="24" fillId="0" borderId="0"/>
    <xf numFmtId="179" fontId="24" fillId="0" borderId="0"/>
    <xf numFmtId="179" fontId="24" fillId="0" borderId="0"/>
    <xf numFmtId="9" fontId="23" fillId="0" borderId="0" applyFont="0" applyFill="0" applyBorder="0" applyAlignment="0" applyProtection="0"/>
    <xf numFmtId="179" fontId="24" fillId="0" borderId="0"/>
    <xf numFmtId="179" fontId="24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9" fontId="24" fillId="0" borderId="0" applyFill="0" applyBorder="0">
      <alignment horizontal="right" vertical="center"/>
    </xf>
    <xf numFmtId="185" fontId="24" fillId="0" borderId="0" applyFill="0" applyBorder="0">
      <alignment horizontal="right" vertical="center"/>
    </xf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3" fillId="0" borderId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" fillId="0" borderId="0"/>
    <xf numFmtId="0" fontId="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29" fillId="0" borderId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29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1" fontId="24" fillId="0" borderId="0">
      <alignment horizontal="center"/>
    </xf>
    <xf numFmtId="1" fontId="24" fillId="0" borderId="0">
      <alignment horizontal="center"/>
    </xf>
    <xf numFmtId="0" fontId="24" fillId="0" borderId="0" applyNumberFormat="0" applyFont="0" applyFill="0" applyBorder="0" applyAlignment="0" applyProtection="0"/>
    <xf numFmtId="0" fontId="1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1" fontId="24" fillId="0" borderId="0">
      <alignment horizontal="center"/>
    </xf>
    <xf numFmtId="0" fontId="24" fillId="0" borderId="0">
      <alignment vertical="top"/>
    </xf>
    <xf numFmtId="0" fontId="24" fillId="0" borderId="0">
      <alignment vertical="top"/>
    </xf>
    <xf numFmtId="1" fontId="24" fillId="0" borderId="0">
      <alignment horizontal="center"/>
    </xf>
    <xf numFmtId="0" fontId="1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29" fillId="0" borderId="0"/>
    <xf numFmtId="0" fontId="24" fillId="0" borderId="0"/>
    <xf numFmtId="0" fontId="24" fillId="0" borderId="0"/>
    <xf numFmtId="0" fontId="3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>
      <alignment vertical="center"/>
    </xf>
    <xf numFmtId="0" fontId="3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0" fontId="24" fillId="5" borderId="14" applyNumberFormat="0" applyFon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5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0" fontId="120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3" fillId="0" borderId="0"/>
    <xf numFmtId="9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0" fontId="3" fillId="0" borderId="0"/>
    <xf numFmtId="0" fontId="24" fillId="0" borderId="0" applyNumberFormat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120" fillId="0" borderId="0"/>
    <xf numFmtId="0" fontId="24" fillId="0" borderId="0" applyNumberFormat="0" applyFont="0" applyFill="0" applyBorder="0" applyAlignment="0" applyProtection="0"/>
    <xf numFmtId="0" fontId="24" fillId="0" borderId="0">
      <alignment vertical="top"/>
    </xf>
    <xf numFmtId="0" fontId="24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3" fillId="0" borderId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12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>
      <alignment vertical="top"/>
    </xf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50" fillId="5" borderId="3" applyNumberForma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150" fillId="5" borderId="3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/>
    <xf numFmtId="9" fontId="23" fillId="0" borderId="0" applyFont="0" applyFill="0" applyBorder="0" applyAlignment="0" applyProtection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9" fontId="24" fillId="0" borderId="0" applyFill="0" applyBorder="0">
      <alignment horizontal="right" vertical="center"/>
    </xf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49" fontId="24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0" fontId="24" fillId="0" borderId="0"/>
    <xf numFmtId="9" fontId="23" fillId="0" borderId="0" applyFont="0" applyFill="0" applyBorder="0" applyAlignment="0" applyProtection="0"/>
    <xf numFmtId="0" fontId="3" fillId="0" borderId="0"/>
    <xf numFmtId="9" fontId="23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9" fontId="24" fillId="0" borderId="0" applyFill="0" applyBorder="0">
      <alignment horizontal="right" vertical="center"/>
    </xf>
    <xf numFmtId="0" fontId="150" fillId="5" borderId="3" applyNumberFormat="0" applyAlignment="0" applyProtection="0"/>
    <xf numFmtId="0" fontId="24" fillId="0" borderId="0"/>
    <xf numFmtId="0" fontId="24" fillId="0" borderId="0"/>
    <xf numFmtId="0" fontId="24" fillId="0" borderId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49" fontId="24" fillId="0" borderId="0" applyFill="0" applyBorder="0">
      <alignment horizontal="right" vertical="center"/>
    </xf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9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0" fillId="5" borderId="3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4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150" fillId="5" borderId="3" applyNumberFormat="0" applyAlignment="0" applyProtection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81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4" fillId="10" borderId="14" applyNumberFormat="0" applyFont="0" applyAlignment="0" applyProtection="0"/>
    <xf numFmtId="286" fontId="95" fillId="94" borderId="0" applyNumberFormat="0" applyBorder="0">
      <protection locked="0"/>
    </xf>
    <xf numFmtId="286" fontId="89" fillId="97" borderId="0" applyNumberFormat="0" applyBorder="0">
      <protection locked="0"/>
    </xf>
    <xf numFmtId="287" fontId="326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249" fontId="24" fillId="18" borderId="58">
      <alignment horizontal="right"/>
    </xf>
    <xf numFmtId="187" fontId="24" fillId="18" borderId="58">
      <alignment horizontal="right"/>
    </xf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" fillId="0" borderId="0"/>
    <xf numFmtId="0" fontId="24" fillId="0" borderId="0"/>
    <xf numFmtId="0" fontId="2" fillId="0" borderId="0"/>
    <xf numFmtId="0" fontId="2" fillId="0" borderId="0"/>
    <xf numFmtId="286" fontId="335" fillId="98" borderId="0" applyNumberFormat="0" applyBorder="0">
      <protection locked="0"/>
    </xf>
    <xf numFmtId="0" fontId="2" fillId="83" borderId="0" applyNumberFormat="0" applyBorder="0" applyAlignment="0" applyProtection="0"/>
    <xf numFmtId="0" fontId="234" fillId="0" borderId="58" applyNumberFormat="0" applyFont="0" applyFill="0" applyAlignment="0" applyProtection="0"/>
    <xf numFmtId="0" fontId="24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6" fillId="0" borderId="0" applyNumberFormat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/>
    <xf numFmtId="0" fontId="140" fillId="7" borderId="15" applyNumberFormat="0" applyAlignment="0" applyProtection="0"/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331" fillId="0" borderId="0" applyNumberFormat="0" applyFill="0" applyBorder="0" applyAlignment="0" applyProtection="0"/>
    <xf numFmtId="286" fontId="332" fillId="93" borderId="0" applyNumberFormat="0" applyBorder="0">
      <alignment horizontal="left"/>
      <protection locked="0"/>
    </xf>
    <xf numFmtId="286" fontId="69" fillId="92" borderId="0" applyNumberFormat="0" applyBorder="0">
      <alignment horizontal="center"/>
      <protection locked="0"/>
    </xf>
    <xf numFmtId="286" fontId="333" fillId="91" borderId="0" applyNumberFormat="0" applyBorder="0">
      <alignment horizontal="center"/>
      <protection locked="0"/>
    </xf>
    <xf numFmtId="286" fontId="333" fillId="92" borderId="0" applyNumberFormat="0" applyBorder="0">
      <alignment horizontal="center"/>
      <protection locked="0"/>
    </xf>
    <xf numFmtId="286" fontId="332" fillId="93" borderId="0" applyNumberFormat="0" applyBorder="0">
      <protection locked="0"/>
    </xf>
    <xf numFmtId="286" fontId="89" fillId="94" borderId="0" applyNumberFormat="0" applyBorder="0">
      <alignment horizontal="left"/>
      <protection locked="0"/>
    </xf>
    <xf numFmtId="286" fontId="334" fillId="91" borderId="0" applyNumberFormat="0" applyBorder="0">
      <protection locked="0"/>
    </xf>
    <xf numFmtId="286" fontId="89" fillId="95" borderId="0" applyNumberFormat="0" applyBorder="0">
      <alignment horizontal="right"/>
      <protection locked="0"/>
    </xf>
    <xf numFmtId="286" fontId="89" fillId="96" borderId="0" applyNumberFormat="0" applyBorder="0">
      <alignment vertical="top"/>
      <protection locked="0"/>
    </xf>
    <xf numFmtId="286" fontId="89" fillId="92" borderId="0" applyNumberFormat="0" applyBorder="0">
      <protection locked="0"/>
    </xf>
    <xf numFmtId="0" fontId="24" fillId="0" borderId="0" applyNumberFormat="0" applyFont="0" applyFill="0" applyBorder="0" applyAlignment="0" applyProtection="0"/>
    <xf numFmtId="0" fontId="2" fillId="69" borderId="0" applyNumberFormat="0" applyBorder="0" applyAlignment="0" applyProtection="0"/>
    <xf numFmtId="0" fontId="2" fillId="76" borderId="0" applyNumberFormat="0" applyBorder="0" applyAlignment="0" applyProtection="0"/>
    <xf numFmtId="0" fontId="2" fillId="77" borderId="0" applyNumberFormat="0" applyBorder="0" applyAlignment="0" applyProtection="0"/>
    <xf numFmtId="3" fontId="73" fillId="0" borderId="0"/>
    <xf numFmtId="0" fontId="2" fillId="43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4" fillId="0" borderId="0"/>
    <xf numFmtId="164" fontId="68" fillId="0" borderId="0" applyFont="0" applyFill="0" applyBorder="0" applyProtection="0">
      <alignment horizontal="right"/>
    </xf>
    <xf numFmtId="0" fontId="24" fillId="0" borderId="0" applyNumberFormat="0" applyFont="0" applyFill="0" applyBorder="0" applyAlignment="0" applyProtection="0"/>
    <xf numFmtId="249" fontId="24" fillId="18" borderId="58">
      <alignment horizontal="right"/>
    </xf>
    <xf numFmtId="43" fontId="2" fillId="0" borderId="0" applyFont="0" applyFill="0" applyBorder="0" applyAlignment="0" applyProtection="0"/>
    <xf numFmtId="187" fontId="24" fillId="18" borderId="58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/>
    <xf numFmtId="0" fontId="63" fillId="0" borderId="0"/>
    <xf numFmtId="0" fontId="150" fillId="5" borderId="3" applyNumberFormat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46" fillId="0" borderId="0" applyNumberFormat="0" applyBorder="0" applyAlignment="0" applyProtection="0"/>
    <xf numFmtId="0" fontId="2" fillId="80" borderId="0" applyNumberFormat="0" applyBorder="0" applyAlignment="0" applyProtection="0"/>
    <xf numFmtId="43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4" fillId="0" borderId="0"/>
    <xf numFmtId="9" fontId="2" fillId="0" borderId="0" applyFont="0" applyFill="0" applyBorder="0" applyAlignment="0" applyProtection="0"/>
    <xf numFmtId="0" fontId="46" fillId="0" borderId="0" applyNumberFormat="0" applyBorder="0" applyAlignment="0" applyProtection="0"/>
    <xf numFmtId="0" fontId="2" fillId="0" borderId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49" fontId="24" fillId="18" borderId="58">
      <alignment horizontal="right"/>
    </xf>
    <xf numFmtId="187" fontId="24" fillId="18" borderId="58">
      <alignment horizontal="right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34" fillId="0" borderId="58" applyNumberFormat="0" applyFont="0" applyFill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49" fontId="24" fillId="18" borderId="58">
      <alignment horizontal="right"/>
    </xf>
    <xf numFmtId="43" fontId="2" fillId="0" borderId="0" applyFont="0" applyFill="0" applyBorder="0" applyAlignment="0" applyProtection="0"/>
    <xf numFmtId="187" fontId="24" fillId="18" borderId="58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6" fontId="330" fillId="92" borderId="0" applyNumberFormat="0" applyBorder="0">
      <alignment horizontal="right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6" fontId="69" fillId="92" borderId="0" applyNumberFormat="0" applyBorder="0">
      <alignment horizontal="right"/>
      <protection locked="0"/>
    </xf>
    <xf numFmtId="0" fontId="150" fillId="2" borderId="3" applyNumberFormat="0" applyAlignment="0" applyProtection="0"/>
    <xf numFmtId="0" fontId="150" fillId="2" borderId="3" applyNumberFormat="0" applyAlignment="0" applyProtection="0"/>
    <xf numFmtId="0" fontId="150" fillId="2" borderId="3" applyNumberFormat="0" applyAlignment="0" applyProtection="0"/>
    <xf numFmtId="0" fontId="150" fillId="2" borderId="3" applyNumberFormat="0" applyAlignment="0" applyProtection="0"/>
    <xf numFmtId="0" fontId="150" fillId="2" borderId="3" applyNumberFormat="0" applyAlignment="0" applyProtection="0"/>
    <xf numFmtId="0" fontId="150" fillId="2" borderId="3" applyNumberFormat="0" applyAlignment="0" applyProtection="0"/>
    <xf numFmtId="0" fontId="52" fillId="0" borderId="0" applyNumberFormat="0" applyFill="0" applyBorder="0" applyAlignment="0" applyProtection="0">
      <alignment vertical="top"/>
      <protection locked="0"/>
    </xf>
    <xf numFmtId="0" fontId="329" fillId="0" borderId="0" applyNumberFormat="0" applyFill="0" applyBorder="0" applyAlignment="0" applyProtection="0"/>
    <xf numFmtId="0" fontId="329" fillId="0" borderId="60" applyNumberFormat="0" applyFill="0" applyAlignment="0" applyProtection="0"/>
    <xf numFmtId="0" fontId="328" fillId="0" borderId="11" applyNumberFormat="0" applyFill="0" applyAlignment="0" applyProtection="0"/>
    <xf numFmtId="0" fontId="327" fillId="0" borderId="59" applyNumberFormat="0" applyFill="0" applyAlignment="0" applyProtection="0"/>
    <xf numFmtId="0" fontId="41" fillId="0" borderId="8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326" fillId="0" borderId="0" applyFont="0" applyFill="0" applyBorder="0" applyAlignment="0" applyProtection="0"/>
    <xf numFmtId="0" fontId="2" fillId="0" borderId="0"/>
    <xf numFmtId="286" fontId="69" fillId="91" borderId="0" applyNumberFormat="0" applyBorder="0">
      <alignment vertical="top"/>
      <protection locked="0"/>
    </xf>
    <xf numFmtId="0" fontId="325" fillId="0" borderId="8" applyFill="0" applyAlignment="0" applyProtection="0">
      <alignment vertical="center"/>
    </xf>
    <xf numFmtId="1" fontId="24" fillId="0" borderId="8"/>
    <xf numFmtId="10" fontId="24" fillId="0" borderId="8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145" fillId="7" borderId="3" applyNumberFormat="0" applyAlignment="0" applyProtection="0"/>
    <xf numFmtId="0" fontId="2" fillId="0" borderId="0"/>
    <xf numFmtId="0" fontId="2" fillId="0" borderId="0"/>
    <xf numFmtId="0" fontId="24" fillId="0" borderId="8"/>
    <xf numFmtId="0" fontId="137" fillId="44" borderId="0" applyNumberFormat="0" applyBorder="0" applyAlignment="0" applyProtection="0"/>
    <xf numFmtId="0" fontId="137" fillId="87" borderId="0" applyNumberFormat="0" applyBorder="0" applyAlignment="0" applyProtection="0"/>
    <xf numFmtId="0" fontId="137" fillId="90" borderId="0" applyNumberFormat="0" applyBorder="0" applyAlignment="0" applyProtection="0"/>
    <xf numFmtId="0" fontId="137" fillId="52" borderId="0" applyNumberFormat="0" applyBorder="0" applyAlignment="0" applyProtection="0"/>
    <xf numFmtId="0" fontId="137" fillId="89" borderId="0" applyNumberFormat="0" applyBorder="0" applyAlignment="0" applyProtection="0"/>
    <xf numFmtId="0" fontId="137" fillId="88" borderId="0" applyNumberFormat="0" applyBorder="0" applyAlignment="0" applyProtection="0"/>
    <xf numFmtId="0" fontId="137" fillId="87" borderId="0" applyNumberFormat="0" applyBorder="0" applyAlignment="0" applyProtection="0"/>
    <xf numFmtId="0" fontId="137" fillId="85" borderId="0" applyNumberFormat="0" applyBorder="0" applyAlignment="0" applyProtection="0"/>
    <xf numFmtId="0" fontId="137" fillId="86" borderId="0" applyNumberFormat="0" applyBorder="0" applyAlignment="0" applyProtection="0"/>
    <xf numFmtId="0" fontId="23" fillId="46" borderId="0" applyNumberFormat="0" applyBorder="0" applyAlignment="0" applyProtection="0"/>
    <xf numFmtId="0" fontId="23" fillId="53" borderId="0" applyNumberFormat="0" applyBorder="0" applyAlignment="0" applyProtection="0"/>
    <xf numFmtId="0" fontId="23" fillId="85" borderId="0" applyNumberFormat="0" applyBorder="0" applyAlignment="0" applyProtection="0"/>
    <xf numFmtId="0" fontId="23" fillId="8" borderId="0" applyNumberFormat="0" applyBorder="0" applyAlignment="0" applyProtection="0"/>
    <xf numFmtId="0" fontId="23" fillId="2" borderId="0" applyNumberFormat="0" applyBorder="0" applyAlignment="0" applyProtection="0"/>
    <xf numFmtId="0" fontId="23" fillId="53" borderId="0" applyNumberFormat="0" applyBorder="0" applyAlignment="0" applyProtection="0"/>
    <xf numFmtId="0" fontId="23" fillId="4" borderId="0" applyNumberFormat="0" applyBorder="0" applyAlignment="0" applyProtection="0"/>
    <xf numFmtId="0" fontId="50" fillId="0" borderId="0"/>
    <xf numFmtId="0" fontId="2" fillId="0" borderId="0"/>
    <xf numFmtId="0" fontId="2" fillId="0" borderId="0"/>
    <xf numFmtId="0" fontId="24" fillId="0" borderId="0"/>
    <xf numFmtId="0" fontId="102" fillId="0" borderId="0"/>
    <xf numFmtId="0" fontId="24" fillId="0" borderId="0"/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0" fillId="5" borderId="3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3" fontId="73" fillId="0" borderId="0" applyBorder="0"/>
    <xf numFmtId="164" fontId="68" fillId="0" borderId="0" applyFont="0" applyFill="0" applyBorder="0" applyProtection="0">
      <alignment horizontal="right"/>
    </xf>
    <xf numFmtId="0" fontId="23" fillId="13" borderId="0" applyNumberFormat="0" applyBorder="0" applyAlignment="0" applyProtection="0"/>
    <xf numFmtId="0" fontId="2" fillId="0" borderId="0"/>
    <xf numFmtId="0" fontId="23" fillId="54" borderId="0" applyNumberFormat="0" applyBorder="0" applyAlignment="0" applyProtection="0"/>
    <xf numFmtId="3" fontId="73" fillId="0" borderId="0" applyBorder="0"/>
    <xf numFmtId="0" fontId="23" fillId="5" borderId="33" applyNumberFormat="0" applyFont="0" applyAlignment="0" applyProtection="0"/>
    <xf numFmtId="0" fontId="23" fillId="5" borderId="33" applyNumberFormat="0" applyFont="0" applyAlignment="0" applyProtection="0"/>
    <xf numFmtId="0" fontId="24" fillId="5" borderId="14" applyNumberFormat="0" applyFont="0" applyAlignment="0" applyProtection="0"/>
    <xf numFmtId="0" fontId="2" fillId="0" borderId="0"/>
    <xf numFmtId="0" fontId="24" fillId="0" borderId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46" fillId="0" borderId="0" applyNumberFormat="0" applyBorder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0" fontId="150" fillId="5" borderId="3" applyNumberFormat="0" applyAlignment="0" applyProtection="0"/>
    <xf numFmtId="43" fontId="46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" fillId="73" borderId="0" applyNumberFormat="0" applyBorder="0" applyAlignment="0" applyProtection="0"/>
    <xf numFmtId="0" fontId="2" fillId="66" borderId="0" applyNumberFormat="0" applyBorder="0" applyAlignment="0" applyProtection="0"/>
    <xf numFmtId="0" fontId="2" fillId="65" borderId="0" applyNumberFormat="0" applyBorder="0" applyAlignment="0" applyProtection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70" borderId="0" applyNumberFormat="0" applyBorder="0" applyAlignment="0" applyProtection="0"/>
    <xf numFmtId="43" fontId="2" fillId="0" borderId="0" applyFont="0" applyFill="0" applyBorder="0" applyAlignment="0" applyProtection="0"/>
    <xf numFmtId="0" fontId="2" fillId="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3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67" fillId="0" borderId="0"/>
    <xf numFmtId="0" fontId="2" fillId="0" borderId="0"/>
    <xf numFmtId="0" fontId="2" fillId="0" borderId="0"/>
    <xf numFmtId="0" fontId="2" fillId="0" borderId="0"/>
    <xf numFmtId="0" fontId="24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NumberFormat="0" applyFont="0" applyFill="0" applyBorder="0" applyAlignment="0" applyProtection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2" borderId="33" applyNumberFormat="0" applyFont="0" applyAlignment="0" applyProtection="0"/>
    <xf numFmtId="0" fontId="24" fillId="0" borderId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243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38" borderId="0" applyNumberFormat="0" applyBorder="0" applyAlignment="0" applyProtection="0"/>
    <xf numFmtId="0" fontId="2" fillId="73" borderId="0" applyNumberFormat="0" applyBorder="0" applyAlignment="0" applyProtection="0"/>
    <xf numFmtId="0" fontId="2" fillId="76" borderId="0" applyNumberFormat="0" applyBorder="0" applyAlignment="0" applyProtection="0"/>
    <xf numFmtId="0" fontId="2" fillId="77" borderId="0" applyNumberFormat="0" applyBorder="0" applyAlignment="0" applyProtection="0"/>
    <xf numFmtId="0" fontId="2" fillId="80" borderId="0" applyNumberFormat="0" applyBorder="0" applyAlignment="0" applyProtection="0"/>
    <xf numFmtId="0" fontId="2" fillId="81" borderId="0" applyNumberFormat="0" applyBorder="0" applyAlignment="0" applyProtection="0"/>
    <xf numFmtId="0" fontId="2" fillId="40" borderId="0" applyNumberFormat="0" applyBorder="0" applyAlignment="0" applyProtection="0"/>
    <xf numFmtId="0" fontId="2" fillId="83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2" borderId="33" applyNumberFormat="0" applyFont="0" applyAlignment="0" applyProtection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243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3" borderId="0" applyNumberFormat="0" applyBorder="0" applyAlignment="0" applyProtection="0"/>
    <xf numFmtId="0" fontId="1" fillId="0" borderId="0"/>
    <xf numFmtId="0" fontId="1" fillId="32" borderId="33" applyNumberFormat="0" applyFont="0" applyAlignment="0" applyProtection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1" borderId="0" applyNumberFormat="0" applyBorder="0" applyAlignment="0" applyProtection="0"/>
    <xf numFmtId="0" fontId="1" fillId="2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83" borderId="0" applyNumberFormat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" borderId="0" applyNumberFormat="0" applyBorder="0" applyAlignment="0" applyProtection="0"/>
    <xf numFmtId="0" fontId="1" fillId="0" borderId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0" borderId="0"/>
    <xf numFmtId="0" fontId="1" fillId="69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43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4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0" borderId="0" applyNumberFormat="0" applyBorder="0" applyAlignment="0" applyProtection="0"/>
    <xf numFmtId="43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66" borderId="0" applyNumberFormat="0" applyBorder="0" applyAlignment="0" applyProtection="0"/>
    <xf numFmtId="0" fontId="1" fillId="65" borderId="0" applyNumberFormat="0" applyBorder="0" applyAlignment="0" applyProtection="0"/>
    <xf numFmtId="0" fontId="1" fillId="0" borderId="0"/>
    <xf numFmtId="0" fontId="1" fillId="0" borderId="0"/>
    <xf numFmtId="0" fontId="1" fillId="70" borderId="0" applyNumberFormat="0" applyBorder="0" applyAlignment="0" applyProtection="0"/>
    <xf numFmtId="43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3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2" borderId="33" applyNumberFormat="0" applyFont="0" applyAlignment="0" applyProtection="0"/>
    <xf numFmtId="0" fontId="1" fillId="0" borderId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1" fillId="69" borderId="0" applyNumberFormat="0" applyBorder="0" applyAlignment="0" applyProtection="0"/>
    <xf numFmtId="0" fontId="1" fillId="70" borderId="0" applyNumberFormat="0" applyBorder="0" applyAlignment="0" applyProtection="0"/>
    <xf numFmtId="0" fontId="1" fillId="38" borderId="0" applyNumberFormat="0" applyBorder="0" applyAlignment="0" applyProtection="0"/>
    <xf numFmtId="0" fontId="1" fillId="73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40" borderId="0" applyNumberFormat="0" applyBorder="0" applyAlignment="0" applyProtection="0"/>
    <xf numFmtId="0" fontId="1" fillId="83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2" borderId="0" applyNumberFormat="0" applyBorder="0" applyAlignment="0" applyProtection="0"/>
    <xf numFmtId="0" fontId="1" fillId="4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2" borderId="33" applyNumberFormat="0" applyFont="0" applyAlignment="0" applyProtection="0"/>
    <xf numFmtId="0" fontId="1" fillId="0" borderId="0"/>
    <xf numFmtId="0" fontId="1" fillId="38" borderId="0" applyNumberFormat="0" applyBorder="0" applyAlignment="0" applyProtection="0"/>
    <xf numFmtId="0" fontId="1" fillId="40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243" fontId="1" fillId="0" borderId="0" applyFont="0" applyFill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1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43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1" fillId="0" borderId="0"/>
  </cellStyleXfs>
  <cellXfs count="1514">
    <xf numFmtId="0" fontId="0" fillId="0" borderId="0" xfId="0"/>
    <xf numFmtId="0" fontId="24" fillId="0" borderId="0" xfId="2" applyFont="1"/>
    <xf numFmtId="0" fontId="26" fillId="0" borderId="0" xfId="2" applyFont="1" applyFill="1" applyAlignment="1">
      <alignment vertical="center"/>
    </xf>
    <xf numFmtId="0" fontId="24" fillId="18" borderId="0" xfId="2" applyFont="1" applyFill="1"/>
    <xf numFmtId="0" fontId="27" fillId="0" borderId="0" xfId="527" applyNumberFormat="1" applyFont="1" applyFill="1" applyBorder="1" applyAlignment="1">
      <alignment horizontal="left"/>
    </xf>
    <xf numFmtId="0" fontId="24" fillId="0" borderId="0" xfId="2" applyFont="1" applyFill="1"/>
    <xf numFmtId="164" fontId="24" fillId="0" borderId="0" xfId="2" applyNumberFormat="1" applyFont="1"/>
    <xf numFmtId="0" fontId="29" fillId="0" borderId="0" xfId="2" applyFont="1"/>
    <xf numFmtId="0" fontId="30" fillId="0" borderId="7" xfId="2" applyFont="1" applyBorder="1"/>
    <xf numFmtId="0" fontId="30" fillId="0" borderId="20" xfId="2" applyFont="1" applyBorder="1"/>
    <xf numFmtId="0" fontId="29" fillId="0" borderId="0" xfId="2" applyFont="1" applyFill="1"/>
    <xf numFmtId="0" fontId="31" fillId="0" borderId="1" xfId="2" applyFont="1" applyBorder="1"/>
    <xf numFmtId="0" fontId="31" fillId="0" borderId="21" xfId="2" applyFont="1" applyBorder="1"/>
    <xf numFmtId="0" fontId="29" fillId="0" borderId="0" xfId="2" applyFont="1" applyBorder="1"/>
    <xf numFmtId="0" fontId="29" fillId="0" borderId="22" xfId="2" applyFont="1" applyBorder="1"/>
    <xf numFmtId="0" fontId="29" fillId="0" borderId="23" xfId="2" applyFont="1" applyBorder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0" fontId="29" fillId="0" borderId="26" xfId="2" applyFont="1" applyBorder="1"/>
    <xf numFmtId="0" fontId="29" fillId="0" borderId="1" xfId="2" applyFont="1" applyBorder="1"/>
    <xf numFmtId="0" fontId="29" fillId="0" borderId="1" xfId="2" applyFont="1" applyFill="1" applyBorder="1"/>
    <xf numFmtId="0" fontId="29" fillId="0" borderId="21" xfId="2" applyFont="1" applyFill="1" applyBorder="1"/>
    <xf numFmtId="167" fontId="34" fillId="0" borderId="1" xfId="2" applyNumberFormat="1" applyFont="1" applyFill="1" applyBorder="1" applyAlignment="1"/>
    <xf numFmtId="167" fontId="34" fillId="0" borderId="0" xfId="2" applyNumberFormat="1" applyFont="1" applyFill="1" applyBorder="1" applyAlignment="1"/>
    <xf numFmtId="167" fontId="29" fillId="0" borderId="0" xfId="2" applyNumberFormat="1" applyFont="1" applyFill="1" applyBorder="1" applyAlignment="1"/>
    <xf numFmtId="167" fontId="29" fillId="0" borderId="1" xfId="2" applyNumberFormat="1" applyFont="1" applyFill="1" applyBorder="1" applyAlignment="1"/>
    <xf numFmtId="0" fontId="29" fillId="0" borderId="1" xfId="2" applyFont="1" applyFill="1" applyBorder="1" applyAlignment="1">
      <alignment horizontal="left" indent="1"/>
    </xf>
    <xf numFmtId="0" fontId="29" fillId="0" borderId="21" xfId="2" applyFont="1" applyFill="1" applyBorder="1" applyAlignment="1">
      <alignment horizontal="left" indent="1"/>
    </xf>
    <xf numFmtId="164" fontId="34" fillId="0" borderId="1" xfId="2" applyNumberFormat="1" applyFont="1" applyFill="1" applyBorder="1" applyAlignment="1"/>
    <xf numFmtId="164" fontId="34" fillId="0" borderId="0" xfId="2" applyNumberFormat="1" applyFont="1" applyFill="1" applyBorder="1" applyAlignment="1"/>
    <xf numFmtId="164" fontId="34" fillId="0" borderId="21" xfId="2" applyNumberFormat="1" applyFont="1" applyFill="1" applyBorder="1" applyAlignment="1"/>
    <xf numFmtId="164" fontId="29" fillId="0" borderId="0" xfId="2" applyNumberFormat="1" applyFont="1" applyFill="1" applyBorder="1" applyAlignment="1"/>
    <xf numFmtId="164" fontId="29" fillId="0" borderId="21" xfId="2" applyNumberFormat="1" applyFont="1" applyFill="1" applyBorder="1" applyAlignment="1"/>
    <xf numFmtId="164" fontId="29" fillId="0" borderId="1" xfId="2" applyNumberFormat="1" applyFont="1" applyFill="1" applyBorder="1" applyAlignment="1"/>
    <xf numFmtId="0" fontId="31" fillId="0" borderId="1" xfId="2" applyFont="1" applyFill="1" applyBorder="1" applyAlignment="1">
      <alignment horizontal="left" indent="1"/>
    </xf>
    <xf numFmtId="0" fontId="31" fillId="0" borderId="21" xfId="2" applyFont="1" applyFill="1" applyBorder="1" applyAlignment="1">
      <alignment horizontal="left" indent="1"/>
    </xf>
    <xf numFmtId="169" fontId="34" fillId="0" borderId="0" xfId="2" applyNumberFormat="1" applyFont="1" applyFill="1" applyBorder="1" applyAlignment="1"/>
    <xf numFmtId="169" fontId="34" fillId="0" borderId="21" xfId="2" applyNumberFormat="1" applyFont="1" applyFill="1" applyBorder="1" applyAlignment="1"/>
    <xf numFmtId="169" fontId="34" fillId="0" borderId="1" xfId="2" applyNumberFormat="1" applyFont="1" applyFill="1" applyBorder="1" applyAlignment="1"/>
    <xf numFmtId="169" fontId="34" fillId="0" borderId="0" xfId="2" applyNumberFormat="1" applyFont="1" applyFill="1" applyBorder="1"/>
    <xf numFmtId="169" fontId="34" fillId="0" borderId="21" xfId="2" applyNumberFormat="1" applyFont="1" applyFill="1" applyBorder="1"/>
    <xf numFmtId="170" fontId="34" fillId="0" borderId="0" xfId="2" applyNumberFormat="1" applyFont="1" applyFill="1" applyBorder="1" applyAlignment="1"/>
    <xf numFmtId="0" fontId="30" fillId="0" borderId="1" xfId="2" applyFont="1" applyFill="1" applyBorder="1"/>
    <xf numFmtId="0" fontId="30" fillId="0" borderId="21" xfId="2" applyFont="1" applyFill="1" applyBorder="1"/>
    <xf numFmtId="164" fontId="30" fillId="0" borderId="1" xfId="2" applyNumberFormat="1" applyFont="1" applyFill="1" applyBorder="1" applyAlignment="1"/>
    <xf numFmtId="164" fontId="30" fillId="0" borderId="0" xfId="2" applyNumberFormat="1" applyFont="1" applyFill="1" applyBorder="1" applyAlignment="1"/>
    <xf numFmtId="164" fontId="30" fillId="0" borderId="21" xfId="2" applyNumberFormat="1" applyFont="1" applyFill="1" applyBorder="1" applyAlignment="1"/>
    <xf numFmtId="0" fontId="29" fillId="0" borderId="1" xfId="2" applyFont="1" applyFill="1" applyBorder="1" applyAlignment="1">
      <alignment horizontal="left" indent="2"/>
    </xf>
    <xf numFmtId="0" fontId="29" fillId="0" borderId="21" xfId="2" applyFont="1" applyFill="1" applyBorder="1" applyAlignment="1">
      <alignment horizontal="left" indent="2"/>
    </xf>
    <xf numFmtId="169" fontId="34" fillId="0" borderId="1" xfId="2" applyNumberFormat="1" applyFont="1" applyFill="1" applyBorder="1"/>
    <xf numFmtId="168" fontId="37" fillId="0" borderId="1" xfId="541" applyNumberFormat="1" applyFont="1" applyFill="1" applyBorder="1" applyAlignment="1"/>
    <xf numFmtId="168" fontId="37" fillId="0" borderId="0" xfId="541" applyNumberFormat="1" applyFont="1" applyFill="1" applyBorder="1" applyAlignment="1"/>
    <xf numFmtId="168" fontId="37" fillId="0" borderId="21" xfId="541" applyNumberFormat="1" applyFont="1" applyFill="1" applyBorder="1" applyAlignment="1"/>
    <xf numFmtId="172" fontId="29" fillId="0" borderId="0" xfId="2" applyNumberFormat="1" applyFont="1" applyFill="1" applyBorder="1" applyAlignment="1"/>
    <xf numFmtId="172" fontId="29" fillId="0" borderId="21" xfId="2" applyNumberFormat="1" applyFont="1" applyFill="1" applyBorder="1" applyAlignment="1"/>
    <xf numFmtId="170" fontId="34" fillId="0" borderId="1" xfId="2" applyNumberFormat="1" applyFont="1" applyFill="1" applyBorder="1"/>
    <xf numFmtId="170" fontId="34" fillId="0" borderId="0" xfId="2" applyNumberFormat="1" applyFont="1" applyFill="1" applyBorder="1"/>
    <xf numFmtId="169" fontId="39" fillId="0" borderId="0" xfId="2" applyNumberFormat="1" applyFont="1" applyFill="1" applyBorder="1" applyAlignment="1"/>
    <xf numFmtId="170" fontId="40" fillId="0" borderId="0" xfId="2" applyNumberFormat="1" applyFont="1" applyFill="1" applyBorder="1"/>
    <xf numFmtId="0" fontId="29" fillId="0" borderId="22" xfId="2" applyFont="1" applyFill="1" applyBorder="1"/>
    <xf numFmtId="0" fontId="29" fillId="0" borderId="23" xfId="2" applyFont="1" applyFill="1" applyBorder="1"/>
    <xf numFmtId="0" fontId="29" fillId="0" borderId="17" xfId="2" applyFont="1" applyFill="1" applyBorder="1"/>
    <xf numFmtId="0" fontId="29" fillId="0" borderId="0" xfId="2" applyFont="1" applyFill="1" applyBorder="1"/>
    <xf numFmtId="37" fontId="34" fillId="0" borderId="0" xfId="2" applyNumberFormat="1" applyFont="1" applyFill="1" applyBorder="1"/>
    <xf numFmtId="43" fontId="34" fillId="0" borderId="0" xfId="2" applyNumberFormat="1" applyFont="1" applyFill="1" applyBorder="1"/>
    <xf numFmtId="0" fontId="29" fillId="0" borderId="2" xfId="2" applyFont="1" applyFill="1" applyBorder="1"/>
    <xf numFmtId="0" fontId="29" fillId="0" borderId="7" xfId="2" applyFont="1" applyFill="1" applyBorder="1"/>
    <xf numFmtId="0" fontId="29" fillId="0" borderId="20" xfId="2" applyFont="1" applyFill="1" applyBorder="1"/>
    <xf numFmtId="164" fontId="34" fillId="0" borderId="7" xfId="2" applyNumberFormat="1" applyFont="1" applyFill="1" applyBorder="1"/>
    <xf numFmtId="164" fontId="34" fillId="0" borderId="17" xfId="2" applyNumberFormat="1" applyFont="1" applyFill="1" applyBorder="1"/>
    <xf numFmtId="164" fontId="34" fillId="0" borderId="20" xfId="2" applyNumberFormat="1" applyFont="1" applyFill="1" applyBorder="1"/>
    <xf numFmtId="174" fontId="29" fillId="0" borderId="17" xfId="2" applyNumberFormat="1" applyFont="1" applyFill="1" applyBorder="1"/>
    <xf numFmtId="174" fontId="29" fillId="0" borderId="20" xfId="2" applyNumberFormat="1" applyFont="1" applyFill="1" applyBorder="1"/>
    <xf numFmtId="164" fontId="29" fillId="0" borderId="1" xfId="2" applyNumberFormat="1" applyFont="1" applyFill="1" applyBorder="1"/>
    <xf numFmtId="164" fontId="29" fillId="0" borderId="0" xfId="2" applyNumberFormat="1" applyFont="1" applyFill="1" applyBorder="1"/>
    <xf numFmtId="164" fontId="29" fillId="0" borderId="21" xfId="2" applyNumberFormat="1" applyFont="1" applyFill="1" applyBorder="1"/>
    <xf numFmtId="164" fontId="34" fillId="0" borderId="1" xfId="2" applyNumberFormat="1" applyFont="1" applyFill="1" applyBorder="1"/>
    <xf numFmtId="164" fontId="34" fillId="0" borderId="0" xfId="2" applyNumberFormat="1" applyFont="1" applyFill="1" applyBorder="1"/>
    <xf numFmtId="164" fontId="34" fillId="0" borderId="21" xfId="2" applyNumberFormat="1" applyFont="1" applyFill="1" applyBorder="1"/>
    <xf numFmtId="174" fontId="29" fillId="0" borderId="0" xfId="2" applyNumberFormat="1" applyFont="1" applyFill="1" applyBorder="1"/>
    <xf numFmtId="174" fontId="29" fillId="0" borderId="21" xfId="2" applyNumberFormat="1" applyFont="1" applyFill="1" applyBorder="1"/>
    <xf numFmtId="175" fontId="31" fillId="0" borderId="1" xfId="2" applyNumberFormat="1" applyFont="1" applyFill="1" applyBorder="1"/>
    <xf numFmtId="175" fontId="31" fillId="0" borderId="0" xfId="2" applyNumberFormat="1" applyFont="1" applyFill="1" applyBorder="1"/>
    <xf numFmtId="175" fontId="31" fillId="0" borderId="21" xfId="2" applyNumberFormat="1" applyFont="1" applyFill="1" applyBorder="1"/>
    <xf numFmtId="174" fontId="34" fillId="0" borderId="0" xfId="2" applyNumberFormat="1" applyFont="1" applyFill="1" applyBorder="1"/>
    <xf numFmtId="174" fontId="34" fillId="0" borderId="21" xfId="2" applyNumberFormat="1" applyFont="1" applyFill="1" applyBorder="1"/>
    <xf numFmtId="168" fontId="31" fillId="0" borderId="0" xfId="541" applyNumberFormat="1" applyFont="1" applyFill="1" applyBorder="1"/>
    <xf numFmtId="168" fontId="31" fillId="0" borderId="21" xfId="541" applyNumberFormat="1" applyFont="1" applyFill="1" applyBorder="1"/>
    <xf numFmtId="168" fontId="35" fillId="0" borderId="0" xfId="541" applyNumberFormat="1" applyFont="1" applyFill="1" applyBorder="1"/>
    <xf numFmtId="168" fontId="35" fillId="0" borderId="21" xfId="541" applyNumberFormat="1" applyFont="1" applyFill="1" applyBorder="1"/>
    <xf numFmtId="168" fontId="35" fillId="0" borderId="1" xfId="541" applyNumberFormat="1" applyFont="1" applyFill="1" applyBorder="1"/>
    <xf numFmtId="0" fontId="29" fillId="0" borderId="1" xfId="2" applyFont="1" applyFill="1" applyBorder="1" applyAlignment="1">
      <alignment horizontal="left"/>
    </xf>
    <xf numFmtId="0" fontId="29" fillId="0" borderId="21" xfId="2" applyFont="1" applyFill="1" applyBorder="1" applyAlignment="1">
      <alignment horizontal="left"/>
    </xf>
    <xf numFmtId="169" fontId="29" fillId="0" borderId="1" xfId="2" applyNumberFormat="1" applyFont="1" applyFill="1" applyBorder="1"/>
    <xf numFmtId="169" fontId="29" fillId="0" borderId="0" xfId="2" applyNumberFormat="1" applyFont="1" applyFill="1" applyBorder="1"/>
    <xf numFmtId="169" fontId="29" fillId="0" borderId="21" xfId="2" applyNumberFormat="1" applyFont="1" applyFill="1" applyBorder="1"/>
    <xf numFmtId="0" fontId="29" fillId="0" borderId="0" xfId="2" applyFont="1" applyFill="1" applyBorder="1" applyAlignment="1">
      <alignment horizontal="left" wrapText="1" indent="2"/>
    </xf>
    <xf numFmtId="37" fontId="29" fillId="0" borderId="0" xfId="2" applyNumberFormat="1" applyFont="1" applyFill="1" applyAlignment="1">
      <alignment horizontal="center"/>
    </xf>
    <xf numFmtId="0" fontId="41" fillId="0" borderId="0" xfId="2" applyFont="1"/>
    <xf numFmtId="0" fontId="42" fillId="0" borderId="0" xfId="2" applyFont="1"/>
    <xf numFmtId="166" fontId="30" fillId="0" borderId="1" xfId="526" applyFont="1" applyFill="1" applyBorder="1"/>
    <xf numFmtId="166" fontId="30" fillId="0" borderId="21" xfId="526" applyFont="1" applyFill="1" applyBorder="1"/>
    <xf numFmtId="0" fontId="34" fillId="0" borderId="0" xfId="2" applyFont="1" applyFill="1" applyBorder="1"/>
    <xf numFmtId="0" fontId="34" fillId="0" borderId="21" xfId="2" applyFont="1" applyFill="1" applyBorder="1"/>
    <xf numFmtId="0" fontId="34" fillId="0" borderId="1" xfId="2" applyFont="1" applyFill="1" applyBorder="1"/>
    <xf numFmtId="0" fontId="34" fillId="0" borderId="17" xfId="2" applyFont="1" applyFill="1" applyBorder="1"/>
    <xf numFmtId="0" fontId="34" fillId="0" borderId="20" xfId="2" applyFont="1" applyFill="1" applyBorder="1"/>
    <xf numFmtId="164" fontId="29" fillId="0" borderId="26" xfId="2" applyNumberFormat="1" applyFont="1" applyBorder="1"/>
    <xf numFmtId="0" fontId="29" fillId="0" borderId="22" xfId="2" applyFont="1" applyFill="1" applyBorder="1" applyAlignment="1">
      <alignment horizontal="left" indent="1"/>
    </xf>
    <xf numFmtId="0" fontId="29" fillId="0" borderId="23" xfId="2" applyFont="1" applyFill="1" applyBorder="1" applyAlignment="1">
      <alignment horizontal="left" indent="1"/>
    </xf>
    <xf numFmtId="164" fontId="29" fillId="0" borderId="2" xfId="2" applyNumberFormat="1" applyFont="1" applyFill="1" applyBorder="1"/>
    <xf numFmtId="164" fontId="29" fillId="0" borderId="23" xfId="2" applyNumberFormat="1" applyFont="1" applyFill="1" applyBorder="1"/>
    <xf numFmtId="166" fontId="30" fillId="0" borderId="1" xfId="526" applyNumberFormat="1" applyFont="1" applyFill="1" applyBorder="1" applyAlignment="1"/>
    <xf numFmtId="166" fontId="30" fillId="0" borderId="21" xfId="526" applyNumberFormat="1" applyFont="1" applyFill="1" applyBorder="1" applyAlignment="1"/>
    <xf numFmtId="164" fontId="30" fillId="0" borderId="17" xfId="2" applyNumberFormat="1" applyFont="1" applyFill="1" applyBorder="1"/>
    <xf numFmtId="164" fontId="30" fillId="0" borderId="20" xfId="2" applyNumberFormat="1" applyFont="1" applyFill="1" applyBorder="1"/>
    <xf numFmtId="164" fontId="30" fillId="0" borderId="7" xfId="2" applyNumberFormat="1" applyFont="1" applyFill="1" applyBorder="1"/>
    <xf numFmtId="164" fontId="30" fillId="0" borderId="0" xfId="2" applyNumberFormat="1" applyFont="1" applyFill="1" applyBorder="1"/>
    <xf numFmtId="164" fontId="30" fillId="0" borderId="21" xfId="2" applyNumberFormat="1" applyFont="1" applyFill="1" applyBorder="1"/>
    <xf numFmtId="164" fontId="34" fillId="0" borderId="0" xfId="246" applyNumberFormat="1" applyFont="1" applyFill="1" applyBorder="1"/>
    <xf numFmtId="164" fontId="34" fillId="0" borderId="1" xfId="246" applyNumberFormat="1" applyFont="1" applyFill="1" applyBorder="1"/>
    <xf numFmtId="166" fontId="30" fillId="0" borderId="24" xfId="526" applyFont="1" applyFill="1" applyBorder="1"/>
    <xf numFmtId="166" fontId="30" fillId="0" borderId="25" xfId="526" applyFont="1" applyFill="1" applyBorder="1"/>
    <xf numFmtId="164" fontId="30" fillId="0" borderId="6" xfId="2" applyNumberFormat="1" applyFont="1" applyFill="1" applyBorder="1"/>
    <xf numFmtId="164" fontId="30" fillId="0" borderId="25" xfId="2" applyNumberFormat="1" applyFont="1" applyFill="1" applyBorder="1"/>
    <xf numFmtId="164" fontId="30" fillId="0" borderId="24" xfId="2" applyNumberFormat="1" applyFont="1" applyFill="1" applyBorder="1"/>
    <xf numFmtId="37" fontId="30" fillId="0" borderId="1" xfId="526" applyNumberFormat="1" applyFont="1" applyFill="1" applyBorder="1"/>
    <xf numFmtId="37" fontId="30" fillId="0" borderId="21" xfId="526" applyNumberFormat="1" applyFont="1" applyFill="1" applyBorder="1"/>
    <xf numFmtId="164" fontId="39" fillId="0" borderId="0" xfId="2" applyNumberFormat="1" applyFont="1" applyFill="1" applyBorder="1"/>
    <xf numFmtId="164" fontId="39" fillId="0" borderId="21" xfId="2" applyNumberFormat="1" applyFont="1" applyFill="1" applyBorder="1"/>
    <xf numFmtId="164" fontId="39" fillId="0" borderId="1" xfId="2" applyNumberFormat="1" applyFont="1" applyFill="1" applyBorder="1"/>
    <xf numFmtId="164" fontId="30" fillId="0" borderId="1" xfId="2" applyNumberFormat="1" applyFont="1" applyFill="1" applyBorder="1"/>
    <xf numFmtId="37" fontId="30" fillId="0" borderId="24" xfId="526" applyNumberFormat="1" applyFont="1" applyFill="1" applyBorder="1"/>
    <xf numFmtId="37" fontId="30" fillId="0" borderId="25" xfId="526" applyNumberFormat="1" applyFont="1" applyFill="1" applyBorder="1"/>
    <xf numFmtId="0" fontId="29" fillId="0" borderId="6" xfId="2" applyFont="1" applyFill="1" applyBorder="1"/>
    <xf numFmtId="0" fontId="43" fillId="0" borderId="24" xfId="2" applyFont="1" applyFill="1" applyBorder="1"/>
    <xf numFmtId="0" fontId="43" fillId="0" borderId="25" xfId="2" applyFont="1" applyFill="1" applyBorder="1"/>
    <xf numFmtId="177" fontId="43" fillId="0" borderId="6" xfId="246" applyNumberFormat="1" applyFont="1" applyFill="1" applyBorder="1"/>
    <xf numFmtId="177" fontId="43" fillId="0" borderId="25" xfId="246" applyNumberFormat="1" applyFont="1" applyFill="1" applyBorder="1"/>
    <xf numFmtId="177" fontId="43" fillId="0" borderId="24" xfId="246" applyNumberFormat="1" applyFont="1" applyFill="1" applyBorder="1"/>
    <xf numFmtId="178" fontId="34" fillId="0" borderId="0" xfId="2" applyNumberFormat="1" applyFont="1" applyFill="1" applyBorder="1"/>
    <xf numFmtId="178" fontId="34" fillId="0" borderId="17" xfId="2" applyNumberFormat="1" applyFont="1" applyFill="1" applyBorder="1"/>
    <xf numFmtId="43" fontId="34" fillId="0" borderId="17" xfId="2" applyNumberFormat="1" applyFont="1" applyFill="1" applyBorder="1"/>
    <xf numFmtId="37" fontId="34" fillId="0" borderId="2" xfId="2" applyNumberFormat="1" applyFont="1" applyFill="1" applyBorder="1"/>
    <xf numFmtId="0" fontId="34" fillId="0" borderId="2" xfId="2" applyFont="1" applyFill="1" applyBorder="1"/>
    <xf numFmtId="0" fontId="30" fillId="18" borderId="24" xfId="2" applyFont="1" applyFill="1" applyBorder="1" applyAlignment="1">
      <alignment horizontal="left"/>
    </xf>
    <xf numFmtId="0" fontId="30" fillId="18" borderId="25" xfId="2" applyFont="1" applyFill="1" applyBorder="1" applyAlignment="1">
      <alignment horizontal="left"/>
    </xf>
    <xf numFmtId="164" fontId="29" fillId="0" borderId="17" xfId="2" applyNumberFormat="1" applyFont="1" applyFill="1" applyBorder="1"/>
    <xf numFmtId="168" fontId="31" fillId="0" borderId="1" xfId="541" applyNumberFormat="1" applyFont="1" applyFill="1" applyBorder="1"/>
    <xf numFmtId="0" fontId="29" fillId="0" borderId="7" xfId="2" applyFont="1" applyFill="1" applyBorder="1" applyAlignment="1">
      <alignment horizontal="left"/>
    </xf>
    <xf numFmtId="0" fontId="29" fillId="0" borderId="20" xfId="2" applyFont="1" applyFill="1" applyBorder="1" applyAlignment="1">
      <alignment horizontal="left"/>
    </xf>
    <xf numFmtId="164" fontId="29" fillId="0" borderId="20" xfId="2" applyNumberFormat="1" applyFont="1" applyFill="1" applyBorder="1"/>
    <xf numFmtId="164" fontId="29" fillId="0" borderId="7" xfId="2" applyNumberFormat="1" applyFont="1" applyFill="1" applyBorder="1"/>
    <xf numFmtId="0" fontId="30" fillId="0" borderId="24" xfId="2" applyFont="1" applyFill="1" applyBorder="1" applyAlignment="1">
      <alignment horizontal="left" indent="1"/>
    </xf>
    <xf numFmtId="0" fontId="30" fillId="0" borderId="25" xfId="2" applyFont="1" applyFill="1" applyBorder="1" applyAlignment="1">
      <alignment horizontal="left" indent="1"/>
    </xf>
    <xf numFmtId="180" fontId="30" fillId="0" borderId="6" xfId="2" applyNumberFormat="1" applyFont="1" applyFill="1" applyBorder="1"/>
    <xf numFmtId="180" fontId="30" fillId="0" borderId="25" xfId="2" applyNumberFormat="1" applyFont="1" applyFill="1" applyBorder="1"/>
    <xf numFmtId="180" fontId="30" fillId="0" borderId="24" xfId="2" applyNumberFormat="1" applyFont="1" applyFill="1" applyBorder="1"/>
    <xf numFmtId="164" fontId="34" fillId="0" borderId="23" xfId="2" applyNumberFormat="1" applyFont="1" applyFill="1" applyBorder="1"/>
    <xf numFmtId="37" fontId="30" fillId="0" borderId="0" xfId="526" applyNumberFormat="1" applyFont="1" applyFill="1" applyBorder="1"/>
    <xf numFmtId="164" fontId="29" fillId="0" borderId="6" xfId="2" applyNumberFormat="1" applyFont="1" applyFill="1" applyBorder="1"/>
    <xf numFmtId="177" fontId="29" fillId="0" borderId="17" xfId="246" applyNumberFormat="1" applyFont="1" applyFill="1" applyBorder="1"/>
    <xf numFmtId="177" fontId="29" fillId="0" borderId="25" xfId="246" applyNumberFormat="1" applyFont="1" applyFill="1" applyBorder="1"/>
    <xf numFmtId="177" fontId="29" fillId="0" borderId="7" xfId="246" applyNumberFormat="1" applyFont="1" applyFill="1" applyBorder="1"/>
    <xf numFmtId="177" fontId="29" fillId="0" borderId="20" xfId="246" applyNumberFormat="1" applyFont="1" applyFill="1" applyBorder="1"/>
    <xf numFmtId="0" fontId="29" fillId="0" borderId="26" xfId="2" applyFont="1" applyFill="1" applyBorder="1"/>
    <xf numFmtId="177" fontId="43" fillId="0" borderId="6" xfId="246" applyNumberFormat="1" applyFont="1" applyFill="1" applyBorder="1" applyAlignment="1"/>
    <xf numFmtId="164" fontId="29" fillId="24" borderId="1" xfId="525" applyNumberFormat="1" applyFont="1" applyFill="1" applyBorder="1"/>
    <xf numFmtId="164" fontId="44" fillId="24" borderId="0" xfId="525" applyNumberFormat="1" applyFont="1" applyFill="1" applyBorder="1"/>
    <xf numFmtId="164" fontId="44" fillId="24" borderId="21" xfId="525" applyNumberFormat="1" applyFont="1" applyFill="1" applyBorder="1"/>
    <xf numFmtId="0" fontId="34" fillId="0" borderId="0" xfId="2" applyFont="1" applyAlignment="1">
      <alignment horizontal="center"/>
    </xf>
    <xf numFmtId="164" fontId="29" fillId="0" borderId="0" xfId="2" applyNumberFormat="1" applyFont="1" applyAlignment="1">
      <alignment horizontal="center"/>
    </xf>
    <xf numFmtId="181" fontId="29" fillId="0" borderId="0" xfId="2" applyNumberFormat="1" applyFont="1"/>
    <xf numFmtId="0" fontId="24" fillId="0" borderId="0" xfId="2" applyFont="1" applyFill="1" applyBorder="1" applyAlignment="1">
      <alignment horizontal="left" wrapText="1" indent="2"/>
    </xf>
    <xf numFmtId="0" fontId="24" fillId="0" borderId="0" xfId="2" applyFont="1" applyBorder="1"/>
    <xf numFmtId="2" fontId="24" fillId="0" borderId="0" xfId="2" applyNumberFormat="1" applyFont="1"/>
    <xf numFmtId="0" fontId="31" fillId="0" borderId="23" xfId="2" applyFont="1" applyBorder="1"/>
    <xf numFmtId="0" fontId="30" fillId="0" borderId="7" xfId="2" applyFont="1" applyFill="1" applyBorder="1"/>
    <xf numFmtId="37" fontId="29" fillId="0" borderId="0" xfId="2" applyNumberFormat="1" applyFont="1" applyFill="1" applyBorder="1"/>
    <xf numFmtId="37" fontId="29" fillId="0" borderId="21" xfId="2" applyNumberFormat="1" applyFont="1" applyFill="1" applyBorder="1"/>
    <xf numFmtId="37" fontId="29" fillId="0" borderId="1" xfId="2" applyNumberFormat="1" applyFont="1" applyFill="1" applyBorder="1"/>
    <xf numFmtId="37" fontId="29" fillId="0" borderId="17" xfId="2" applyNumberFormat="1" applyFont="1" applyFill="1" applyBorder="1"/>
    <xf numFmtId="37" fontId="29" fillId="0" borderId="20" xfId="2" applyNumberFormat="1" applyFont="1" applyFill="1" applyBorder="1"/>
    <xf numFmtId="0" fontId="29" fillId="0" borderId="1" xfId="2" applyFont="1" applyFill="1" applyBorder="1" applyAlignment="1">
      <alignment horizontal="left" wrapText="1" indent="1"/>
    </xf>
    <xf numFmtId="0" fontId="29" fillId="0" borderId="21" xfId="2" applyFont="1" applyFill="1" applyBorder="1" applyAlignment="1">
      <alignment horizontal="left" wrapText="1" indent="1"/>
    </xf>
    <xf numFmtId="41" fontId="34" fillId="0" borderId="0" xfId="2" applyNumberFormat="1" applyFont="1" applyFill="1" applyBorder="1"/>
    <xf numFmtId="41" fontId="34" fillId="0" borderId="21" xfId="2" applyNumberFormat="1" applyFont="1" applyFill="1" applyBorder="1"/>
    <xf numFmtId="41" fontId="34" fillId="0" borderId="1" xfId="2" applyNumberFormat="1" applyFont="1" applyFill="1" applyBorder="1"/>
    <xf numFmtId="180" fontId="29" fillId="0" borderId="0" xfId="2" applyNumberFormat="1" applyFont="1" applyFill="1" applyBorder="1"/>
    <xf numFmtId="180" fontId="29" fillId="0" borderId="21" xfId="2" applyNumberFormat="1" applyFont="1" applyFill="1" applyBorder="1"/>
    <xf numFmtId="180" fontId="29" fillId="0" borderId="1" xfId="2" applyNumberFormat="1" applyFont="1" applyFill="1" applyBorder="1"/>
    <xf numFmtId="180" fontId="34" fillId="0" borderId="0" xfId="2" applyNumberFormat="1" applyFont="1" applyFill="1" applyBorder="1"/>
    <xf numFmtId="180" fontId="34" fillId="0" borderId="21" xfId="2" applyNumberFormat="1" applyFont="1" applyFill="1" applyBorder="1"/>
    <xf numFmtId="180" fontId="34" fillId="0" borderId="1" xfId="2" applyNumberFormat="1" applyFont="1" applyFill="1" applyBorder="1"/>
    <xf numFmtId="0" fontId="30" fillId="0" borderId="27" xfId="2" applyFont="1" applyFill="1" applyBorder="1" applyAlignment="1">
      <alignment horizontal="left"/>
    </xf>
    <xf numFmtId="0" fontId="30" fillId="0" borderId="28" xfId="2" applyFont="1" applyFill="1" applyBorder="1" applyAlignment="1">
      <alignment horizontal="left"/>
    </xf>
    <xf numFmtId="180" fontId="30" fillId="0" borderId="29" xfId="2" applyNumberFormat="1" applyFont="1" applyFill="1" applyBorder="1"/>
    <xf numFmtId="180" fontId="30" fillId="0" borderId="27" xfId="2" applyNumberFormat="1" applyFont="1" applyFill="1" applyBorder="1"/>
    <xf numFmtId="180" fontId="30" fillId="0" borderId="28" xfId="2" applyNumberFormat="1" applyFont="1" applyFill="1" applyBorder="1"/>
    <xf numFmtId="0" fontId="30" fillId="0" borderId="1" xfId="2" applyFont="1" applyFill="1" applyBorder="1" applyAlignment="1">
      <alignment horizontal="left"/>
    </xf>
    <xf numFmtId="0" fontId="30" fillId="0" borderId="21" xfId="2" applyFont="1" applyFill="1" applyBorder="1" applyAlignment="1">
      <alignment horizontal="left"/>
    </xf>
    <xf numFmtId="180" fontId="36" fillId="0" borderId="0" xfId="2" applyNumberFormat="1" applyFont="1" applyFill="1" applyBorder="1"/>
    <xf numFmtId="180" fontId="30" fillId="0" borderId="0" xfId="2" applyNumberFormat="1" applyFont="1" applyFill="1" applyBorder="1"/>
    <xf numFmtId="180" fontId="30" fillId="0" borderId="1" xfId="2" applyNumberFormat="1" applyFont="1" applyFill="1" applyBorder="1"/>
    <xf numFmtId="180" fontId="30" fillId="0" borderId="21" xfId="2" applyNumberFormat="1" applyFont="1" applyFill="1" applyBorder="1"/>
    <xf numFmtId="180" fontId="39" fillId="0" borderId="0" xfId="2" applyNumberFormat="1" applyFont="1" applyFill="1" applyBorder="1"/>
    <xf numFmtId="180" fontId="39" fillId="0" borderId="21" xfId="2" applyNumberFormat="1" applyFont="1" applyFill="1" applyBorder="1"/>
    <xf numFmtId="180" fontId="39" fillId="0" borderId="1" xfId="2" applyNumberFormat="1" applyFont="1" applyFill="1" applyBorder="1"/>
    <xf numFmtId="0" fontId="30" fillId="0" borderId="22" xfId="2" applyFont="1" applyFill="1" applyBorder="1" applyAlignment="1">
      <alignment horizontal="left"/>
    </xf>
    <xf numFmtId="0" fontId="30" fillId="0" borderId="23" xfId="2" applyFont="1" applyFill="1" applyBorder="1" applyAlignment="1">
      <alignment horizontal="left"/>
    </xf>
    <xf numFmtId="180" fontId="30" fillId="0" borderId="2" xfId="2" applyNumberFormat="1" applyFont="1" applyFill="1" applyBorder="1"/>
    <xf numFmtId="180" fontId="30" fillId="0" borderId="22" xfId="2" applyNumberFormat="1" applyFont="1" applyFill="1" applyBorder="1"/>
    <xf numFmtId="180" fontId="30" fillId="0" borderId="23" xfId="2" applyNumberFormat="1" applyFont="1" applyFill="1" applyBorder="1"/>
    <xf numFmtId="0" fontId="30" fillId="0" borderId="0" xfId="2" applyFont="1" applyFill="1" applyBorder="1" applyAlignment="1">
      <alignment horizontal="left"/>
    </xf>
    <xf numFmtId="180" fontId="30" fillId="0" borderId="17" xfId="2" applyNumberFormat="1" applyFont="1" applyFill="1" applyBorder="1"/>
    <xf numFmtId="0" fontId="29" fillId="0" borderId="25" xfId="2" applyFont="1" applyFill="1" applyBorder="1"/>
    <xf numFmtId="177" fontId="29" fillId="0" borderId="6" xfId="246" applyNumberFormat="1" applyFont="1" applyFill="1" applyBorder="1"/>
    <xf numFmtId="177" fontId="43" fillId="0" borderId="2" xfId="246" applyNumberFormat="1" applyFont="1" applyFill="1" applyBorder="1"/>
    <xf numFmtId="177" fontId="43" fillId="0" borderId="23" xfId="246" applyNumberFormat="1" applyFont="1" applyFill="1" applyBorder="1"/>
    <xf numFmtId="0" fontId="31" fillId="0" borderId="0" xfId="2" applyFont="1" applyFill="1" applyBorder="1"/>
    <xf numFmtId="37" fontId="39" fillId="0" borderId="0" xfId="2" applyNumberFormat="1" applyFont="1" applyFill="1" applyBorder="1"/>
    <xf numFmtId="0" fontId="34" fillId="0" borderId="0" xfId="2" applyFont="1"/>
    <xf numFmtId="0" fontId="29" fillId="0" borderId="2" xfId="2" applyFont="1" applyBorder="1"/>
    <xf numFmtId="1" fontId="30" fillId="18" borderId="6" xfId="526" applyNumberFormat="1" applyFont="1" applyFill="1" applyBorder="1" applyAlignment="1">
      <alignment horizontal="right"/>
    </xf>
    <xf numFmtId="1" fontId="30" fillId="18" borderId="25" xfId="526" applyNumberFormat="1" applyFont="1" applyFill="1" applyBorder="1" applyAlignment="1">
      <alignment horizontal="right"/>
    </xf>
    <xf numFmtId="0" fontId="29" fillId="0" borderId="20" xfId="2" applyFont="1" applyBorder="1"/>
    <xf numFmtId="177" fontId="29" fillId="0" borderId="0" xfId="246" applyNumberFormat="1" applyFont="1" applyFill="1"/>
    <xf numFmtId="177" fontId="29" fillId="0" borderId="21" xfId="246" applyNumberFormat="1" applyFont="1" applyFill="1" applyBorder="1"/>
    <xf numFmtId="177" fontId="29" fillId="0" borderId="0" xfId="246" applyNumberFormat="1" applyFont="1" applyBorder="1"/>
    <xf numFmtId="177" fontId="29" fillId="0" borderId="21" xfId="246" applyNumberFormat="1" applyFont="1" applyBorder="1"/>
    <xf numFmtId="177" fontId="44" fillId="0" borderId="17" xfId="246" applyNumberFormat="1" applyFont="1" applyFill="1" applyBorder="1"/>
    <xf numFmtId="0" fontId="29" fillId="0" borderId="21" xfId="2" applyFont="1" applyBorder="1"/>
    <xf numFmtId="177" fontId="34" fillId="0" borderId="0" xfId="246" applyNumberFormat="1" applyFont="1" applyFill="1"/>
    <xf numFmtId="177" fontId="34" fillId="0" borderId="21" xfId="246" applyNumberFormat="1" applyFont="1" applyFill="1" applyBorder="1"/>
    <xf numFmtId="177" fontId="34" fillId="0" borderId="0" xfId="246" applyNumberFormat="1" applyFont="1" applyBorder="1"/>
    <xf numFmtId="177" fontId="34" fillId="0" borderId="21" xfId="246" applyNumberFormat="1" applyFont="1" applyBorder="1"/>
    <xf numFmtId="177" fontId="34" fillId="0" borderId="1" xfId="246" applyNumberFormat="1" applyFont="1" applyFill="1" applyBorder="1"/>
    <xf numFmtId="177" fontId="34" fillId="0" borderId="0" xfId="246" applyNumberFormat="1" applyFont="1" applyFill="1" applyBorder="1"/>
    <xf numFmtId="0" fontId="31" fillId="0" borderId="1" xfId="2" applyFont="1" applyBorder="1" applyAlignment="1">
      <alignment horizontal="left" indent="1"/>
    </xf>
    <xf numFmtId="0" fontId="31" fillId="0" borderId="21" xfId="2" applyFont="1" applyBorder="1" applyAlignment="1">
      <alignment horizontal="left" indent="1"/>
    </xf>
    <xf numFmtId="168" fontId="31" fillId="0" borderId="0" xfId="541" applyNumberFormat="1" applyFont="1" applyBorder="1"/>
    <xf numFmtId="168" fontId="31" fillId="0" borderId="2" xfId="541" applyNumberFormat="1" applyFont="1" applyFill="1" applyBorder="1"/>
    <xf numFmtId="168" fontId="31" fillId="0" borderId="23" xfId="541" applyNumberFormat="1" applyFont="1" applyFill="1" applyBorder="1"/>
    <xf numFmtId="177" fontId="44" fillId="0" borderId="2" xfId="246" applyNumberFormat="1" applyFont="1" applyFill="1" applyBorder="1"/>
    <xf numFmtId="177" fontId="29" fillId="0" borderId="23" xfId="246" applyNumberFormat="1" applyFont="1" applyFill="1" applyBorder="1"/>
    <xf numFmtId="177" fontId="29" fillId="0" borderId="2" xfId="246" applyNumberFormat="1" applyFont="1" applyFill="1" applyBorder="1"/>
    <xf numFmtId="177" fontId="29" fillId="0" borderId="22" xfId="246" applyNumberFormat="1" applyFont="1" applyFill="1" applyBorder="1"/>
    <xf numFmtId="177" fontId="29" fillId="0" borderId="20" xfId="246" applyNumberFormat="1" applyFont="1" applyBorder="1"/>
    <xf numFmtId="177" fontId="29" fillId="0" borderId="0" xfId="246" applyNumberFormat="1" applyFont="1" applyFill="1" applyBorder="1"/>
    <xf numFmtId="177" fontId="29" fillId="0" borderId="1" xfId="246" applyNumberFormat="1" applyFont="1" applyFill="1" applyBorder="1"/>
    <xf numFmtId="177" fontId="29" fillId="0" borderId="23" xfId="246" applyNumberFormat="1" applyFont="1" applyBorder="1"/>
    <xf numFmtId="177" fontId="34" fillId="0" borderId="2" xfId="246" applyNumberFormat="1" applyFont="1" applyFill="1" applyBorder="1"/>
    <xf numFmtId="0" fontId="30" fillId="0" borderId="22" xfId="2" applyFont="1" applyBorder="1"/>
    <xf numFmtId="0" fontId="30" fillId="0" borderId="23" xfId="2" applyFont="1" applyBorder="1"/>
    <xf numFmtId="177" fontId="30" fillId="0" borderId="6" xfId="246" applyNumberFormat="1" applyFont="1" applyBorder="1"/>
    <xf numFmtId="177" fontId="30" fillId="0" borderId="25" xfId="246" applyNumberFormat="1" applyFont="1" applyBorder="1"/>
    <xf numFmtId="177" fontId="30" fillId="0" borderId="24" xfId="246" applyNumberFormat="1" applyFont="1" applyBorder="1"/>
    <xf numFmtId="177" fontId="29" fillId="0" borderId="6" xfId="246" applyNumberFormat="1" applyFont="1" applyBorder="1"/>
    <xf numFmtId="168" fontId="31" fillId="0" borderId="0" xfId="541" applyNumberFormat="1" applyFont="1" applyFill="1"/>
    <xf numFmtId="168" fontId="34" fillId="0" borderId="0" xfId="2" applyNumberFormat="1" applyFont="1"/>
    <xf numFmtId="177" fontId="34" fillId="0" borderId="0" xfId="2" applyNumberFormat="1" applyFont="1"/>
    <xf numFmtId="0" fontId="36" fillId="0" borderId="0" xfId="2" applyFont="1"/>
    <xf numFmtId="1" fontId="30" fillId="18" borderId="24" xfId="526" applyNumberFormat="1" applyFont="1" applyFill="1" applyBorder="1" applyAlignment="1">
      <alignment horizontal="right"/>
    </xf>
    <xf numFmtId="0" fontId="30" fillId="0" borderId="1" xfId="2" applyFont="1" applyBorder="1"/>
    <xf numFmtId="0" fontId="31" fillId="0" borderId="22" xfId="2" applyFont="1" applyBorder="1" applyAlignment="1">
      <alignment horizontal="left" indent="1"/>
    </xf>
    <xf numFmtId="0" fontId="31" fillId="0" borderId="23" xfId="2" applyFont="1" applyBorder="1" applyAlignment="1">
      <alignment horizontal="left" indent="1"/>
    </xf>
    <xf numFmtId="168" fontId="31" fillId="0" borderId="2" xfId="541" applyNumberFormat="1" applyFont="1" applyBorder="1"/>
    <xf numFmtId="168" fontId="31" fillId="0" borderId="23" xfId="541" applyNumberFormat="1" applyFont="1" applyBorder="1"/>
    <xf numFmtId="168" fontId="31" fillId="0" borderId="22" xfId="541" applyNumberFormat="1" applyFont="1" applyBorder="1"/>
    <xf numFmtId="180" fontId="29" fillId="0" borderId="2" xfId="2" applyNumberFormat="1" applyFont="1" applyBorder="1"/>
    <xf numFmtId="180" fontId="29" fillId="0" borderId="23" xfId="2" applyNumberFormat="1" applyFont="1" applyBorder="1"/>
    <xf numFmtId="180" fontId="29" fillId="0" borderId="22" xfId="2" applyNumberFormat="1" applyFont="1" applyBorder="1"/>
    <xf numFmtId="184" fontId="29" fillId="0" borderId="2" xfId="2" applyNumberFormat="1" applyFont="1" applyBorder="1"/>
    <xf numFmtId="0" fontId="45" fillId="0" borderId="0" xfId="2" applyFont="1"/>
    <xf numFmtId="0" fontId="45" fillId="0" borderId="0" xfId="2" applyFont="1" applyBorder="1"/>
    <xf numFmtId="0" fontId="30" fillId="0" borderId="2" xfId="2" applyFont="1" applyFill="1" applyBorder="1" applyAlignment="1">
      <alignment horizontal="left"/>
    </xf>
    <xf numFmtId="0" fontId="30" fillId="0" borderId="25" xfId="2" applyFont="1" applyFill="1" applyBorder="1" applyAlignment="1">
      <alignment horizontal="left"/>
    </xf>
    <xf numFmtId="0" fontId="24" fillId="18" borderId="0" xfId="2" applyFont="1" applyFill="1" applyBorder="1"/>
    <xf numFmtId="37" fontId="24" fillId="0" borderId="0" xfId="2" applyNumberFormat="1" applyFont="1" applyFill="1" applyAlignment="1">
      <alignment horizontal="center"/>
    </xf>
    <xf numFmtId="0" fontId="47" fillId="0" borderId="0" xfId="2" applyFont="1"/>
    <xf numFmtId="49" fontId="0" fillId="0" borderId="0" xfId="2" applyNumberFormat="1" applyFont="1"/>
    <xf numFmtId="0" fontId="30" fillId="0" borderId="0" xfId="2" applyFont="1" applyBorder="1"/>
    <xf numFmtId="0" fontId="31" fillId="0" borderId="0" xfId="2" applyFont="1" applyBorder="1"/>
    <xf numFmtId="0" fontId="30" fillId="0" borderId="2" xfId="2" applyFont="1" applyBorder="1"/>
    <xf numFmtId="168" fontId="31" fillId="0" borderId="21" xfId="541" applyNumberFormat="1" applyFont="1" applyBorder="1"/>
    <xf numFmtId="164" fontId="30" fillId="0" borderId="0" xfId="2" applyNumberFormat="1" applyFont="1" applyBorder="1"/>
    <xf numFmtId="164" fontId="30" fillId="0" borderId="21" xfId="2" applyNumberFormat="1" applyFont="1" applyBorder="1"/>
    <xf numFmtId="164" fontId="30" fillId="0" borderId="2" xfId="2" applyNumberFormat="1" applyFont="1" applyBorder="1"/>
    <xf numFmtId="164" fontId="30" fillId="0" borderId="23" xfId="2" applyNumberFormat="1" applyFont="1" applyBorder="1"/>
    <xf numFmtId="0" fontId="30" fillId="0" borderId="24" xfId="2" applyFont="1" applyBorder="1"/>
    <xf numFmtId="0" fontId="30" fillId="0" borderId="6" xfId="2" applyFont="1" applyBorder="1"/>
    <xf numFmtId="174" fontId="30" fillId="0" borderId="24" xfId="2" applyNumberFormat="1" applyFont="1" applyBorder="1" applyAlignment="1">
      <alignment horizontal="centerContinuous"/>
    </xf>
    <xf numFmtId="174" fontId="30" fillId="0" borderId="6" xfId="2" applyNumberFormat="1" applyFont="1" applyBorder="1" applyAlignment="1">
      <alignment horizontal="centerContinuous"/>
    </xf>
    <xf numFmtId="174" fontId="30" fillId="0" borderId="0" xfId="2" applyNumberFormat="1" applyFont="1" applyBorder="1" applyAlignment="1">
      <alignment horizontal="centerContinuous"/>
    </xf>
    <xf numFmtId="0" fontId="29" fillId="0" borderId="7" xfId="2" applyFont="1" applyBorder="1"/>
    <xf numFmtId="183" fontId="29" fillId="0" borderId="0" xfId="246" applyNumberFormat="1" applyFont="1" applyBorder="1"/>
    <xf numFmtId="164" fontId="34" fillId="0" borderId="22" xfId="2" applyNumberFormat="1" applyFont="1" applyFill="1" applyBorder="1"/>
    <xf numFmtId="164" fontId="29" fillId="0" borderId="0" xfId="2" applyNumberFormat="1" applyFont="1"/>
    <xf numFmtId="182" fontId="29" fillId="0" borderId="1" xfId="2" applyNumberFormat="1" applyFont="1" applyFill="1" applyBorder="1"/>
    <xf numFmtId="0" fontId="0" fillId="0" borderId="0" xfId="2" applyFont="1" applyFill="1"/>
    <xf numFmtId="168" fontId="37" fillId="0" borderId="0" xfId="541" applyNumberFormat="1" applyFont="1" applyBorder="1"/>
    <xf numFmtId="167" fontId="34" fillId="0" borderId="21" xfId="2" applyNumberFormat="1" applyFont="1" applyFill="1" applyBorder="1" applyAlignment="1"/>
    <xf numFmtId="164" fontId="29" fillId="0" borderId="0" xfId="541" applyNumberFormat="1" applyFont="1" applyFill="1" applyBorder="1"/>
    <xf numFmtId="182" fontId="34" fillId="0" borderId="0" xfId="2" applyNumberFormat="1" applyFont="1" applyFill="1" applyBorder="1"/>
    <xf numFmtId="164" fontId="30" fillId="0" borderId="2" xfId="2" applyNumberFormat="1" applyFont="1" applyFill="1" applyBorder="1"/>
    <xf numFmtId="164" fontId="30" fillId="0" borderId="23" xfId="2" applyNumberFormat="1" applyFont="1" applyFill="1" applyBorder="1"/>
    <xf numFmtId="170" fontId="29" fillId="0" borderId="0" xfId="2" applyNumberFormat="1" applyFont="1"/>
    <xf numFmtId="170" fontId="29" fillId="0" borderId="21" xfId="2" applyNumberFormat="1" applyFont="1" applyFill="1" applyBorder="1"/>
    <xf numFmtId="170" fontId="0" fillId="0" borderId="0" xfId="2" applyNumberFormat="1" applyFont="1"/>
    <xf numFmtId="170" fontId="24" fillId="0" borderId="0" xfId="2" applyNumberFormat="1" applyFont="1"/>
    <xf numFmtId="197" fontId="24" fillId="0" borderId="0" xfId="2" applyNumberFormat="1" applyFont="1"/>
    <xf numFmtId="0" fontId="69" fillId="0" borderId="0" xfId="2" applyFont="1"/>
    <xf numFmtId="171" fontId="34" fillId="0" borderId="0" xfId="2" applyNumberFormat="1" applyFont="1" applyFill="1" applyBorder="1"/>
    <xf numFmtId="197" fontId="24" fillId="0" borderId="0" xfId="2" applyNumberFormat="1" applyFont="1" applyFill="1"/>
    <xf numFmtId="173" fontId="29" fillId="0" borderId="0" xfId="2" applyNumberFormat="1" applyFont="1" applyFill="1" applyBorder="1"/>
    <xf numFmtId="173" fontId="29" fillId="0" borderId="21" xfId="2" applyNumberFormat="1" applyFont="1" applyFill="1" applyBorder="1"/>
    <xf numFmtId="173" fontId="29" fillId="0" borderId="1" xfId="2" applyNumberFormat="1" applyFont="1" applyFill="1" applyBorder="1"/>
    <xf numFmtId="7" fontId="34" fillId="0" borderId="0" xfId="2" applyNumberFormat="1" applyFont="1" applyFill="1" applyBorder="1"/>
    <xf numFmtId="7" fontId="34" fillId="0" borderId="21" xfId="2" applyNumberFormat="1" applyFont="1" applyFill="1" applyBorder="1"/>
    <xf numFmtId="199" fontId="29" fillId="0" borderId="0" xfId="2" applyNumberFormat="1" applyFont="1"/>
    <xf numFmtId="7" fontId="29" fillId="0" borderId="21" xfId="2" applyNumberFormat="1" applyFont="1" applyFill="1" applyBorder="1"/>
    <xf numFmtId="7" fontId="29" fillId="0" borderId="0" xfId="2" applyNumberFormat="1" applyFont="1" applyFill="1" applyBorder="1"/>
    <xf numFmtId="43" fontId="45" fillId="0" borderId="0" xfId="2" applyNumberFormat="1" applyFont="1"/>
    <xf numFmtId="167" fontId="29" fillId="0" borderId="7" xfId="2" applyNumberFormat="1" applyFont="1" applyFill="1" applyBorder="1" applyAlignment="1"/>
    <xf numFmtId="0" fontId="31" fillId="0" borderId="22" xfId="2" applyFont="1" applyBorder="1"/>
    <xf numFmtId="0" fontId="34" fillId="0" borderId="7" xfId="2" applyFont="1" applyFill="1" applyBorder="1"/>
    <xf numFmtId="164" fontId="29" fillId="0" borderId="22" xfId="2" applyNumberFormat="1" applyFont="1" applyFill="1" applyBorder="1"/>
    <xf numFmtId="7" fontId="29" fillId="0" borderId="1" xfId="2" applyNumberFormat="1" applyFont="1" applyFill="1" applyBorder="1"/>
    <xf numFmtId="0" fontId="31" fillId="0" borderId="1" xfId="2" applyFont="1" applyFill="1" applyBorder="1"/>
    <xf numFmtId="165" fontId="32" fillId="18" borderId="24" xfId="527" applyNumberFormat="1" applyFont="1" applyFill="1" applyBorder="1" applyAlignment="1">
      <alignment horizontal="right"/>
    </xf>
    <xf numFmtId="165" fontId="32" fillId="18" borderId="6" xfId="527" applyNumberFormat="1" applyFont="1" applyFill="1" applyBorder="1" applyAlignment="1">
      <alignment horizontal="right"/>
    </xf>
    <xf numFmtId="165" fontId="32" fillId="18" borderId="25" xfId="527" applyNumberFormat="1" applyFont="1" applyFill="1" applyBorder="1" applyAlignment="1">
      <alignment horizontal="right"/>
    </xf>
    <xf numFmtId="1" fontId="32" fillId="18" borderId="24" xfId="527" applyNumberFormat="1" applyFont="1" applyFill="1" applyBorder="1" applyAlignment="1">
      <alignment horizontal="right"/>
    </xf>
    <xf numFmtId="1" fontId="32" fillId="18" borderId="6" xfId="527" applyNumberFormat="1" applyFont="1" applyFill="1" applyBorder="1" applyAlignment="1">
      <alignment horizontal="right"/>
    </xf>
    <xf numFmtId="1" fontId="32" fillId="18" borderId="25" xfId="527" applyNumberFormat="1" applyFont="1" applyFill="1" applyBorder="1" applyAlignment="1">
      <alignment horizontal="right"/>
    </xf>
    <xf numFmtId="167" fontId="29" fillId="0" borderId="21" xfId="2" applyNumberFormat="1" applyFont="1" applyFill="1" applyBorder="1" applyAlignment="1"/>
    <xf numFmtId="14" fontId="0" fillId="0" borderId="0" xfId="2" applyNumberFormat="1" applyFont="1"/>
    <xf numFmtId="164" fontId="0" fillId="0" borderId="0" xfId="2" applyNumberFormat="1" applyFont="1"/>
    <xf numFmtId="3" fontId="0" fillId="0" borderId="0" xfId="2" applyNumberFormat="1" applyFont="1"/>
    <xf numFmtId="1" fontId="42" fillId="18" borderId="24" xfId="527" applyNumberFormat="1" applyFont="1" applyFill="1" applyBorder="1" applyAlignment="1">
      <alignment horizontal="right"/>
    </xf>
    <xf numFmtId="1" fontId="42" fillId="18" borderId="6" xfId="527" applyNumberFormat="1" applyFont="1" applyFill="1" applyBorder="1" applyAlignment="1">
      <alignment horizontal="right"/>
    </xf>
    <xf numFmtId="1" fontId="32" fillId="18" borderId="17" xfId="527" applyNumberFormat="1" applyFont="1" applyFill="1" applyBorder="1" applyAlignment="1">
      <alignment horizontal="right"/>
    </xf>
    <xf numFmtId="1" fontId="32" fillId="18" borderId="20" xfId="527" applyNumberFormat="1" applyFont="1" applyFill="1" applyBorder="1" applyAlignment="1">
      <alignment horizontal="right"/>
    </xf>
    <xf numFmtId="0" fontId="30" fillId="26" borderId="24" xfId="2" applyFont="1" applyFill="1" applyBorder="1"/>
    <xf numFmtId="1" fontId="56" fillId="26" borderId="6" xfId="527" applyNumberFormat="1" applyFont="1" applyFill="1" applyBorder="1" applyAlignment="1">
      <alignment horizontal="right"/>
    </xf>
    <xf numFmtId="0" fontId="42" fillId="0" borderId="1" xfId="2" applyFont="1" applyFill="1" applyBorder="1"/>
    <xf numFmtId="0" fontId="42" fillId="0" borderId="21" xfId="2" applyFont="1" applyBorder="1"/>
    <xf numFmtId="179" fontId="78" fillId="0" borderId="1" xfId="2" applyNumberFormat="1" applyFont="1" applyFill="1" applyBorder="1"/>
    <xf numFmtId="179" fontId="78" fillId="0" borderId="0" xfId="2" applyNumberFormat="1" applyFont="1" applyFill="1" applyBorder="1"/>
    <xf numFmtId="179" fontId="78" fillId="0" borderId="21" xfId="2" applyNumberFormat="1" applyFont="1" applyFill="1" applyBorder="1"/>
    <xf numFmtId="179" fontId="42" fillId="0" borderId="21" xfId="2" applyNumberFormat="1" applyFont="1" applyFill="1" applyBorder="1"/>
    <xf numFmtId="179" fontId="42" fillId="0" borderId="0" xfId="2" applyNumberFormat="1" applyFont="1" applyFill="1" applyBorder="1"/>
    <xf numFmtId="179" fontId="42" fillId="0" borderId="20" xfId="2" applyNumberFormat="1" applyFont="1" applyFill="1" applyBorder="1"/>
    <xf numFmtId="179" fontId="42" fillId="0" borderId="7" xfId="2" applyNumberFormat="1" applyFont="1" applyFill="1" applyBorder="1"/>
    <xf numFmtId="179" fontId="42" fillId="0" borderId="17" xfId="2" applyNumberFormat="1" applyFont="1" applyFill="1" applyBorder="1"/>
    <xf numFmtId="0" fontId="42" fillId="0" borderId="26" xfId="2" applyFont="1" applyBorder="1"/>
    <xf numFmtId="179" fontId="42" fillId="0" borderId="0" xfId="2" applyNumberFormat="1" applyFont="1" applyBorder="1"/>
    <xf numFmtId="179" fontId="42" fillId="0" borderId="21" xfId="2" applyNumberFormat="1" applyFont="1" applyBorder="1"/>
    <xf numFmtId="0" fontId="42" fillId="0" borderId="1" xfId="2" applyFont="1" applyBorder="1"/>
    <xf numFmtId="179" fontId="42" fillId="0" borderId="1" xfId="2" applyNumberFormat="1" applyFont="1" applyBorder="1"/>
    <xf numFmtId="168" fontId="37" fillId="0" borderId="1" xfId="541" applyNumberFormat="1" applyFont="1" applyFill="1" applyBorder="1"/>
    <xf numFmtId="168" fontId="37" fillId="0" borderId="0" xfId="541" applyNumberFormat="1" applyFont="1" applyFill="1" applyBorder="1"/>
    <xf numFmtId="0" fontId="37" fillId="0" borderId="1" xfId="2" applyFont="1" applyFill="1" applyBorder="1" applyAlignment="1">
      <alignment horizontal="left" indent="1"/>
    </xf>
    <xf numFmtId="0" fontId="37" fillId="0" borderId="21" xfId="2" applyFont="1" applyFill="1" applyBorder="1" applyAlignment="1">
      <alignment horizontal="left" indent="1"/>
    </xf>
    <xf numFmtId="168" fontId="37" fillId="0" borderId="21" xfId="541" applyNumberFormat="1" applyFont="1" applyFill="1" applyBorder="1"/>
    <xf numFmtId="0" fontId="37" fillId="0" borderId="26" xfId="2" applyFont="1" applyBorder="1"/>
    <xf numFmtId="168" fontId="37" fillId="0" borderId="21" xfId="541" applyNumberFormat="1" applyFont="1" applyBorder="1"/>
    <xf numFmtId="0" fontId="37" fillId="0" borderId="1" xfId="2" applyFont="1" applyBorder="1"/>
    <xf numFmtId="0" fontId="37" fillId="0" borderId="0" xfId="2" applyFont="1"/>
    <xf numFmtId="179" fontId="30" fillId="0" borderId="1" xfId="2" applyNumberFormat="1" applyFont="1" applyFill="1" applyBorder="1"/>
    <xf numFmtId="179" fontId="30" fillId="0" borderId="0" xfId="2" applyNumberFormat="1" applyFont="1" applyFill="1" applyBorder="1"/>
    <xf numFmtId="179" fontId="30" fillId="0" borderId="21" xfId="2" applyNumberFormat="1" applyFont="1" applyFill="1" applyBorder="1"/>
    <xf numFmtId="179" fontId="42" fillId="0" borderId="1" xfId="2" applyNumberFormat="1" applyFont="1" applyFill="1" applyBorder="1"/>
    <xf numFmtId="0" fontId="31" fillId="0" borderId="22" xfId="2" applyFont="1" applyFill="1" applyBorder="1" applyAlignment="1">
      <alignment horizontal="left" indent="1"/>
    </xf>
    <xf numFmtId="168" fontId="31" fillId="0" borderId="22" xfId="541" applyNumberFormat="1" applyFont="1" applyFill="1" applyBorder="1"/>
    <xf numFmtId="168" fontId="35" fillId="0" borderId="23" xfId="541" applyNumberFormat="1" applyFont="1" applyFill="1" applyBorder="1"/>
    <xf numFmtId="43" fontId="31" fillId="0" borderId="0" xfId="246" applyFont="1" applyBorder="1"/>
    <xf numFmtId="168" fontId="35" fillId="0" borderId="2" xfId="541" applyNumberFormat="1" applyFont="1" applyFill="1" applyBorder="1"/>
    <xf numFmtId="168" fontId="35" fillId="0" borderId="22" xfId="541" applyNumberFormat="1" applyFont="1" applyFill="1" applyBorder="1"/>
    <xf numFmtId="0" fontId="71" fillId="0" borderId="21" xfId="2" applyFont="1" applyBorder="1" applyAlignment="1">
      <alignment horizontal="left" indent="1"/>
    </xf>
    <xf numFmtId="168" fontId="35" fillId="0" borderId="2" xfId="541" applyNumberFormat="1" applyFont="1" applyBorder="1"/>
    <xf numFmtId="179" fontId="42" fillId="0" borderId="17" xfId="2" applyNumberFormat="1" applyFont="1" applyBorder="1"/>
    <xf numFmtId="164" fontId="42" fillId="0" borderId="0" xfId="2" applyNumberFormat="1" applyFont="1" applyFill="1" applyBorder="1"/>
    <xf numFmtId="168" fontId="71" fillId="0" borderId="0" xfId="541" applyNumberFormat="1" applyFont="1" applyFill="1" applyBorder="1"/>
    <xf numFmtId="168" fontId="71" fillId="0" borderId="21" xfId="541" applyNumberFormat="1" applyFont="1" applyFill="1" applyBorder="1"/>
    <xf numFmtId="177" fontId="78" fillId="0" borderId="0" xfId="246" applyNumberFormat="1" applyFont="1" applyFill="1" applyBorder="1"/>
    <xf numFmtId="177" fontId="78" fillId="0" borderId="21" xfId="246" applyNumberFormat="1" applyFont="1" applyFill="1" applyBorder="1"/>
    <xf numFmtId="177" fontId="78" fillId="0" borderId="21" xfId="246" applyNumberFormat="1" applyFont="1" applyBorder="1"/>
    <xf numFmtId="177" fontId="78" fillId="0" borderId="0" xfId="246" applyNumberFormat="1" applyFont="1" applyBorder="1"/>
    <xf numFmtId="177" fontId="42" fillId="0" borderId="21" xfId="246" applyNumberFormat="1" applyFont="1" applyBorder="1"/>
    <xf numFmtId="177" fontId="42" fillId="0" borderId="0" xfId="246" applyNumberFormat="1" applyFont="1" applyBorder="1"/>
    <xf numFmtId="0" fontId="42" fillId="0" borderId="1" xfId="2" applyFont="1" applyFill="1" applyBorder="1" applyAlignment="1">
      <alignment horizontal="left"/>
    </xf>
    <xf numFmtId="181" fontId="47" fillId="0" borderId="1" xfId="2" applyNumberFormat="1" applyFont="1" applyFill="1" applyBorder="1" applyAlignment="1">
      <alignment horizontal="left"/>
    </xf>
    <xf numFmtId="177" fontId="47" fillId="0" borderId="0" xfId="246" applyNumberFormat="1" applyFont="1" applyFill="1" applyBorder="1"/>
    <xf numFmtId="177" fontId="47" fillId="0" borderId="21" xfId="246" applyNumberFormat="1" applyFont="1" applyFill="1" applyBorder="1"/>
    <xf numFmtId="177" fontId="47" fillId="0" borderId="21" xfId="246" applyNumberFormat="1" applyFont="1" applyBorder="1"/>
    <xf numFmtId="177" fontId="47" fillId="0" borderId="0" xfId="246" applyNumberFormat="1" applyFont="1" applyBorder="1"/>
    <xf numFmtId="179" fontId="47" fillId="0" borderId="0" xfId="2" applyNumberFormat="1" applyFont="1" applyBorder="1"/>
    <xf numFmtId="177" fontId="72" fillId="0" borderId="0" xfId="246" applyNumberFormat="1" applyFont="1" applyFill="1" applyBorder="1"/>
    <xf numFmtId="177" fontId="72" fillId="0" borderId="21" xfId="246" applyNumberFormat="1" applyFont="1" applyFill="1" applyBorder="1"/>
    <xf numFmtId="177" fontId="72" fillId="0" borderId="21" xfId="246" applyNumberFormat="1" applyFont="1" applyBorder="1"/>
    <xf numFmtId="177" fontId="72" fillId="0" borderId="0" xfId="246" applyNumberFormat="1" applyFont="1" applyBorder="1"/>
    <xf numFmtId="181" fontId="47" fillId="0" borderId="1" xfId="2" applyNumberFormat="1" applyFont="1" applyFill="1" applyBorder="1" applyAlignment="1">
      <alignment horizontal="left" indent="1"/>
    </xf>
    <xf numFmtId="0" fontId="30" fillId="0" borderId="21" xfId="2" applyFont="1" applyBorder="1"/>
    <xf numFmtId="0" fontId="37" fillId="0" borderId="1" xfId="2" applyFont="1" applyBorder="1" applyAlignment="1">
      <alignment horizontal="left" indent="1"/>
    </xf>
    <xf numFmtId="0" fontId="30" fillId="0" borderId="22" xfId="2" applyFont="1" applyFill="1" applyBorder="1"/>
    <xf numFmtId="179" fontId="42" fillId="0" borderId="2" xfId="2" applyNumberFormat="1" applyFont="1" applyBorder="1"/>
    <xf numFmtId="179" fontId="42" fillId="0" borderId="23" xfId="2" applyNumberFormat="1" applyFont="1" applyBorder="1"/>
    <xf numFmtId="0" fontId="30" fillId="0" borderId="0" xfId="2" applyFont="1" applyFill="1" applyBorder="1"/>
    <xf numFmtId="0" fontId="0" fillId="0" borderId="0" xfId="2" applyFont="1" applyBorder="1"/>
    <xf numFmtId="0" fontId="24" fillId="0" borderId="20" xfId="2" applyFont="1" applyBorder="1"/>
    <xf numFmtId="179" fontId="29" fillId="0" borderId="7" xfId="2" applyNumberFormat="1" applyFont="1" applyBorder="1" applyAlignment="1">
      <alignment horizontal="right"/>
    </xf>
    <xf numFmtId="179" fontId="29" fillId="0" borderId="17" xfId="2" applyNumberFormat="1" applyFont="1" applyBorder="1" applyAlignment="1">
      <alignment horizontal="right"/>
    </xf>
    <xf numFmtId="179" fontId="29" fillId="0" borderId="20" xfId="2" applyNumberFormat="1" applyFont="1" applyBorder="1" applyAlignment="1">
      <alignment horizontal="right"/>
    </xf>
    <xf numFmtId="6" fontId="24" fillId="0" borderId="20" xfId="2" applyNumberFormat="1" applyFont="1" applyBorder="1" applyAlignment="1">
      <alignment horizontal="center"/>
    </xf>
    <xf numFmtId="6" fontId="24" fillId="0" borderId="7" xfId="2" applyNumberFormat="1" applyFont="1" applyBorder="1" applyAlignment="1">
      <alignment horizontal="center"/>
    </xf>
    <xf numFmtId="6" fontId="24" fillId="0" borderId="17" xfId="2" applyNumberFormat="1" applyFont="1" applyBorder="1" applyAlignment="1">
      <alignment horizontal="center"/>
    </xf>
    <xf numFmtId="0" fontId="24" fillId="0" borderId="26" xfId="2" applyFont="1" applyBorder="1"/>
    <xf numFmtId="179" fontId="29" fillId="0" borderId="0" xfId="2" applyNumberFormat="1" applyFont="1" applyBorder="1"/>
    <xf numFmtId="179" fontId="29" fillId="0" borderId="17" xfId="2" applyNumberFormat="1" applyFont="1" applyBorder="1"/>
    <xf numFmtId="0" fontId="24" fillId="0" borderId="21" xfId="2" applyFont="1" applyBorder="1"/>
    <xf numFmtId="179" fontId="29" fillId="0" borderId="1" xfId="2" applyNumberFormat="1" applyFont="1" applyBorder="1" applyAlignment="1">
      <alignment horizontal="right"/>
    </xf>
    <xf numFmtId="179" fontId="29" fillId="0" borderId="0" xfId="2" applyNumberFormat="1" applyFont="1" applyBorder="1" applyAlignment="1">
      <alignment horizontal="right"/>
    </xf>
    <xf numFmtId="179" fontId="29" fillId="0" borderId="21" xfId="2" applyNumberFormat="1" applyFont="1" applyBorder="1" applyAlignment="1">
      <alignment horizontal="right"/>
    </xf>
    <xf numFmtId="6" fontId="24" fillId="0" borderId="21" xfId="2" applyNumberFormat="1" applyFont="1" applyBorder="1" applyAlignment="1">
      <alignment horizontal="center"/>
    </xf>
    <xf numFmtId="6" fontId="24" fillId="0" borderId="1" xfId="2" applyNumberFormat="1" applyFont="1" applyBorder="1" applyAlignment="1">
      <alignment horizontal="center"/>
    </xf>
    <xf numFmtId="6" fontId="24" fillId="0" borderId="0" xfId="2" applyNumberFormat="1" applyFont="1" applyBorder="1" applyAlignment="1">
      <alignment horizontal="center"/>
    </xf>
    <xf numFmtId="0" fontId="42" fillId="0" borderId="24" xfId="2" applyFont="1" applyFill="1" applyBorder="1" applyAlignment="1"/>
    <xf numFmtId="0" fontId="41" fillId="0" borderId="25" xfId="2" applyFont="1" applyBorder="1"/>
    <xf numFmtId="179" fontId="42" fillId="0" borderId="24" xfId="2" applyNumberFormat="1" applyFont="1" applyBorder="1" applyAlignment="1">
      <alignment horizontal="right"/>
    </xf>
    <xf numFmtId="179" fontId="42" fillId="0" borderId="6" xfId="2" applyNumberFormat="1" applyFont="1" applyBorder="1" applyAlignment="1">
      <alignment horizontal="right"/>
    </xf>
    <xf numFmtId="179" fontId="42" fillId="0" borderId="25" xfId="2" applyNumberFormat="1" applyFont="1" applyBorder="1" applyAlignment="1">
      <alignment horizontal="right"/>
    </xf>
    <xf numFmtId="6" fontId="41" fillId="0" borderId="25" xfId="2" applyNumberFormat="1" applyFont="1" applyBorder="1" applyAlignment="1">
      <alignment horizontal="center"/>
    </xf>
    <xf numFmtId="6" fontId="41" fillId="0" borderId="24" xfId="2" applyNumberFormat="1" applyFont="1" applyBorder="1" applyAlignment="1">
      <alignment horizontal="center"/>
    </xf>
    <xf numFmtId="6" fontId="41" fillId="0" borderId="6" xfId="2" applyNumberFormat="1" applyFont="1" applyBorder="1" applyAlignment="1">
      <alignment horizontal="center"/>
    </xf>
    <xf numFmtId="0" fontId="41" fillId="0" borderId="26" xfId="2" applyFont="1" applyBorder="1"/>
    <xf numFmtId="181" fontId="42" fillId="0" borderId="6" xfId="2" applyNumberFormat="1" applyFont="1" applyBorder="1"/>
    <xf numFmtId="164" fontId="42" fillId="0" borderId="6" xfId="2" applyNumberFormat="1" applyFont="1" applyBorder="1"/>
    <xf numFmtId="0" fontId="31" fillId="0" borderId="7" xfId="2" applyFont="1" applyFill="1" applyBorder="1"/>
    <xf numFmtId="0" fontId="0" fillId="0" borderId="20" xfId="2" applyFont="1" applyBorder="1"/>
    <xf numFmtId="168" fontId="38" fillId="0" borderId="7" xfId="541" applyNumberFormat="1" applyFont="1" applyFill="1" applyBorder="1" applyAlignment="1">
      <alignment horizontal="right"/>
    </xf>
    <xf numFmtId="168" fontId="38" fillId="0" borderId="17" xfId="541" applyNumberFormat="1" applyFont="1" applyFill="1" applyBorder="1" applyAlignment="1">
      <alignment horizontal="right"/>
    </xf>
    <xf numFmtId="168" fontId="37" fillId="0" borderId="20" xfId="541" applyNumberFormat="1" applyFont="1" applyFill="1" applyBorder="1" applyAlignment="1">
      <alignment horizontal="right"/>
    </xf>
    <xf numFmtId="9" fontId="0" fillId="0" borderId="20" xfId="2" applyNumberFormat="1" applyFont="1" applyBorder="1" applyAlignment="1">
      <alignment horizontal="center"/>
    </xf>
    <xf numFmtId="9" fontId="0" fillId="0" borderId="7" xfId="2" applyNumberFormat="1" applyFont="1" applyBorder="1" applyAlignment="1">
      <alignment horizontal="center"/>
    </xf>
    <xf numFmtId="9" fontId="0" fillId="0" borderId="17" xfId="2" applyNumberFormat="1" applyFont="1" applyBorder="1" applyAlignment="1">
      <alignment horizontal="center"/>
    </xf>
    <xf numFmtId="0" fontId="0" fillId="0" borderId="26" xfId="2" applyFont="1" applyBorder="1"/>
    <xf numFmtId="168" fontId="38" fillId="0" borderId="0" xfId="541" applyNumberFormat="1" applyFont="1" applyBorder="1"/>
    <xf numFmtId="168" fontId="38" fillId="0" borderId="17" xfId="541" applyNumberFormat="1" applyFont="1" applyBorder="1"/>
    <xf numFmtId="168" fontId="38" fillId="0" borderId="0" xfId="541" applyNumberFormat="1" applyFont="1" applyBorder="1" applyAlignment="1">
      <alignment horizontal="right"/>
    </xf>
    <xf numFmtId="168" fontId="31" fillId="0" borderId="0" xfId="541" applyNumberFormat="1" applyFont="1" applyBorder="1" applyAlignment="1">
      <alignment horizontal="right"/>
    </xf>
    <xf numFmtId="0" fontId="0" fillId="0" borderId="0" xfId="2" applyFont="1" applyFill="1" applyBorder="1"/>
    <xf numFmtId="0" fontId="0" fillId="0" borderId="20" xfId="2" applyFont="1" applyFill="1" applyBorder="1"/>
    <xf numFmtId="168" fontId="31" fillId="0" borderId="17" xfId="541" applyNumberFormat="1" applyFont="1" applyBorder="1"/>
    <xf numFmtId="0" fontId="0" fillId="0" borderId="21" xfId="2" applyFont="1" applyBorder="1"/>
    <xf numFmtId="168" fontId="38" fillId="0" borderId="1" xfId="541" applyNumberFormat="1" applyFont="1" applyBorder="1" applyAlignment="1">
      <alignment horizontal="right"/>
    </xf>
    <xf numFmtId="168" fontId="37" fillId="0" borderId="21" xfId="541" applyNumberFormat="1" applyFont="1" applyBorder="1" applyAlignment="1">
      <alignment horizontal="right"/>
    </xf>
    <xf numFmtId="9" fontId="0" fillId="0" borderId="21" xfId="2" applyNumberFormat="1" applyFont="1" applyBorder="1" applyAlignment="1">
      <alignment horizontal="center"/>
    </xf>
    <xf numFmtId="9" fontId="0" fillId="0" borderId="1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0" fontId="0" fillId="0" borderId="21" xfId="2" applyFont="1" applyFill="1" applyBorder="1"/>
    <xf numFmtId="168" fontId="37" fillId="0" borderId="1" xfId="541" applyNumberFormat="1" applyFont="1" applyBorder="1" applyAlignment="1">
      <alignment horizontal="right"/>
    </xf>
    <xf numFmtId="168" fontId="37" fillId="0" borderId="0" xfId="541" applyNumberFormat="1" applyFont="1" applyBorder="1" applyAlignment="1">
      <alignment horizontal="right"/>
    </xf>
    <xf numFmtId="0" fontId="71" fillId="0" borderId="24" xfId="2" applyFont="1" applyBorder="1" applyAlignment="1"/>
    <xf numFmtId="168" fontId="71" fillId="0" borderId="24" xfId="541" applyNumberFormat="1" applyFont="1" applyBorder="1" applyAlignment="1">
      <alignment horizontal="right"/>
    </xf>
    <xf numFmtId="168" fontId="71" fillId="0" borderId="6" xfId="541" applyNumberFormat="1" applyFont="1" applyBorder="1" applyAlignment="1">
      <alignment horizontal="right"/>
    </xf>
    <xf numFmtId="168" fontId="71" fillId="0" borderId="25" xfId="541" applyNumberFormat="1" applyFont="1" applyBorder="1" applyAlignment="1">
      <alignment horizontal="right"/>
    </xf>
    <xf numFmtId="9" fontId="41" fillId="0" borderId="25" xfId="2" applyNumberFormat="1" applyFont="1" applyBorder="1" applyAlignment="1">
      <alignment horizontal="center"/>
    </xf>
    <xf numFmtId="9" fontId="41" fillId="0" borderId="24" xfId="2" applyNumberFormat="1" applyFont="1" applyBorder="1" applyAlignment="1">
      <alignment horizontal="center"/>
    </xf>
    <xf numFmtId="9" fontId="41" fillId="0" borderId="6" xfId="2" applyNumberFormat="1" applyFont="1" applyBorder="1" applyAlignment="1">
      <alignment horizontal="center"/>
    </xf>
    <xf numFmtId="168" fontId="71" fillId="0" borderId="6" xfId="541" applyNumberFormat="1" applyFont="1" applyBorder="1"/>
    <xf numFmtId="168" fontId="80" fillId="0" borderId="6" xfId="541" applyNumberFormat="1" applyFont="1" applyBorder="1"/>
    <xf numFmtId="0" fontId="47" fillId="0" borderId="7" xfId="2" applyFont="1" applyFill="1" applyBorder="1"/>
    <xf numFmtId="179" fontId="34" fillId="0" borderId="7" xfId="2" applyNumberFormat="1" applyFont="1" applyBorder="1" applyAlignment="1">
      <alignment horizontal="right"/>
    </xf>
    <xf numFmtId="179" fontId="34" fillId="0" borderId="17" xfId="2" applyNumberFormat="1" applyFont="1" applyBorder="1" applyAlignment="1">
      <alignment horizontal="right"/>
    </xf>
    <xf numFmtId="179" fontId="36" fillId="0" borderId="21" xfId="2" applyNumberFormat="1" applyFont="1" applyBorder="1" applyAlignment="1">
      <alignment horizontal="right"/>
    </xf>
    <xf numFmtId="179" fontId="36" fillId="0" borderId="20" xfId="2" applyNumberFormat="1" applyFont="1" applyBorder="1" applyAlignment="1">
      <alignment horizontal="right"/>
    </xf>
    <xf numFmtId="6" fontId="0" fillId="0" borderId="20" xfId="2" applyNumberFormat="1" applyFont="1" applyBorder="1" applyAlignment="1">
      <alignment horizontal="center"/>
    </xf>
    <xf numFmtId="6" fontId="0" fillId="0" borderId="7" xfId="2" applyNumberFormat="1" applyFont="1" applyBorder="1" applyAlignment="1">
      <alignment horizontal="center"/>
    </xf>
    <xf numFmtId="6" fontId="0" fillId="0" borderId="17" xfId="2" applyNumberFormat="1" applyFont="1" applyBorder="1" applyAlignment="1">
      <alignment horizontal="center"/>
    </xf>
    <xf numFmtId="0" fontId="47" fillId="0" borderId="1" xfId="2" applyFont="1" applyFill="1" applyBorder="1"/>
    <xf numFmtId="179" fontId="34" fillId="0" borderId="1" xfId="2" applyNumberFormat="1" applyFont="1" applyBorder="1" applyAlignment="1">
      <alignment horizontal="right"/>
    </xf>
    <xf numFmtId="179" fontId="34" fillId="0" borderId="0" xfId="2" applyNumberFormat="1" applyFont="1" applyBorder="1" applyAlignment="1">
      <alignment horizontal="right"/>
    </xf>
    <xf numFmtId="179" fontId="34" fillId="0" borderId="1" xfId="2" applyNumberFormat="1" applyFont="1" applyFill="1" applyBorder="1" applyAlignment="1">
      <alignment horizontal="right"/>
    </xf>
    <xf numFmtId="6" fontId="0" fillId="0" borderId="21" xfId="2" applyNumberFormat="1" applyFont="1" applyBorder="1" applyAlignment="1">
      <alignment horizontal="center"/>
    </xf>
    <xf numFmtId="6" fontId="0" fillId="0" borderId="1" xfId="2" applyNumberFormat="1" applyFont="1" applyBorder="1" applyAlignment="1">
      <alignment horizontal="center"/>
    </xf>
    <xf numFmtId="6" fontId="0" fillId="0" borderId="0" xfId="2" applyNumberFormat="1" applyFont="1" applyBorder="1" applyAlignment="1">
      <alignment horizontal="center"/>
    </xf>
    <xf numFmtId="174" fontId="30" fillId="27" borderId="24" xfId="2" applyNumberFormat="1" applyFont="1" applyFill="1" applyBorder="1" applyAlignment="1">
      <alignment horizontal="center"/>
    </xf>
    <xf numFmtId="174" fontId="30" fillId="27" borderId="6" xfId="2" applyNumberFormat="1" applyFont="1" applyFill="1" applyBorder="1" applyAlignment="1">
      <alignment horizontal="center"/>
    </xf>
    <xf numFmtId="174" fontId="30" fillId="0" borderId="6" xfId="2" applyNumberFormat="1" applyFont="1" applyBorder="1" applyAlignment="1">
      <alignment horizontal="center"/>
    </xf>
    <xf numFmtId="0" fontId="29" fillId="0" borderId="25" xfId="2" applyFont="1" applyBorder="1"/>
    <xf numFmtId="179" fontId="34" fillId="0" borderId="21" xfId="2" applyNumberFormat="1" applyFont="1" applyBorder="1" applyAlignment="1">
      <alignment horizontal="right"/>
    </xf>
    <xf numFmtId="168" fontId="37" fillId="0" borderId="7" xfId="541" applyNumberFormat="1" applyFont="1" applyBorder="1" applyAlignment="1">
      <alignment horizontal="right"/>
    </xf>
    <xf numFmtId="174" fontId="42" fillId="0" borderId="24" xfId="2" applyNumberFormat="1" applyFont="1" applyBorder="1" applyAlignment="1">
      <alignment horizontal="center"/>
    </xf>
    <xf numFmtId="174" fontId="42" fillId="0" borderId="6" xfId="2" applyNumberFormat="1" applyFont="1" applyBorder="1" applyAlignment="1">
      <alignment horizontal="center"/>
    </xf>
    <xf numFmtId="0" fontId="0" fillId="0" borderId="23" xfId="2" applyFont="1" applyBorder="1"/>
    <xf numFmtId="179" fontId="29" fillId="0" borderId="2" xfId="2" applyNumberFormat="1" applyFont="1" applyBorder="1"/>
    <xf numFmtId="0" fontId="0" fillId="0" borderId="2" xfId="2" applyFont="1" applyBorder="1"/>
    <xf numFmtId="174" fontId="30" fillId="0" borderId="6" xfId="2" applyNumberFormat="1" applyFont="1" applyFill="1" applyBorder="1" applyAlignment="1">
      <alignment horizontal="centerContinuous"/>
    </xf>
    <xf numFmtId="168" fontId="37" fillId="0" borderId="17" xfId="541" applyNumberFormat="1" applyFont="1" applyBorder="1" applyAlignment="1">
      <alignment horizontal="right"/>
    </xf>
    <xf numFmtId="168" fontId="37" fillId="0" borderId="20" xfId="541" applyNumberFormat="1" applyFont="1" applyBorder="1" applyAlignment="1">
      <alignment horizontal="right"/>
    </xf>
    <xf numFmtId="0" fontId="0" fillId="0" borderId="22" xfId="2" applyFont="1" applyBorder="1"/>
    <xf numFmtId="165" fontId="32" fillId="18" borderId="2" xfId="527" applyNumberFormat="1" applyFont="1" applyFill="1" applyBorder="1" applyAlignment="1">
      <alignment horizontal="right"/>
    </xf>
    <xf numFmtId="165" fontId="32" fillId="18" borderId="23" xfId="527" applyNumberFormat="1" applyFont="1" applyFill="1" applyBorder="1" applyAlignment="1">
      <alignment horizontal="right"/>
    </xf>
    <xf numFmtId="165" fontId="32" fillId="18" borderId="22" xfId="527" applyNumberFormat="1" applyFont="1" applyFill="1" applyBorder="1" applyAlignment="1">
      <alignment horizontal="right"/>
    </xf>
    <xf numFmtId="165" fontId="42" fillId="18" borderId="22" xfId="527" applyNumberFormat="1" applyFont="1" applyFill="1" applyBorder="1" applyAlignment="1">
      <alignment horizontal="right"/>
    </xf>
    <xf numFmtId="165" fontId="42" fillId="18" borderId="2" xfId="527" applyNumberFormat="1" applyFont="1" applyFill="1" applyBorder="1" applyAlignment="1">
      <alignment horizontal="right"/>
    </xf>
    <xf numFmtId="165" fontId="32" fillId="0" borderId="2" xfId="527" applyNumberFormat="1" applyFont="1" applyFill="1" applyBorder="1" applyAlignment="1">
      <alignment horizontal="right"/>
    </xf>
    <xf numFmtId="165" fontId="42" fillId="0" borderId="2" xfId="527" applyNumberFormat="1" applyFont="1" applyFill="1" applyBorder="1" applyAlignment="1">
      <alignment horizontal="right"/>
    </xf>
    <xf numFmtId="1" fontId="77" fillId="0" borderId="21" xfId="527" applyNumberFormat="1" applyFont="1" applyFill="1" applyBorder="1" applyAlignment="1">
      <alignment horizontal="right"/>
    </xf>
    <xf numFmtId="1" fontId="76" fillId="0" borderId="21" xfId="527" applyNumberFormat="1" applyFont="1" applyFill="1" applyBorder="1" applyAlignment="1">
      <alignment horizontal="right"/>
    </xf>
    <xf numFmtId="1" fontId="79" fillId="0" borderId="21" xfId="527" applyNumberFormat="1" applyFont="1" applyFill="1" applyBorder="1" applyAlignment="1">
      <alignment horizontal="right"/>
    </xf>
    <xf numFmtId="1" fontId="76" fillId="0" borderId="0" xfId="527" applyNumberFormat="1" applyFont="1" applyFill="1" applyBorder="1" applyAlignment="1">
      <alignment horizontal="right"/>
    </xf>
    <xf numFmtId="179" fontId="34" fillId="0" borderId="0" xfId="2" applyNumberFormat="1" applyFont="1" applyBorder="1"/>
    <xf numFmtId="179" fontId="34" fillId="0" borderId="17" xfId="2" applyNumberFormat="1" applyFont="1" applyBorder="1"/>
    <xf numFmtId="179" fontId="34" fillId="0" borderId="2" xfId="2" applyNumberFormat="1" applyFont="1" applyBorder="1"/>
    <xf numFmtId="0" fontId="31" fillId="0" borderId="1" xfId="2" applyFont="1" applyFill="1" applyBorder="1" applyAlignment="1">
      <alignment horizontal="left"/>
    </xf>
    <xf numFmtId="9" fontId="0" fillId="0" borderId="0" xfId="541" applyFont="1"/>
    <xf numFmtId="168" fontId="38" fillId="28" borderId="0" xfId="541" applyNumberFormat="1" applyFont="1" applyFill="1" applyBorder="1"/>
    <xf numFmtId="181" fontId="37" fillId="28" borderId="1" xfId="2" applyNumberFormat="1" applyFont="1" applyFill="1" applyBorder="1" applyAlignment="1">
      <alignment horizontal="left" indent="1"/>
    </xf>
    <xf numFmtId="0" fontId="37" fillId="0" borderId="21" xfId="2" applyFont="1" applyBorder="1"/>
    <xf numFmtId="177" fontId="37" fillId="0" borderId="0" xfId="246" applyNumberFormat="1" applyFont="1" applyFill="1" applyBorder="1"/>
    <xf numFmtId="177" fontId="37" fillId="0" borderId="21" xfId="246" applyNumberFormat="1" applyFont="1" applyFill="1" applyBorder="1"/>
    <xf numFmtId="0" fontId="37" fillId="0" borderId="0" xfId="2" applyFont="1" applyBorder="1"/>
    <xf numFmtId="0" fontId="59" fillId="0" borderId="0" xfId="2" applyFont="1"/>
    <xf numFmtId="164" fontId="58" fillId="0" borderId="1" xfId="2" applyNumberFormat="1" applyFont="1" applyFill="1" applyBorder="1" applyAlignment="1"/>
    <xf numFmtId="164" fontId="58" fillId="0" borderId="0" xfId="2" applyNumberFormat="1" applyFont="1" applyFill="1" applyBorder="1" applyAlignment="1"/>
    <xf numFmtId="164" fontId="58" fillId="0" borderId="21" xfId="2" applyNumberFormat="1" applyFont="1" applyFill="1" applyBorder="1" applyAlignment="1"/>
    <xf numFmtId="0" fontId="59" fillId="0" borderId="26" xfId="2" applyFont="1" applyBorder="1"/>
    <xf numFmtId="164" fontId="59" fillId="0" borderId="0" xfId="2" applyNumberFormat="1" applyFont="1" applyFill="1" applyBorder="1" applyAlignment="1"/>
    <xf numFmtId="164" fontId="59" fillId="0" borderId="21" xfId="2" applyNumberFormat="1" applyFont="1" applyFill="1" applyBorder="1" applyAlignment="1"/>
    <xf numFmtId="164" fontId="59" fillId="0" borderId="1" xfId="2" applyNumberFormat="1" applyFont="1" applyFill="1" applyBorder="1" applyAlignment="1"/>
    <xf numFmtId="0" fontId="82" fillId="0" borderId="0" xfId="2" applyFont="1"/>
    <xf numFmtId="43" fontId="0" fillId="0" borderId="0" xfId="246" applyFont="1"/>
    <xf numFmtId="43" fontId="70" fillId="0" borderId="0" xfId="246" applyFont="1"/>
    <xf numFmtId="43" fontId="70" fillId="0" borderId="0" xfId="246" applyFont="1" applyFill="1"/>
    <xf numFmtId="0" fontId="29" fillId="0" borderId="1" xfId="2" applyNumberFormat="1" applyFont="1" applyFill="1" applyBorder="1"/>
    <xf numFmtId="0" fontId="42" fillId="18" borderId="24" xfId="2" applyNumberFormat="1" applyFont="1" applyFill="1" applyBorder="1"/>
    <xf numFmtId="0" fontId="29" fillId="18" borderId="6" xfId="2" applyFont="1" applyFill="1" applyBorder="1"/>
    <xf numFmtId="1" fontId="42" fillId="18" borderId="24" xfId="2" applyNumberFormat="1" applyFont="1" applyFill="1" applyBorder="1" applyAlignment="1">
      <alignment horizontal="right"/>
    </xf>
    <xf numFmtId="1" fontId="42" fillId="18" borderId="6" xfId="2" applyNumberFormat="1" applyFont="1" applyFill="1" applyBorder="1" applyAlignment="1">
      <alignment horizontal="right"/>
    </xf>
    <xf numFmtId="1" fontId="42" fillId="18" borderId="25" xfId="2" applyNumberFormat="1" applyFont="1" applyFill="1" applyBorder="1" applyAlignment="1">
      <alignment horizontal="right"/>
    </xf>
    <xf numFmtId="174" fontId="29" fillId="0" borderId="7" xfId="2" applyNumberFormat="1" applyFont="1" applyFill="1" applyBorder="1"/>
    <xf numFmtId="174" fontId="29" fillId="0" borderId="1" xfId="2" applyNumberFormat="1" applyFont="1" applyFill="1" applyBorder="1"/>
    <xf numFmtId="0" fontId="29" fillId="0" borderId="0" xfId="2" applyNumberFormat="1" applyFont="1"/>
    <xf numFmtId="0" fontId="37" fillId="0" borderId="1" xfId="246" applyNumberFormat="1" applyFont="1" applyFill="1" applyBorder="1" applyAlignment="1">
      <alignment horizontal="left" indent="1"/>
    </xf>
    <xf numFmtId="0" fontId="42" fillId="0" borderId="22" xfId="246" applyNumberFormat="1" applyFont="1" applyFill="1" applyBorder="1" applyAlignment="1">
      <alignment horizontal="left"/>
    </xf>
    <xf numFmtId="0" fontId="42" fillId="0" borderId="1" xfId="2" applyNumberFormat="1" applyFont="1" applyFill="1" applyBorder="1" applyAlignment="1"/>
    <xf numFmtId="0" fontId="47" fillId="0" borderId="1" xfId="246" applyNumberFormat="1" applyFont="1" applyFill="1" applyBorder="1" applyAlignment="1"/>
    <xf numFmtId="0" fontId="42" fillId="0" borderId="1" xfId="246" applyNumberFormat="1" applyFont="1" applyFill="1" applyBorder="1" applyAlignment="1"/>
    <xf numFmtId="0" fontId="47" fillId="0" borderId="1" xfId="246" applyNumberFormat="1" applyFont="1" applyFill="1" applyBorder="1" applyAlignment="1">
      <alignment horizontal="left" indent="1"/>
    </xf>
    <xf numFmtId="0" fontId="40" fillId="0" borderId="1" xfId="2" applyNumberFormat="1" applyFont="1" applyFill="1" applyBorder="1" applyAlignment="1"/>
    <xf numFmtId="0" fontId="29" fillId="0" borderId="1" xfId="2" applyNumberFormat="1" applyFont="1" applyBorder="1"/>
    <xf numFmtId="0" fontId="42" fillId="0" borderId="1" xfId="2" applyNumberFormat="1" applyFont="1" applyBorder="1"/>
    <xf numFmtId="0" fontId="47" fillId="0" borderId="1" xfId="246" applyNumberFormat="1" applyFont="1" applyBorder="1"/>
    <xf numFmtId="0" fontId="42" fillId="0" borderId="1" xfId="246" applyNumberFormat="1" applyFont="1" applyFill="1" applyBorder="1"/>
    <xf numFmtId="177" fontId="42" fillId="0" borderId="0" xfId="246" applyNumberFormat="1" applyFont="1" applyFill="1" applyBorder="1"/>
    <xf numFmtId="0" fontId="42" fillId="0" borderId="22" xfId="246" applyNumberFormat="1" applyFont="1" applyBorder="1"/>
    <xf numFmtId="177" fontId="42" fillId="0" borderId="2" xfId="246" applyNumberFormat="1" applyFont="1" applyBorder="1"/>
    <xf numFmtId="43" fontId="42" fillId="0" borderId="22" xfId="246" applyNumberFormat="1" applyFont="1" applyFill="1" applyBorder="1" applyAlignment="1"/>
    <xf numFmtId="43" fontId="42" fillId="0" borderId="2" xfId="246" applyNumberFormat="1" applyFont="1" applyFill="1" applyBorder="1" applyAlignment="1"/>
    <xf numFmtId="43" fontId="42" fillId="0" borderId="23" xfId="246" applyNumberFormat="1" applyFont="1" applyFill="1" applyBorder="1" applyAlignment="1"/>
    <xf numFmtId="177" fontId="29" fillId="0" borderId="1" xfId="2" applyNumberFormat="1" applyFont="1" applyFill="1" applyBorder="1"/>
    <xf numFmtId="177" fontId="29" fillId="0" borderId="0" xfId="2" applyNumberFormat="1" applyFont="1" applyFill="1" applyBorder="1"/>
    <xf numFmtId="177" fontId="29" fillId="0" borderId="21" xfId="2" applyNumberFormat="1" applyFont="1" applyFill="1" applyBorder="1"/>
    <xf numFmtId="177" fontId="42" fillId="0" borderId="22" xfId="246" applyNumberFormat="1" applyFont="1" applyFill="1" applyBorder="1"/>
    <xf numFmtId="177" fontId="42" fillId="0" borderId="2" xfId="246" applyNumberFormat="1" applyFont="1" applyFill="1" applyBorder="1"/>
    <xf numFmtId="177" fontId="42" fillId="0" borderId="23" xfId="246" applyNumberFormat="1" applyFont="1" applyFill="1" applyBorder="1"/>
    <xf numFmtId="164" fontId="34" fillId="0" borderId="22" xfId="2" applyNumberFormat="1" applyFont="1" applyFill="1" applyBorder="1" applyAlignment="1"/>
    <xf numFmtId="164" fontId="34" fillId="0" borderId="2" xfId="2" applyNumberFormat="1" applyFont="1" applyFill="1" applyBorder="1" applyAlignment="1"/>
    <xf numFmtId="164" fontId="34" fillId="0" borderId="23" xfId="2" applyNumberFormat="1" applyFont="1" applyFill="1" applyBorder="1" applyAlignment="1"/>
    <xf numFmtId="164" fontId="29" fillId="0" borderId="2" xfId="2" applyNumberFormat="1" applyFont="1" applyFill="1" applyBorder="1" applyAlignment="1"/>
    <xf numFmtId="164" fontId="29" fillId="0" borderId="23" xfId="2" applyNumberFormat="1" applyFont="1" applyFill="1" applyBorder="1" applyAlignment="1"/>
    <xf numFmtId="164" fontId="29" fillId="0" borderId="22" xfId="2" applyNumberFormat="1" applyFont="1" applyFill="1" applyBorder="1" applyAlignment="1"/>
    <xf numFmtId="177" fontId="42" fillId="0" borderId="1" xfId="246" applyNumberFormat="1" applyFont="1" applyFill="1" applyBorder="1"/>
    <xf numFmtId="177" fontId="42" fillId="0" borderId="21" xfId="246" applyNumberFormat="1" applyFont="1" applyFill="1" applyBorder="1"/>
    <xf numFmtId="177" fontId="29" fillId="0" borderId="1" xfId="2" applyNumberFormat="1" applyFont="1" applyBorder="1"/>
    <xf numFmtId="177" fontId="29" fillId="0" borderId="0" xfId="2" applyNumberFormat="1" applyFont="1" applyBorder="1"/>
    <xf numFmtId="177" fontId="29" fillId="0" borderId="21" xfId="2" applyNumberFormat="1" applyFont="1" applyBorder="1"/>
    <xf numFmtId="177" fontId="42" fillId="0" borderId="1" xfId="246" applyNumberFormat="1" applyFont="1" applyBorder="1"/>
    <xf numFmtId="43" fontId="24" fillId="0" borderId="22" xfId="2" applyNumberFormat="1" applyFont="1" applyBorder="1"/>
    <xf numFmtId="181" fontId="29" fillId="0" borderId="0" xfId="2" applyNumberFormat="1" applyFont="1" applyFill="1"/>
    <xf numFmtId="179" fontId="42" fillId="0" borderId="20" xfId="2" applyNumberFormat="1" applyFont="1" applyBorder="1"/>
    <xf numFmtId="179" fontId="47" fillId="0" borderId="21" xfId="2" applyNumberFormat="1" applyFont="1" applyBorder="1"/>
    <xf numFmtId="179" fontId="29" fillId="0" borderId="21" xfId="2" applyNumberFormat="1" applyFont="1" applyBorder="1"/>
    <xf numFmtId="164" fontId="42" fillId="0" borderId="25" xfId="2" applyNumberFormat="1" applyFont="1" applyBorder="1"/>
    <xf numFmtId="168" fontId="71" fillId="0" borderId="25" xfId="541" applyNumberFormat="1" applyFont="1" applyBorder="1"/>
    <xf numFmtId="174" fontId="30" fillId="0" borderId="25" xfId="2" applyNumberFormat="1" applyFont="1" applyBorder="1" applyAlignment="1">
      <alignment horizontal="centerContinuous"/>
    </xf>
    <xf numFmtId="179" fontId="29" fillId="0" borderId="23" xfId="2" applyNumberFormat="1" applyFont="1" applyBorder="1"/>
    <xf numFmtId="0" fontId="30" fillId="18" borderId="24" xfId="2" applyNumberFormat="1" applyFont="1" applyFill="1" applyBorder="1" applyAlignment="1">
      <alignment horizontal="left"/>
    </xf>
    <xf numFmtId="0" fontId="29" fillId="0" borderId="7" xfId="2" applyNumberFormat="1" applyFont="1" applyFill="1" applyBorder="1"/>
    <xf numFmtId="0" fontId="42" fillId="0" borderId="1" xfId="2" applyNumberFormat="1" applyFont="1" applyFill="1" applyBorder="1"/>
    <xf numFmtId="202" fontId="29" fillId="0" borderId="21" xfId="2" applyNumberFormat="1" applyFont="1" applyFill="1" applyBorder="1"/>
    <xf numFmtId="203" fontId="29" fillId="0" borderId="21" xfId="2" applyNumberFormat="1" applyFont="1" applyFill="1" applyBorder="1"/>
    <xf numFmtId="0" fontId="29" fillId="0" borderId="1" xfId="346" applyNumberFormat="1" applyFont="1" applyFill="1" applyBorder="1"/>
    <xf numFmtId="44" fontId="29" fillId="0" borderId="21" xfId="346" applyFont="1" applyFill="1" applyBorder="1"/>
    <xf numFmtId="0" fontId="59" fillId="0" borderId="1" xfId="2" applyNumberFormat="1" applyFont="1" applyFill="1" applyBorder="1"/>
    <xf numFmtId="203" fontId="59" fillId="0" borderId="21" xfId="2" applyNumberFormat="1" applyFont="1" applyFill="1" applyBorder="1"/>
    <xf numFmtId="0" fontId="29" fillId="0" borderId="22" xfId="2" applyNumberFormat="1" applyFont="1" applyFill="1" applyBorder="1"/>
    <xf numFmtId="203" fontId="29" fillId="0" borderId="23" xfId="2" applyNumberFormat="1" applyFont="1" applyFill="1" applyBorder="1"/>
    <xf numFmtId="0" fontId="30" fillId="18" borderId="6" xfId="2" applyFont="1" applyFill="1" applyBorder="1" applyAlignment="1">
      <alignment horizontal="left"/>
    </xf>
    <xf numFmtId="0" fontId="30" fillId="0" borderId="1" xfId="2" applyNumberFormat="1" applyFont="1" applyFill="1" applyBorder="1" applyAlignment="1">
      <alignment horizontal="left"/>
    </xf>
    <xf numFmtId="1" fontId="32" fillId="0" borderId="1" xfId="526" applyNumberFormat="1" applyFont="1" applyFill="1" applyBorder="1" applyAlignment="1">
      <alignment horizontal="right"/>
    </xf>
    <xf numFmtId="0" fontId="42" fillId="0" borderId="0" xfId="2" applyFont="1" applyFill="1" applyBorder="1"/>
    <xf numFmtId="164" fontId="42" fillId="24" borderId="1" xfId="525" applyNumberFormat="1" applyFont="1" applyFill="1" applyBorder="1"/>
    <xf numFmtId="0" fontId="59" fillId="0" borderId="0" xfId="2" applyFont="1" applyFill="1" applyBorder="1"/>
    <xf numFmtId="164" fontId="59" fillId="24" borderId="1" xfId="525" applyNumberFormat="1" applyFont="1" applyFill="1" applyBorder="1"/>
    <xf numFmtId="0" fontId="29" fillId="0" borderId="1" xfId="541" applyNumberFormat="1" applyFont="1" applyFill="1" applyBorder="1"/>
    <xf numFmtId="168" fontId="29" fillId="0" borderId="0" xfId="541" applyNumberFormat="1" applyFont="1" applyFill="1" applyBorder="1"/>
    <xf numFmtId="168" fontId="29" fillId="24" borderId="1" xfId="541" applyNumberFormat="1" applyFont="1" applyFill="1" applyBorder="1"/>
    <xf numFmtId="168" fontId="29" fillId="24" borderId="0" xfId="541" applyNumberFormat="1" applyFont="1" applyFill="1" applyBorder="1"/>
    <xf numFmtId="168" fontId="29" fillId="24" borderId="21" xfId="541" applyNumberFormat="1" applyFont="1" applyFill="1" applyBorder="1"/>
    <xf numFmtId="0" fontId="42" fillId="0" borderId="22" xfId="2" applyNumberFormat="1" applyFont="1" applyFill="1" applyBorder="1"/>
    <xf numFmtId="0" fontId="42" fillId="0" borderId="2" xfId="2" applyFont="1" applyFill="1" applyBorder="1"/>
    <xf numFmtId="164" fontId="42" fillId="24" borderId="22" xfId="525" applyNumberFormat="1" applyFont="1" applyFill="1" applyBorder="1"/>
    <xf numFmtId="164" fontId="59" fillId="0" borderId="0" xfId="2" applyNumberFormat="1" applyFont="1" applyFill="1" applyBorder="1"/>
    <xf numFmtId="164" fontId="48" fillId="24" borderId="0" xfId="525" applyNumberFormat="1" applyFont="1" applyFill="1" applyBorder="1"/>
    <xf numFmtId="164" fontId="48" fillId="24" borderId="21" xfId="525" applyNumberFormat="1" applyFont="1" applyFill="1" applyBorder="1"/>
    <xf numFmtId="164" fontId="83" fillId="24" borderId="0" xfId="525" applyNumberFormat="1" applyFont="1" applyFill="1" applyBorder="1"/>
    <xf numFmtId="164" fontId="83" fillId="24" borderId="21" xfId="525" applyNumberFormat="1" applyFont="1" applyFill="1" applyBorder="1"/>
    <xf numFmtId="164" fontId="48" fillId="24" borderId="2" xfId="525" applyNumberFormat="1" applyFont="1" applyFill="1" applyBorder="1"/>
    <xf numFmtId="164" fontId="48" fillId="24" borderId="23" xfId="525" applyNumberFormat="1" applyFont="1" applyFill="1" applyBorder="1"/>
    <xf numFmtId="164" fontId="59" fillId="0" borderId="21" xfId="2" applyNumberFormat="1" applyFont="1" applyFill="1" applyBorder="1"/>
    <xf numFmtId="0" fontId="29" fillId="0" borderId="17" xfId="2" applyFont="1" applyBorder="1"/>
    <xf numFmtId="37" fontId="29" fillId="0" borderId="7" xfId="2" applyNumberFormat="1" applyFont="1" applyFill="1" applyBorder="1"/>
    <xf numFmtId="177" fontId="29" fillId="0" borderId="24" xfId="246" applyNumberFormat="1" applyFont="1" applyFill="1" applyBorder="1"/>
    <xf numFmtId="177" fontId="43" fillId="0" borderId="22" xfId="246" applyNumberFormat="1" applyFont="1" applyFill="1" applyBorder="1"/>
    <xf numFmtId="177" fontId="44" fillId="0" borderId="7" xfId="246" applyNumberFormat="1" applyFont="1" applyFill="1" applyBorder="1"/>
    <xf numFmtId="168" fontId="31" fillId="0" borderId="1" xfId="541" applyNumberFormat="1" applyFont="1" applyBorder="1"/>
    <xf numFmtId="177" fontId="44" fillId="0" borderId="22" xfId="246" applyNumberFormat="1" applyFont="1" applyFill="1" applyBorder="1"/>
    <xf numFmtId="1" fontId="56" fillId="26" borderId="24" xfId="527" applyNumberFormat="1" applyFont="1" applyFill="1" applyBorder="1" applyAlignment="1">
      <alignment horizontal="right"/>
    </xf>
    <xf numFmtId="168" fontId="37" fillId="0" borderId="1" xfId="541" applyNumberFormat="1" applyFont="1" applyBorder="1"/>
    <xf numFmtId="179" fontId="47" fillId="0" borderId="1" xfId="2" applyNumberFormat="1" applyFont="1" applyBorder="1"/>
    <xf numFmtId="179" fontId="42" fillId="0" borderId="22" xfId="2" applyNumberFormat="1" applyFont="1" applyBorder="1"/>
    <xf numFmtId="179" fontId="29" fillId="0" borderId="1" xfId="2" applyNumberFormat="1" applyFont="1" applyBorder="1"/>
    <xf numFmtId="164" fontId="42" fillId="0" borderId="24" xfId="2" applyNumberFormat="1" applyFont="1" applyBorder="1"/>
    <xf numFmtId="168" fontId="38" fillId="0" borderId="1" xfId="541" applyNumberFormat="1" applyFont="1" applyBorder="1"/>
    <xf numFmtId="168" fontId="80" fillId="0" borderId="24" xfId="541" applyNumberFormat="1" applyFont="1" applyBorder="1"/>
    <xf numFmtId="179" fontId="34" fillId="0" borderId="1" xfId="2" applyNumberFormat="1" applyFont="1" applyBorder="1"/>
    <xf numFmtId="179" fontId="34" fillId="0" borderId="22" xfId="2" applyNumberFormat="1" applyFont="1" applyBorder="1"/>
    <xf numFmtId="0" fontId="0" fillId="0" borderId="17" xfId="2" applyFont="1" applyBorder="1"/>
    <xf numFmtId="0" fontId="59" fillId="0" borderId="26" xfId="2" applyFont="1" applyFill="1" applyBorder="1"/>
    <xf numFmtId="170" fontId="84" fillId="0" borderId="0" xfId="2" applyNumberFormat="1" applyFont="1"/>
    <xf numFmtId="173" fontId="84" fillId="0" borderId="1" xfId="2" applyNumberFormat="1" applyFont="1" applyFill="1" applyBorder="1"/>
    <xf numFmtId="173" fontId="84" fillId="0" borderId="0" xfId="2" applyNumberFormat="1" applyFont="1" applyFill="1" applyBorder="1"/>
    <xf numFmtId="173" fontId="84" fillId="0" borderId="21" xfId="2" applyNumberFormat="1" applyFont="1" applyFill="1" applyBorder="1"/>
    <xf numFmtId="170" fontId="85" fillId="0" borderId="0" xfId="2" applyNumberFormat="1" applyFont="1"/>
    <xf numFmtId="0" fontId="84" fillId="0" borderId="0" xfId="2" applyFont="1"/>
    <xf numFmtId="167" fontId="84" fillId="0" borderId="1" xfId="2" applyNumberFormat="1" applyFont="1" applyFill="1" applyBorder="1" applyAlignment="1"/>
    <xf numFmtId="167" fontId="84" fillId="0" borderId="0" xfId="2" applyNumberFormat="1" applyFont="1" applyFill="1" applyBorder="1" applyAlignment="1"/>
    <xf numFmtId="167" fontId="84" fillId="0" borderId="21" xfId="2" applyNumberFormat="1" applyFont="1" applyFill="1" applyBorder="1" applyAlignment="1"/>
    <xf numFmtId="0" fontId="85" fillId="0" borderId="0" xfId="2" applyFont="1"/>
    <xf numFmtId="198" fontId="74" fillId="0" borderId="0" xfId="346" applyNumberFormat="1" applyFont="1" applyFill="1" applyAlignment="1">
      <alignment horizontal="center"/>
    </xf>
    <xf numFmtId="198" fontId="74" fillId="0" borderId="0" xfId="346" applyNumberFormat="1" applyFont="1" applyFill="1" applyBorder="1" applyAlignment="1">
      <alignment horizontal="center"/>
    </xf>
    <xf numFmtId="43" fontId="74" fillId="0" borderId="0" xfId="246" applyFont="1" applyAlignment="1">
      <alignment horizontal="center"/>
    </xf>
    <xf numFmtId="43" fontId="74" fillId="0" borderId="0" xfId="246" applyFont="1" applyFill="1" applyAlignment="1">
      <alignment horizontal="center"/>
    </xf>
    <xf numFmtId="168" fontId="0" fillId="0" borderId="0" xfId="541" applyNumberFormat="1" applyFont="1"/>
    <xf numFmtId="10" fontId="37" fillId="0" borderId="0" xfId="541" applyNumberFormat="1" applyFont="1" applyBorder="1"/>
    <xf numFmtId="10" fontId="37" fillId="0" borderId="21" xfId="541" applyNumberFormat="1" applyFont="1" applyBorder="1"/>
    <xf numFmtId="44" fontId="0" fillId="0" borderId="0" xfId="346" applyFont="1"/>
    <xf numFmtId="44" fontId="70" fillId="0" borderId="0" xfId="346" applyFont="1"/>
    <xf numFmtId="0" fontId="37" fillId="0" borderId="1" xfId="246" applyNumberFormat="1" applyFont="1" applyFill="1" applyBorder="1" applyAlignment="1">
      <alignment horizontal="left"/>
    </xf>
    <xf numFmtId="0" fontId="47" fillId="0" borderId="1" xfId="246" applyNumberFormat="1" applyFont="1" applyFill="1" applyBorder="1" applyAlignment="1">
      <alignment horizontal="left"/>
    </xf>
    <xf numFmtId="0" fontId="47" fillId="0" borderId="0" xfId="2" applyFont="1" applyBorder="1"/>
    <xf numFmtId="174" fontId="47" fillId="0" borderId="0" xfId="2" applyNumberFormat="1" applyFont="1" applyBorder="1" applyAlignment="1">
      <alignment horizontal="centerContinuous"/>
    </xf>
    <xf numFmtId="0" fontId="86" fillId="0" borderId="0" xfId="2" applyFont="1"/>
    <xf numFmtId="0" fontId="86" fillId="0" borderId="0" xfId="2" applyFont="1" applyBorder="1"/>
    <xf numFmtId="174" fontId="86" fillId="0" borderId="0" xfId="2" applyNumberFormat="1" applyFont="1" applyBorder="1" applyAlignment="1">
      <alignment horizontal="centerContinuous"/>
    </xf>
    <xf numFmtId="174" fontId="30" fillId="0" borderId="21" xfId="2" applyNumberFormat="1" applyFont="1" applyBorder="1" applyAlignment="1">
      <alignment horizontal="centerContinuous"/>
    </xf>
    <xf numFmtId="0" fontId="86" fillId="0" borderId="1" xfId="2" applyFont="1" applyFill="1" applyBorder="1"/>
    <xf numFmtId="174" fontId="47" fillId="0" borderId="21" xfId="2" applyNumberFormat="1" applyFont="1" applyBorder="1" applyAlignment="1">
      <alignment horizontal="centerContinuous"/>
    </xf>
    <xf numFmtId="174" fontId="86" fillId="0" borderId="21" xfId="2" applyNumberFormat="1" applyFont="1" applyBorder="1" applyAlignment="1">
      <alignment horizontal="centerContinuous"/>
    </xf>
    <xf numFmtId="174" fontId="30" fillId="0" borderId="2" xfId="2" applyNumberFormat="1" applyFont="1" applyBorder="1" applyAlignment="1">
      <alignment horizontal="centerContinuous"/>
    </xf>
    <xf numFmtId="174" fontId="30" fillId="0" borderId="23" xfId="2" applyNumberFormat="1" applyFont="1" applyBorder="1" applyAlignment="1">
      <alignment horizontal="centerContinuous"/>
    </xf>
    <xf numFmtId="174" fontId="30" fillId="0" borderId="1" xfId="2" applyNumberFormat="1" applyFont="1" applyBorder="1" applyAlignment="1">
      <alignment horizontal="centerContinuous"/>
    </xf>
    <xf numFmtId="174" fontId="47" fillId="0" borderId="1" xfId="2" applyNumberFormat="1" applyFont="1" applyBorder="1" applyAlignment="1">
      <alignment horizontal="centerContinuous"/>
    </xf>
    <xf numFmtId="174" fontId="86" fillId="0" borderId="1" xfId="2" applyNumberFormat="1" applyFont="1" applyBorder="1" applyAlignment="1">
      <alignment horizontal="centerContinuous"/>
    </xf>
    <xf numFmtId="174" fontId="30" fillId="0" borderId="22" xfId="2" applyNumberFormat="1" applyFont="1" applyBorder="1" applyAlignment="1">
      <alignment horizontal="centerContinuous"/>
    </xf>
    <xf numFmtId="168" fontId="38" fillId="29" borderId="0" xfId="541" applyNumberFormat="1" applyFont="1" applyFill="1" applyBorder="1" applyAlignment="1">
      <alignment horizontal="right"/>
    </xf>
    <xf numFmtId="168" fontId="90" fillId="29" borderId="21" xfId="541" applyNumberFormat="1" applyFont="1" applyFill="1" applyBorder="1" applyAlignment="1">
      <alignment horizontal="right"/>
    </xf>
    <xf numFmtId="179" fontId="0" fillId="0" borderId="0" xfId="2" applyNumberFormat="1" applyFont="1"/>
    <xf numFmtId="168" fontId="38" fillId="0" borderId="22" xfId="541" applyNumberFormat="1" applyFont="1" applyFill="1" applyBorder="1"/>
    <xf numFmtId="168" fontId="38" fillId="0" borderId="2" xfId="541" applyNumberFormat="1" applyFont="1" applyFill="1" applyBorder="1"/>
    <xf numFmtId="168" fontId="38" fillId="0" borderId="23" xfId="541" applyNumberFormat="1" applyFont="1" applyFill="1" applyBorder="1"/>
    <xf numFmtId="0" fontId="29" fillId="26" borderId="25" xfId="2" applyFont="1" applyFill="1" applyBorder="1"/>
    <xf numFmtId="168" fontId="31" fillId="26" borderId="6" xfId="541" applyNumberFormat="1" applyFont="1" applyFill="1" applyBorder="1"/>
    <xf numFmtId="168" fontId="31" fillId="26" borderId="25" xfId="541" applyNumberFormat="1" applyFont="1" applyFill="1" applyBorder="1"/>
    <xf numFmtId="1" fontId="30" fillId="0" borderId="21" xfId="527" applyNumberFormat="1" applyFont="1" applyFill="1" applyBorder="1" applyAlignment="1">
      <alignment horizontal="right"/>
    </xf>
    <xf numFmtId="0" fontId="29" fillId="26" borderId="24" xfId="2" applyFont="1" applyFill="1" applyBorder="1"/>
    <xf numFmtId="0" fontId="29" fillId="26" borderId="6" xfId="2" applyFont="1" applyFill="1" applyBorder="1"/>
    <xf numFmtId="170" fontId="47" fillId="0" borderId="0" xfId="2" applyNumberFormat="1" applyFont="1"/>
    <xf numFmtId="173" fontId="47" fillId="0" borderId="1" xfId="2" applyNumberFormat="1" applyFont="1" applyFill="1" applyBorder="1"/>
    <xf numFmtId="173" fontId="47" fillId="0" borderId="0" xfId="2" applyNumberFormat="1" applyFont="1" applyFill="1" applyBorder="1"/>
    <xf numFmtId="173" fontId="47" fillId="0" borderId="21" xfId="2" applyNumberFormat="1" applyFont="1" applyFill="1" applyBorder="1"/>
    <xf numFmtId="170" fontId="45" fillId="0" borderId="0" xfId="2" applyNumberFormat="1" applyFont="1"/>
    <xf numFmtId="170" fontId="42" fillId="0" borderId="0" xfId="2" applyNumberFormat="1" applyFont="1"/>
    <xf numFmtId="173" fontId="42" fillId="0" borderId="22" xfId="2" applyNumberFormat="1" applyFont="1" applyFill="1" applyBorder="1"/>
    <xf numFmtId="173" fontId="42" fillId="0" borderId="2" xfId="2" applyNumberFormat="1" applyFont="1" applyFill="1" applyBorder="1"/>
    <xf numFmtId="173" fontId="42" fillId="0" borderId="23" xfId="2" applyNumberFormat="1" applyFont="1" applyFill="1" applyBorder="1"/>
    <xf numFmtId="170" fontId="41" fillId="0" borderId="0" xfId="2" applyNumberFormat="1" applyFont="1"/>
    <xf numFmtId="183" fontId="47" fillId="0" borderId="0" xfId="246" applyNumberFormat="1" applyFont="1" applyFill="1" applyBorder="1"/>
    <xf numFmtId="183" fontId="47" fillId="0" borderId="0" xfId="246" applyNumberFormat="1" applyFont="1" applyFill="1" applyBorder="1" applyAlignment="1">
      <alignment horizontal="left"/>
    </xf>
    <xf numFmtId="183" fontId="47" fillId="0" borderId="1" xfId="246" applyNumberFormat="1" applyFont="1" applyFill="1" applyBorder="1" applyAlignment="1">
      <alignment horizontal="right"/>
    </xf>
    <xf numFmtId="183" fontId="47" fillId="0" borderId="0" xfId="246" applyNumberFormat="1" applyFont="1" applyFill="1" applyBorder="1" applyAlignment="1">
      <alignment horizontal="right"/>
    </xf>
    <xf numFmtId="183" fontId="47" fillId="0" borderId="21" xfId="246" applyNumberFormat="1" applyFont="1" applyFill="1" applyBorder="1" applyAlignment="1">
      <alignment horizontal="right"/>
    </xf>
    <xf numFmtId="183" fontId="47" fillId="0" borderId="26" xfId="246" applyNumberFormat="1" applyFont="1" applyFill="1" applyBorder="1"/>
    <xf numFmtId="183" fontId="49" fillId="0" borderId="1" xfId="246" applyNumberFormat="1" applyFont="1" applyFill="1" applyBorder="1" applyAlignment="1">
      <alignment horizontal="right"/>
    </xf>
    <xf numFmtId="183" fontId="49" fillId="0" borderId="0" xfId="246" applyNumberFormat="1" applyFont="1" applyFill="1" applyBorder="1" applyAlignment="1">
      <alignment horizontal="right"/>
    </xf>
    <xf numFmtId="183" fontId="49" fillId="0" borderId="21" xfId="246" applyNumberFormat="1" applyFont="1" applyFill="1" applyBorder="1" applyAlignment="1">
      <alignment horizontal="right"/>
    </xf>
    <xf numFmtId="183" fontId="29" fillId="0" borderId="1" xfId="246" applyNumberFormat="1" applyFont="1" applyBorder="1"/>
    <xf numFmtId="183" fontId="29" fillId="0" borderId="21" xfId="246" applyNumberFormat="1" applyFont="1" applyBorder="1"/>
    <xf numFmtId="183" fontId="45" fillId="0" borderId="0" xfId="246" applyNumberFormat="1" applyFont="1" applyFill="1" applyBorder="1"/>
    <xf numFmtId="183" fontId="86" fillId="0" borderId="0" xfId="246" applyNumberFormat="1" applyFont="1" applyFill="1" applyBorder="1"/>
    <xf numFmtId="183" fontId="86" fillId="0" borderId="0" xfId="246" applyNumberFormat="1" applyFont="1" applyFill="1" applyBorder="1" applyAlignment="1">
      <alignment horizontal="left"/>
    </xf>
    <xf numFmtId="183" fontId="86" fillId="0" borderId="1" xfId="246" applyNumberFormat="1" applyFont="1" applyFill="1" applyBorder="1" applyAlignment="1">
      <alignment horizontal="right"/>
    </xf>
    <xf numFmtId="183" fontId="86" fillId="0" borderId="0" xfId="246" applyNumberFormat="1" applyFont="1" applyFill="1" applyBorder="1" applyAlignment="1">
      <alignment horizontal="right"/>
    </xf>
    <xf numFmtId="183" fontId="86" fillId="0" borderId="21" xfId="246" applyNumberFormat="1" applyFont="1" applyFill="1" applyBorder="1" applyAlignment="1">
      <alignment horizontal="right"/>
    </xf>
    <xf numFmtId="183" fontId="86" fillId="0" borderId="26" xfId="246" applyNumberFormat="1" applyFont="1" applyFill="1" applyBorder="1"/>
    <xf numFmtId="183" fontId="87" fillId="0" borderId="1" xfId="246" applyNumberFormat="1" applyFont="1" applyFill="1" applyBorder="1" applyAlignment="1">
      <alignment horizontal="right"/>
    </xf>
    <xf numFmtId="183" fontId="87" fillId="0" borderId="0" xfId="246" applyNumberFormat="1" applyFont="1" applyFill="1" applyBorder="1" applyAlignment="1">
      <alignment horizontal="right"/>
    </xf>
    <xf numFmtId="183" fontId="87" fillId="0" borderId="21" xfId="246" applyNumberFormat="1" applyFont="1" applyFill="1" applyBorder="1" applyAlignment="1">
      <alignment horizontal="right"/>
    </xf>
    <xf numFmtId="183" fontId="86" fillId="0" borderId="1" xfId="246" applyNumberFormat="1" applyFont="1" applyBorder="1"/>
    <xf numFmtId="183" fontId="86" fillId="0" borderId="0" xfId="246" applyNumberFormat="1" applyFont="1" applyBorder="1"/>
    <xf numFmtId="183" fontId="86" fillId="0" borderId="21" xfId="246" applyNumberFormat="1" applyFont="1" applyBorder="1"/>
    <xf numFmtId="183" fontId="88" fillId="0" borderId="0" xfId="246" applyNumberFormat="1" applyFont="1" applyFill="1" applyBorder="1"/>
    <xf numFmtId="183" fontId="42" fillId="0" borderId="0" xfId="246" applyNumberFormat="1" applyFont="1" applyFill="1" applyBorder="1"/>
    <xf numFmtId="183" fontId="42" fillId="0" borderId="0" xfId="246" applyNumberFormat="1" applyFont="1" applyFill="1" applyBorder="1" applyAlignment="1">
      <alignment horizontal="left"/>
    </xf>
    <xf numFmtId="183" fontId="42" fillId="0" borderId="1" xfId="246" applyNumberFormat="1" applyFont="1" applyFill="1" applyBorder="1" applyAlignment="1">
      <alignment horizontal="right"/>
    </xf>
    <xf numFmtId="183" fontId="42" fillId="0" borderId="0" xfId="246" applyNumberFormat="1" applyFont="1" applyFill="1" applyBorder="1" applyAlignment="1">
      <alignment horizontal="right"/>
    </xf>
    <xf numFmtId="183" fontId="42" fillId="0" borderId="21" xfId="246" applyNumberFormat="1" applyFont="1" applyFill="1" applyBorder="1" applyAlignment="1">
      <alignment horizontal="right"/>
    </xf>
    <xf numFmtId="183" fontId="42" fillId="0" borderId="26" xfId="246" applyNumberFormat="1" applyFont="1" applyFill="1" applyBorder="1"/>
    <xf numFmtId="183" fontId="48" fillId="0" borderId="1" xfId="246" applyNumberFormat="1" applyFont="1" applyFill="1" applyBorder="1" applyAlignment="1">
      <alignment horizontal="right"/>
    </xf>
    <xf numFmtId="183" fontId="48" fillId="0" borderId="0" xfId="246" applyNumberFormat="1" applyFont="1" applyFill="1" applyBorder="1" applyAlignment="1">
      <alignment horizontal="right"/>
    </xf>
    <xf numFmtId="183" fontId="48" fillId="0" borderId="21" xfId="246" applyNumberFormat="1" applyFont="1" applyFill="1" applyBorder="1" applyAlignment="1">
      <alignment horizontal="right"/>
    </xf>
    <xf numFmtId="183" fontId="42" fillId="0" borderId="1" xfId="246" applyNumberFormat="1" applyFont="1" applyBorder="1"/>
    <xf numFmtId="183" fontId="42" fillId="0" borderId="0" xfId="246" applyNumberFormat="1" applyFont="1" applyBorder="1"/>
    <xf numFmtId="183" fontId="42" fillId="0" borderId="21" xfId="246" applyNumberFormat="1" applyFont="1" applyBorder="1"/>
    <xf numFmtId="183" fontId="41" fillId="0" borderId="0" xfId="246" applyNumberFormat="1" applyFont="1" applyFill="1" applyBorder="1"/>
    <xf numFmtId="183" fontId="70" fillId="0" borderId="0" xfId="246" applyNumberFormat="1" applyFont="1"/>
    <xf numFmtId="44" fontId="24" fillId="0" borderId="0" xfId="346" applyFont="1"/>
    <xf numFmtId="168" fontId="39" fillId="0" borderId="0" xfId="541" applyNumberFormat="1" applyFont="1" applyFill="1" applyBorder="1"/>
    <xf numFmtId="0" fontId="86" fillId="0" borderId="1" xfId="246" applyNumberFormat="1" applyFont="1" applyFill="1" applyBorder="1" applyAlignment="1">
      <alignment horizontal="left"/>
    </xf>
    <xf numFmtId="0" fontId="42" fillId="0" borderId="1" xfId="246" applyNumberFormat="1" applyFont="1" applyFill="1" applyBorder="1" applyAlignment="1">
      <alignment horizontal="left"/>
    </xf>
    <xf numFmtId="183" fontId="31" fillId="0" borderId="22" xfId="246" applyNumberFormat="1" applyFont="1" applyFill="1" applyBorder="1"/>
    <xf numFmtId="183" fontId="47" fillId="0" borderId="22" xfId="246" applyNumberFormat="1" applyFont="1" applyFill="1" applyBorder="1"/>
    <xf numFmtId="183" fontId="31" fillId="0" borderId="23" xfId="246" applyNumberFormat="1" applyFont="1" applyFill="1" applyBorder="1"/>
    <xf numFmtId="183" fontId="31" fillId="0" borderId="2" xfId="246" applyNumberFormat="1" applyFont="1" applyFill="1" applyBorder="1"/>
    <xf numFmtId="177" fontId="31" fillId="0" borderId="0" xfId="246" applyNumberFormat="1" applyFont="1" applyBorder="1"/>
    <xf numFmtId="168" fontId="70" fillId="0" borderId="0" xfId="541" applyNumberFormat="1" applyFont="1"/>
    <xf numFmtId="164" fontId="29" fillId="0" borderId="17" xfId="2" applyNumberFormat="1" applyFont="1" applyFill="1" applyBorder="1" applyAlignment="1"/>
    <xf numFmtId="10" fontId="0" fillId="0" borderId="0" xfId="541" applyNumberFormat="1" applyFont="1"/>
    <xf numFmtId="166" fontId="30" fillId="0" borderId="7" xfId="526" applyFont="1" applyFill="1" applyBorder="1"/>
    <xf numFmtId="166" fontId="30" fillId="0" borderId="20" xfId="526" applyFont="1" applyFill="1" applyBorder="1"/>
    <xf numFmtId="169" fontId="34" fillId="0" borderId="17" xfId="2" applyNumberFormat="1" applyFont="1" applyFill="1" applyBorder="1"/>
    <xf numFmtId="0" fontId="0" fillId="0" borderId="17" xfId="0" applyBorder="1"/>
    <xf numFmtId="1" fontId="32" fillId="18" borderId="7" xfId="526" applyNumberFormat="1" applyFont="1" applyFill="1" applyBorder="1" applyAlignment="1">
      <alignment horizontal="right"/>
    </xf>
    <xf numFmtId="0" fontId="0" fillId="0" borderId="0" xfId="0" applyBorder="1"/>
    <xf numFmtId="1" fontId="30" fillId="18" borderId="25" xfId="2" applyNumberFormat="1" applyFont="1" applyFill="1" applyBorder="1" applyAlignment="1">
      <alignment horizontal="right"/>
    </xf>
    <xf numFmtId="0" fontId="0" fillId="0" borderId="2" xfId="0" applyBorder="1"/>
    <xf numFmtId="0" fontId="24" fillId="0" borderId="17" xfId="2" applyFont="1" applyBorder="1"/>
    <xf numFmtId="0" fontId="29" fillId="0" borderId="0" xfId="0" applyFont="1"/>
    <xf numFmtId="0" fontId="30" fillId="18" borderId="24" xfId="2" applyNumberFormat="1" applyFont="1" applyFill="1" applyBorder="1"/>
    <xf numFmtId="0" fontId="0" fillId="0" borderId="21" xfId="0" applyBorder="1"/>
    <xf numFmtId="0" fontId="0" fillId="0" borderId="1" xfId="0" applyBorder="1"/>
    <xf numFmtId="164" fontId="34" fillId="0" borderId="0" xfId="2" applyNumberFormat="1" applyFont="1"/>
    <xf numFmtId="0" fontId="30" fillId="0" borderId="1" xfId="2" applyNumberFormat="1" applyFont="1" applyFill="1" applyBorder="1" applyAlignment="1"/>
    <xf numFmtId="0" fontId="24" fillId="0" borderId="0" xfId="2" applyFont="1" applyFill="1" applyBorder="1"/>
    <xf numFmtId="0" fontId="0" fillId="0" borderId="0" xfId="0" applyFill="1"/>
    <xf numFmtId="0" fontId="0" fillId="0" borderId="1" xfId="0" applyFill="1" applyBorder="1"/>
    <xf numFmtId="1" fontId="32" fillId="18" borderId="7" xfId="527" applyNumberFormat="1" applyFont="1" applyFill="1" applyBorder="1" applyAlignment="1">
      <alignment horizontal="right"/>
    </xf>
    <xf numFmtId="179" fontId="42" fillId="0" borderId="7" xfId="2" applyNumberFormat="1" applyFont="1" applyBorder="1"/>
    <xf numFmtId="168" fontId="31" fillId="0" borderId="1" xfId="541" applyNumberFormat="1" applyFont="1" applyBorder="1" applyAlignment="1">
      <alignment horizontal="right"/>
    </xf>
    <xf numFmtId="174" fontId="30" fillId="0" borderId="24" xfId="2" applyNumberFormat="1" applyFont="1" applyBorder="1" applyAlignment="1">
      <alignment horizontal="center"/>
    </xf>
    <xf numFmtId="179" fontId="29" fillId="0" borderId="22" xfId="2" applyNumberFormat="1" applyFont="1" applyBorder="1"/>
    <xf numFmtId="168" fontId="71" fillId="0" borderId="24" xfId="541" applyNumberFormat="1" applyFont="1" applyBorder="1"/>
    <xf numFmtId="1" fontId="32" fillId="18" borderId="17" xfId="526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" fontId="29" fillId="0" borderId="26" xfId="2" applyNumberFormat="1" applyFont="1" applyBorder="1"/>
    <xf numFmtId="168" fontId="0" fillId="0" borderId="21" xfId="541" applyNumberFormat="1" applyFont="1" applyBorder="1"/>
    <xf numFmtId="164" fontId="34" fillId="0" borderId="7" xfId="2" applyNumberFormat="1" applyFont="1" applyFill="1" applyBorder="1" applyAlignment="1"/>
    <xf numFmtId="164" fontId="34" fillId="0" borderId="20" xfId="2" applyNumberFormat="1" applyFont="1" applyFill="1" applyBorder="1" applyAlignment="1"/>
    <xf numFmtId="0" fontId="0" fillId="0" borderId="7" xfId="0" applyBorder="1"/>
    <xf numFmtId="168" fontId="0" fillId="0" borderId="0" xfId="0" applyNumberFormat="1"/>
    <xf numFmtId="43" fontId="45" fillId="0" borderId="0" xfId="246" applyFont="1"/>
    <xf numFmtId="170" fontId="42" fillId="0" borderId="23" xfId="2" applyNumberFormat="1" applyFont="1" applyFill="1" applyBorder="1"/>
    <xf numFmtId="170" fontId="47" fillId="0" borderId="21" xfId="2" applyNumberFormat="1" applyFont="1" applyFill="1" applyBorder="1"/>
    <xf numFmtId="170" fontId="84" fillId="0" borderId="21" xfId="2" applyNumberFormat="1" applyFont="1" applyFill="1" applyBorder="1"/>
    <xf numFmtId="0" fontId="59" fillId="0" borderId="21" xfId="2" applyFont="1" applyFill="1" applyBorder="1" applyAlignment="1">
      <alignment horizontal="left" indent="1"/>
    </xf>
    <xf numFmtId="0" fontId="59" fillId="0" borderId="21" xfId="2" applyFont="1" applyFill="1" applyBorder="1"/>
    <xf numFmtId="0" fontId="84" fillId="0" borderId="21" xfId="2" applyFont="1" applyFill="1" applyBorder="1"/>
    <xf numFmtId="164" fontId="29" fillId="0" borderId="21" xfId="2" applyNumberFormat="1" applyFont="1" applyBorder="1"/>
    <xf numFmtId="173" fontId="42" fillId="0" borderId="21" xfId="2" applyNumberFormat="1" applyFont="1" applyBorder="1"/>
    <xf numFmtId="173" fontId="47" fillId="0" borderId="21" xfId="2" applyNumberFormat="1" applyFont="1" applyBorder="1"/>
    <xf numFmtId="173" fontId="84" fillId="0" borderId="21" xfId="2" applyNumberFormat="1" applyFont="1" applyBorder="1"/>
    <xf numFmtId="173" fontId="29" fillId="0" borderId="21" xfId="2" applyNumberFormat="1" applyFont="1" applyBorder="1"/>
    <xf numFmtId="0" fontId="59" fillId="0" borderId="21" xfId="2" applyFont="1" applyBorder="1"/>
    <xf numFmtId="0" fontId="84" fillId="0" borderId="21" xfId="2" applyFont="1" applyBorder="1"/>
    <xf numFmtId="177" fontId="59" fillId="0" borderId="21" xfId="2" applyNumberFormat="1" applyFont="1" applyFill="1" applyBorder="1" applyAlignment="1"/>
    <xf numFmtId="181" fontId="31" fillId="0" borderId="21" xfId="563" applyNumberFormat="1" applyFont="1" applyFill="1" applyBorder="1" applyAlignment="1"/>
    <xf numFmtId="168" fontId="0" fillId="0" borderId="0" xfId="541" applyNumberFormat="1" applyFont="1" applyBorder="1"/>
    <xf numFmtId="168" fontId="29" fillId="0" borderId="0" xfId="2" applyNumberFormat="1" applyFont="1" applyFill="1" applyBorder="1" applyAlignment="1"/>
    <xf numFmtId="177" fontId="59" fillId="0" borderId="0" xfId="2" applyNumberFormat="1" applyFont="1" applyFill="1" applyBorder="1" applyAlignment="1"/>
    <xf numFmtId="181" fontId="31" fillId="0" borderId="0" xfId="563" applyNumberFormat="1" applyFont="1" applyFill="1" applyBorder="1" applyAlignment="1"/>
    <xf numFmtId="168" fontId="31" fillId="0" borderId="0" xfId="563" applyNumberFormat="1" applyFont="1" applyFill="1" applyBorder="1" applyAlignment="1"/>
    <xf numFmtId="168" fontId="31" fillId="0" borderId="21" xfId="563" applyNumberFormat="1" applyFont="1" applyFill="1" applyBorder="1" applyAlignment="1"/>
    <xf numFmtId="168" fontId="37" fillId="0" borderId="0" xfId="541" applyNumberFormat="1" applyFont="1" applyFill="1" applyBorder="1" applyAlignment="1">
      <alignment horizontal="right"/>
    </xf>
    <xf numFmtId="0" fontId="0" fillId="0" borderId="20" xfId="0" applyBorder="1"/>
    <xf numFmtId="168" fontId="37" fillId="0" borderId="1" xfId="541" applyNumberFormat="1" applyFont="1" applyFill="1" applyBorder="1" applyAlignment="1">
      <alignment horizontal="right"/>
    </xf>
    <xf numFmtId="43" fontId="45" fillId="0" borderId="0" xfId="246" applyFont="1" applyAlignment="1">
      <alignment horizontal="center"/>
    </xf>
    <xf numFmtId="183" fontId="45" fillId="0" borderId="0" xfId="246" applyNumberFormat="1" applyFont="1" applyAlignment="1">
      <alignment horizontal="center"/>
    </xf>
    <xf numFmtId="179" fontId="30" fillId="0" borderId="24" xfId="2" applyNumberFormat="1" applyFont="1" applyBorder="1" applyAlignment="1">
      <alignment horizontal="right"/>
    </xf>
    <xf numFmtId="179" fontId="30" fillId="0" borderId="6" xfId="2" applyNumberFormat="1" applyFont="1" applyBorder="1" applyAlignment="1">
      <alignment horizontal="right"/>
    </xf>
    <xf numFmtId="179" fontId="30" fillId="0" borderId="25" xfId="2" applyNumberFormat="1" applyFont="1" applyBorder="1" applyAlignment="1">
      <alignment horizontal="right"/>
    </xf>
    <xf numFmtId="181" fontId="29" fillId="0" borderId="0" xfId="2" applyNumberFormat="1" applyFont="1" applyBorder="1" applyAlignment="1">
      <alignment horizontal="center"/>
    </xf>
    <xf numFmtId="181" fontId="29" fillId="0" borderId="17" xfId="2" applyNumberFormat="1" applyFont="1" applyBorder="1" applyAlignment="1">
      <alignment horizontal="center"/>
    </xf>
    <xf numFmtId="0" fontId="45" fillId="0" borderId="17" xfId="0" applyFont="1" applyBorder="1" applyAlignment="1">
      <alignment horizontal="center"/>
    </xf>
    <xf numFmtId="168" fontId="34" fillId="0" borderId="17" xfId="541" applyNumberFormat="1" applyFont="1" applyBorder="1" applyAlignment="1">
      <alignment horizontal="center"/>
    </xf>
    <xf numFmtId="168" fontId="38" fillId="0" borderId="0" xfId="541" applyNumberFormat="1" applyFont="1" applyFill="1" applyBorder="1" applyAlignment="1">
      <alignment horizontal="center"/>
    </xf>
    <xf numFmtId="168" fontId="37" fillId="0" borderId="0" xfId="541" applyNumberFormat="1" applyFont="1" applyFill="1" applyBorder="1" applyAlignment="1">
      <alignment horizontal="center"/>
    </xf>
    <xf numFmtId="168" fontId="37" fillId="0" borderId="1" xfId="541" applyNumberFormat="1" applyFont="1" applyFill="1" applyBorder="1" applyAlignment="1">
      <alignment horizontal="center"/>
    </xf>
    <xf numFmtId="168" fontId="34" fillId="0" borderId="0" xfId="541" applyNumberFormat="1" applyFont="1" applyBorder="1" applyAlignment="1">
      <alignment horizontal="center"/>
    </xf>
    <xf numFmtId="168" fontId="38" fillId="0" borderId="0" xfId="541" applyNumberFormat="1" applyFont="1" applyBorder="1" applyAlignment="1">
      <alignment horizontal="center"/>
    </xf>
    <xf numFmtId="168" fontId="37" fillId="0" borderId="0" xfId="541" applyNumberFormat="1" applyFont="1" applyBorder="1" applyAlignment="1">
      <alignment horizontal="center"/>
    </xf>
    <xf numFmtId="168" fontId="37" fillId="0" borderId="1" xfId="541" applyNumberFormat="1" applyFont="1" applyBorder="1" applyAlignment="1">
      <alignment horizontal="center"/>
    </xf>
    <xf numFmtId="0" fontId="45" fillId="0" borderId="20" xfId="0" applyFont="1" applyBorder="1" applyAlignment="1">
      <alignment horizontal="center"/>
    </xf>
    <xf numFmtId="168" fontId="38" fillId="0" borderId="21" xfId="541" applyNumberFormat="1" applyFont="1" applyFill="1" applyBorder="1" applyAlignment="1">
      <alignment horizontal="center"/>
    </xf>
    <xf numFmtId="168" fontId="38" fillId="0" borderId="21" xfId="541" applyNumberFormat="1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168" fontId="38" fillId="0" borderId="1" xfId="541" applyNumberFormat="1" applyFont="1" applyFill="1" applyBorder="1" applyAlignment="1">
      <alignment horizontal="center"/>
    </xf>
    <xf numFmtId="168" fontId="38" fillId="0" borderId="1" xfId="541" applyNumberFormat="1" applyFont="1" applyBorder="1" applyAlignment="1">
      <alignment horizontal="center"/>
    </xf>
    <xf numFmtId="168" fontId="37" fillId="0" borderId="21" xfId="541" applyNumberFormat="1" applyFont="1" applyFill="1" applyBorder="1" applyAlignment="1">
      <alignment horizontal="center"/>
    </xf>
    <xf numFmtId="168" fontId="37" fillId="0" borderId="21" xfId="541" applyNumberFormat="1" applyFont="1" applyBorder="1" applyAlignment="1">
      <alignment horizontal="center"/>
    </xf>
    <xf numFmtId="174" fontId="30" fillId="27" borderId="25" xfId="2" applyNumberFormat="1" applyFont="1" applyFill="1" applyBorder="1" applyAlignment="1">
      <alignment horizontal="center"/>
    </xf>
    <xf numFmtId="0" fontId="41" fillId="0" borderId="6" xfId="2" applyFont="1" applyBorder="1"/>
    <xf numFmtId="168" fontId="71" fillId="0" borderId="6" xfId="541" applyNumberFormat="1" applyFont="1" applyBorder="1" applyAlignment="1">
      <alignment horizontal="center"/>
    </xf>
    <xf numFmtId="168" fontId="71" fillId="0" borderId="25" xfId="541" applyNumberFormat="1" applyFont="1" applyBorder="1" applyAlignment="1">
      <alignment horizontal="center"/>
    </xf>
    <xf numFmtId="168" fontId="71" fillId="0" borderId="24" xfId="541" applyNumberFormat="1" applyFont="1" applyBorder="1" applyAlignment="1">
      <alignment horizontal="center"/>
    </xf>
    <xf numFmtId="9" fontId="0" fillId="0" borderId="22" xfId="2" applyNumberFormat="1" applyFont="1" applyBorder="1" applyAlignment="1">
      <alignment horizontal="center"/>
    </xf>
    <xf numFmtId="9" fontId="0" fillId="0" borderId="2" xfId="2" applyNumberFormat="1" applyFont="1" applyBorder="1" applyAlignment="1">
      <alignment horizontal="center"/>
    </xf>
    <xf numFmtId="9" fontId="0" fillId="0" borderId="23" xfId="2" applyNumberFormat="1" applyFont="1" applyBorder="1" applyAlignment="1">
      <alignment horizontal="center"/>
    </xf>
    <xf numFmtId="168" fontId="37" fillId="0" borderId="2" xfId="541" applyNumberFormat="1" applyFont="1" applyBorder="1"/>
    <xf numFmtId="168" fontId="37" fillId="0" borderId="23" xfId="541" applyNumberFormat="1" applyFont="1" applyBorder="1"/>
    <xf numFmtId="164" fontId="30" fillId="0" borderId="22" xfId="2" applyNumberFormat="1" applyFont="1" applyBorder="1"/>
    <xf numFmtId="10" fontId="37" fillId="0" borderId="1" xfId="541" applyNumberFormat="1" applyFont="1" applyBorder="1"/>
    <xf numFmtId="177" fontId="47" fillId="0" borderId="1" xfId="246" applyNumberFormat="1" applyFont="1" applyFill="1" applyBorder="1"/>
    <xf numFmtId="177" fontId="72" fillId="0" borderId="1" xfId="246" applyNumberFormat="1" applyFont="1" applyBorder="1"/>
    <xf numFmtId="177" fontId="47" fillId="0" borderId="1" xfId="246" applyNumberFormat="1" applyFont="1" applyBorder="1"/>
    <xf numFmtId="168" fontId="31" fillId="0" borderId="20" xfId="541" applyNumberFormat="1" applyFont="1" applyBorder="1"/>
    <xf numFmtId="164" fontId="30" fillId="0" borderId="1" xfId="2" applyNumberFormat="1" applyFont="1" applyBorder="1"/>
    <xf numFmtId="168" fontId="158" fillId="0" borderId="0" xfId="541" applyNumberFormat="1" applyFont="1" applyFill="1" applyBorder="1"/>
    <xf numFmtId="179" fontId="29" fillId="0" borderId="17" xfId="3" applyNumberFormat="1" applyFont="1" applyBorder="1" applyAlignment="1">
      <alignment horizontal="right"/>
    </xf>
    <xf numFmtId="179" fontId="29" fillId="0" borderId="21" xfId="3" applyNumberFormat="1" applyFont="1" applyBorder="1" applyAlignment="1">
      <alignment horizontal="right"/>
    </xf>
    <xf numFmtId="179" fontId="34" fillId="0" borderId="7" xfId="3" applyNumberFormat="1" applyFont="1" applyBorder="1" applyAlignment="1">
      <alignment horizontal="right"/>
    </xf>
    <xf numFmtId="179" fontId="34" fillId="0" borderId="17" xfId="3" applyNumberFormat="1" applyFont="1" applyBorder="1" applyAlignment="1">
      <alignment horizontal="right"/>
    </xf>
    <xf numFmtId="179" fontId="36" fillId="0" borderId="21" xfId="3" applyNumberFormat="1" applyFont="1" applyBorder="1" applyAlignment="1">
      <alignment horizontal="right"/>
    </xf>
    <xf numFmtId="179" fontId="36" fillId="0" borderId="20" xfId="3" applyNumberFormat="1" applyFont="1" applyBorder="1" applyAlignment="1">
      <alignment horizontal="right"/>
    </xf>
    <xf numFmtId="179" fontId="34" fillId="0" borderId="1" xfId="3" applyNumberFormat="1" applyFont="1" applyBorder="1" applyAlignment="1">
      <alignment horizontal="right"/>
    </xf>
    <xf numFmtId="179" fontId="34" fillId="0" borderId="0" xfId="3" applyNumberFormat="1" applyFont="1" applyBorder="1" applyAlignment="1">
      <alignment horizontal="right"/>
    </xf>
    <xf numFmtId="179" fontId="34" fillId="0" borderId="21" xfId="3" applyNumberFormat="1" applyFont="1" applyBorder="1" applyAlignment="1">
      <alignment horizontal="right"/>
    </xf>
    <xf numFmtId="164" fontId="0" fillId="0" borderId="0" xfId="0" applyNumberFormat="1"/>
    <xf numFmtId="1" fontId="56" fillId="26" borderId="17" xfId="527" applyNumberFormat="1" applyFont="1" applyFill="1" applyBorder="1" applyAlignment="1">
      <alignment horizontal="right"/>
    </xf>
    <xf numFmtId="49" fontId="0" fillId="0" borderId="0" xfId="0" applyNumberFormat="1"/>
    <xf numFmtId="43" fontId="32" fillId="18" borderId="24" xfId="246" applyFont="1" applyFill="1" applyBorder="1" applyAlignment="1">
      <alignment horizontal="right"/>
    </xf>
    <xf numFmtId="43" fontId="32" fillId="18" borderId="6" xfId="246" applyFont="1" applyFill="1" applyBorder="1" applyAlignment="1">
      <alignment horizontal="right"/>
    </xf>
    <xf numFmtId="43" fontId="32" fillId="18" borderId="25" xfId="246" applyFont="1" applyFill="1" applyBorder="1" applyAlignment="1">
      <alignment horizontal="right"/>
    </xf>
    <xf numFmtId="43" fontId="29" fillId="0" borderId="0" xfId="246" applyFont="1" applyFill="1" applyBorder="1"/>
    <xf numFmtId="43" fontId="29" fillId="0" borderId="21" xfId="246" applyFont="1" applyFill="1" applyBorder="1"/>
    <xf numFmtId="44" fontId="42" fillId="0" borderId="0" xfId="346" applyFont="1" applyFill="1" applyBorder="1"/>
    <xf numFmtId="43" fontId="29" fillId="0" borderId="1" xfId="246" applyFont="1" applyFill="1" applyBorder="1"/>
    <xf numFmtId="164" fontId="59" fillId="0" borderId="1" xfId="2" applyNumberFormat="1" applyFont="1" applyFill="1" applyBorder="1"/>
    <xf numFmtId="164" fontId="48" fillId="24" borderId="1" xfId="525" applyNumberFormat="1" applyFont="1" applyFill="1" applyBorder="1"/>
    <xf numFmtId="164" fontId="44" fillId="24" borderId="1" xfId="525" applyNumberFormat="1" applyFont="1" applyFill="1" applyBorder="1"/>
    <xf numFmtId="164" fontId="83" fillId="24" borderId="1" xfId="525" applyNumberFormat="1" applyFont="1" applyFill="1" applyBorder="1"/>
    <xf numFmtId="164" fontId="48" fillId="24" borderId="22" xfId="525" applyNumberFormat="1" applyFont="1" applyFill="1" applyBorder="1"/>
    <xf numFmtId="181" fontId="29" fillId="0" borderId="7" xfId="2" applyNumberFormat="1" applyFont="1" applyBorder="1" applyAlignment="1">
      <alignment horizontal="center"/>
    </xf>
    <xf numFmtId="181" fontId="29" fillId="0" borderId="20" xfId="2" applyNumberFormat="1" applyFont="1" applyBorder="1" applyAlignment="1">
      <alignment horizontal="center"/>
    </xf>
    <xf numFmtId="181" fontId="29" fillId="0" borderId="1" xfId="2" applyNumberFormat="1" applyFont="1" applyBorder="1" applyAlignment="1">
      <alignment horizontal="center"/>
    </xf>
    <xf numFmtId="181" fontId="29" fillId="0" borderId="21" xfId="2" applyNumberFormat="1" applyFont="1" applyBorder="1" applyAlignment="1">
      <alignment horizontal="center"/>
    </xf>
    <xf numFmtId="168" fontId="34" fillId="0" borderId="7" xfId="541" applyNumberFormat="1" applyFont="1" applyBorder="1" applyAlignment="1">
      <alignment horizontal="center"/>
    </xf>
    <xf numFmtId="168" fontId="34" fillId="0" borderId="20" xfId="541" applyNumberFormat="1" applyFont="1" applyBorder="1" applyAlignment="1">
      <alignment horizontal="center"/>
    </xf>
    <xf numFmtId="168" fontId="34" fillId="0" borderId="1" xfId="541" applyNumberFormat="1" applyFont="1" applyBorder="1" applyAlignment="1">
      <alignment horizontal="center"/>
    </xf>
    <xf numFmtId="168" fontId="34" fillId="0" borderId="21" xfId="541" applyNumberFormat="1" applyFont="1" applyBorder="1" applyAlignment="1">
      <alignment horizontal="center"/>
    </xf>
    <xf numFmtId="168" fontId="31" fillId="26" borderId="24" xfId="541" applyNumberFormat="1" applyFont="1" applyFill="1" applyBorder="1"/>
    <xf numFmtId="177" fontId="78" fillId="0" borderId="1" xfId="246" applyNumberFormat="1" applyFont="1" applyBorder="1"/>
    <xf numFmtId="168" fontId="37" fillId="0" borderId="22" xfId="541" applyNumberFormat="1" applyFont="1" applyBorder="1"/>
    <xf numFmtId="0" fontId="30" fillId="30" borderId="24" xfId="2" applyFont="1" applyFill="1" applyBorder="1"/>
    <xf numFmtId="0" fontId="30" fillId="30" borderId="6" xfId="2" applyFont="1" applyFill="1" applyBorder="1"/>
    <xf numFmtId="1" fontId="30" fillId="30" borderId="6" xfId="527" applyNumberFormat="1" applyFont="1" applyFill="1" applyBorder="1" applyAlignment="1">
      <alignment horizontal="right"/>
    </xf>
    <xf numFmtId="1" fontId="30" fillId="30" borderId="25" xfId="527" applyNumberFormat="1" applyFont="1" applyFill="1" applyBorder="1" applyAlignment="1">
      <alignment horizontal="right"/>
    </xf>
    <xf numFmtId="0" fontId="29" fillId="30" borderId="24" xfId="2" applyFont="1" applyFill="1" applyBorder="1"/>
    <xf numFmtId="0" fontId="29" fillId="30" borderId="6" xfId="2" applyFont="1" applyFill="1" applyBorder="1"/>
    <xf numFmtId="0" fontId="29" fillId="30" borderId="25" xfId="2" applyFont="1" applyFill="1" applyBorder="1"/>
    <xf numFmtId="1" fontId="56" fillId="30" borderId="24" xfId="527" applyNumberFormat="1" applyFont="1" applyFill="1" applyBorder="1" applyAlignment="1">
      <alignment horizontal="right"/>
    </xf>
    <xf numFmtId="1" fontId="56" fillId="30" borderId="6" xfId="527" applyNumberFormat="1" applyFont="1" applyFill="1" applyBorder="1" applyAlignment="1">
      <alignment horizontal="right"/>
    </xf>
    <xf numFmtId="0" fontId="0" fillId="0" borderId="26" xfId="0" applyBorder="1"/>
    <xf numFmtId="180" fontId="29" fillId="0" borderId="2" xfId="2" applyNumberFormat="1" applyFont="1" applyFill="1" applyBorder="1"/>
    <xf numFmtId="180" fontId="29" fillId="0" borderId="23" xfId="2" applyNumberFormat="1" applyFont="1" applyFill="1" applyBorder="1"/>
    <xf numFmtId="180" fontId="29" fillId="0" borderId="22" xfId="2" applyNumberFormat="1" applyFont="1" applyFill="1" applyBorder="1"/>
    <xf numFmtId="0" fontId="29" fillId="18" borderId="25" xfId="2" applyFont="1" applyFill="1" applyBorder="1"/>
    <xf numFmtId="0" fontId="0" fillId="0" borderId="23" xfId="0" applyBorder="1"/>
    <xf numFmtId="0" fontId="0" fillId="0" borderId="0" xfId="0"/>
    <xf numFmtId="177" fontId="43" fillId="0" borderId="0" xfId="246" applyNumberFormat="1" applyFont="1" applyFill="1" applyBorder="1"/>
    <xf numFmtId="181" fontId="29" fillId="0" borderId="6" xfId="0" applyNumberFormat="1" applyFont="1" applyBorder="1"/>
    <xf numFmtId="181" fontId="29" fillId="0" borderId="25" xfId="0" applyNumberFormat="1" applyFont="1" applyBorder="1"/>
    <xf numFmtId="181" fontId="29" fillId="0" borderId="24" xfId="0" applyNumberFormat="1" applyFont="1" applyBorder="1"/>
    <xf numFmtId="192" fontId="170" fillId="0" borderId="0" xfId="346" applyNumberFormat="1" applyFont="1" applyBorder="1"/>
    <xf numFmtId="192" fontId="170" fillId="0" borderId="21" xfId="346" applyNumberFormat="1" applyFont="1" applyBorder="1"/>
    <xf numFmtId="192" fontId="170" fillId="0" borderId="0" xfId="346" applyNumberFormat="1" applyFont="1"/>
    <xf numFmtId="164" fontId="170" fillId="0" borderId="0" xfId="2" applyNumberFormat="1" applyFont="1" applyFill="1" applyBorder="1"/>
    <xf numFmtId="43" fontId="29" fillId="0" borderId="1" xfId="246" applyFont="1" applyBorder="1"/>
    <xf numFmtId="43" fontId="29" fillId="0" borderId="0" xfId="246" applyFont="1" applyBorder="1"/>
    <xf numFmtId="43" fontId="29" fillId="0" borderId="21" xfId="246" applyFont="1" applyBorder="1"/>
    <xf numFmtId="44" fontId="30" fillId="0" borderId="1" xfId="346" applyFont="1" applyFill="1" applyBorder="1"/>
    <xf numFmtId="44" fontId="30" fillId="0" borderId="0" xfId="346" applyFont="1" applyFill="1" applyBorder="1"/>
    <xf numFmtId="44" fontId="30" fillId="0" borderId="21" xfId="346" applyFont="1" applyFill="1" applyBorder="1"/>
    <xf numFmtId="43" fontId="29" fillId="0" borderId="22" xfId="246" applyFont="1" applyBorder="1"/>
    <xf numFmtId="43" fontId="29" fillId="0" borderId="2" xfId="246" applyFont="1" applyBorder="1"/>
    <xf numFmtId="43" fontId="29" fillId="0" borderId="23" xfId="246" applyFont="1" applyBorder="1"/>
    <xf numFmtId="192" fontId="170" fillId="0" borderId="1" xfId="346" applyNumberFormat="1" applyFont="1" applyBorder="1"/>
    <xf numFmtId="192" fontId="170" fillId="0" borderId="22" xfId="346" applyNumberFormat="1" applyFont="1" applyBorder="1"/>
    <xf numFmtId="192" fontId="170" fillId="0" borderId="2" xfId="346" applyNumberFormat="1" applyFont="1" applyBorder="1"/>
    <xf numFmtId="192" fontId="170" fillId="0" borderId="23" xfId="346" applyNumberFormat="1" applyFont="1" applyBorder="1"/>
    <xf numFmtId="168" fontId="172" fillId="0" borderId="0" xfId="346" applyNumberFormat="1" applyFont="1"/>
    <xf numFmtId="168" fontId="172" fillId="0" borderId="21" xfId="346" applyNumberFormat="1" applyFont="1" applyBorder="1"/>
    <xf numFmtId="180" fontId="170" fillId="0" borderId="0" xfId="2" applyNumberFormat="1" applyFont="1" applyFill="1" applyBorder="1"/>
    <xf numFmtId="180" fontId="170" fillId="0" borderId="21" xfId="2" applyNumberFormat="1" applyFont="1" applyFill="1" applyBorder="1"/>
    <xf numFmtId="168" fontId="172" fillId="0" borderId="1" xfId="346" applyNumberFormat="1" applyFont="1" applyBorder="1"/>
    <xf numFmtId="168" fontId="172" fillId="0" borderId="0" xfId="346" applyNumberFormat="1" applyFont="1" applyBorder="1"/>
    <xf numFmtId="177" fontId="34" fillId="0" borderId="17" xfId="246" applyNumberFormat="1" applyFont="1" applyFill="1" applyBorder="1"/>
    <xf numFmtId="168" fontId="29" fillId="0" borderId="1" xfId="0" applyNumberFormat="1" applyFont="1" applyBorder="1"/>
    <xf numFmtId="168" fontId="29" fillId="0" borderId="0" xfId="0" applyNumberFormat="1" applyFont="1" applyBorder="1"/>
    <xf numFmtId="168" fontId="29" fillId="0" borderId="21" xfId="0" applyNumberFormat="1" applyFont="1" applyBorder="1"/>
    <xf numFmtId="0" fontId="29" fillId="0" borderId="1" xfId="0" applyFont="1" applyBorder="1"/>
    <xf numFmtId="0" fontId="29" fillId="0" borderId="0" xfId="0" applyFont="1" applyBorder="1"/>
    <xf numFmtId="0" fontId="29" fillId="0" borderId="21" xfId="0" applyFont="1" applyBorder="1"/>
    <xf numFmtId="188" fontId="70" fillId="0" borderId="0" xfId="346" applyNumberFormat="1" applyFont="1"/>
    <xf numFmtId="168" fontId="31" fillId="0" borderId="1" xfId="563" applyNumberFormat="1" applyFont="1" applyFill="1" applyBorder="1" applyAlignment="1"/>
    <xf numFmtId="181" fontId="31" fillId="0" borderId="1" xfId="563" applyNumberFormat="1" applyFont="1" applyFill="1" applyBorder="1" applyAlignment="1"/>
    <xf numFmtId="177" fontId="59" fillId="0" borderId="1" xfId="2" applyNumberFormat="1" applyFont="1" applyFill="1" applyBorder="1" applyAlignment="1"/>
    <xf numFmtId="172" fontId="29" fillId="0" borderId="1" xfId="2" applyNumberFormat="1" applyFont="1" applyFill="1" applyBorder="1" applyAlignment="1"/>
    <xf numFmtId="185" fontId="0" fillId="0" borderId="0" xfId="346" applyNumberFormat="1" applyFont="1"/>
    <xf numFmtId="179" fontId="0" fillId="0" borderId="0" xfId="0" applyNumberFormat="1"/>
    <xf numFmtId="168" fontId="31" fillId="0" borderId="0" xfId="541" applyNumberFormat="1" applyFont="1" applyFill="1" applyBorder="1"/>
    <xf numFmtId="168" fontId="31" fillId="0" borderId="21" xfId="541" applyNumberFormat="1" applyFont="1" applyFill="1" applyBorder="1"/>
    <xf numFmtId="168" fontId="31" fillId="0" borderId="1" xfId="541" applyNumberFormat="1" applyFont="1" applyFill="1" applyBorder="1"/>
    <xf numFmtId="0" fontId="0" fillId="0" borderId="0" xfId="0"/>
    <xf numFmtId="0" fontId="0" fillId="0" borderId="0" xfId="0"/>
    <xf numFmtId="175" fontId="30" fillId="0" borderId="0" xfId="2" applyNumberFormat="1" applyFont="1" applyFill="1" applyBorder="1" applyAlignment="1"/>
    <xf numFmtId="169" fontId="39" fillId="0" borderId="1" xfId="2" applyNumberFormat="1" applyFont="1" applyFill="1" applyBorder="1" applyAlignment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1" fontId="32" fillId="18" borderId="17" xfId="526" applyNumberFormat="1" applyFont="1" applyFill="1" applyBorder="1" applyAlignment="1">
      <alignment horizontal="right"/>
    </xf>
    <xf numFmtId="44" fontId="30" fillId="0" borderId="0" xfId="346" applyFont="1" applyFill="1" applyBorder="1"/>
    <xf numFmtId="179" fontId="173" fillId="0" borderId="0" xfId="2" applyNumberFormat="1" applyFont="1" applyFill="1" applyBorder="1"/>
    <xf numFmtId="179" fontId="173" fillId="0" borderId="1" xfId="2" applyNumberFormat="1" applyFont="1" applyFill="1" applyBorder="1"/>
    <xf numFmtId="179" fontId="173" fillId="0" borderId="17" xfId="2" applyNumberFormat="1" applyFont="1" applyFill="1" applyBorder="1"/>
    <xf numFmtId="179" fontId="173" fillId="0" borderId="7" xfId="2" applyNumberFormat="1" applyFont="1" applyFill="1" applyBorder="1"/>
    <xf numFmtId="0" fontId="0" fillId="0" borderId="0" xfId="0"/>
    <xf numFmtId="37" fontId="29" fillId="0" borderId="0" xfId="2" applyNumberFormat="1" applyFont="1" applyFill="1" applyBorder="1" applyAlignment="1">
      <alignment horizontal="center"/>
    </xf>
    <xf numFmtId="0" fontId="34" fillId="0" borderId="0" xfId="2" applyFont="1" applyBorder="1" applyAlignment="1">
      <alignment horizontal="center"/>
    </xf>
    <xf numFmtId="181" fontId="29" fillId="0" borderId="0" xfId="2" applyNumberFormat="1" applyFont="1" applyBorder="1"/>
    <xf numFmtId="0" fontId="34" fillId="0" borderId="2" xfId="2" applyFont="1" applyBorder="1"/>
    <xf numFmtId="0" fontId="34" fillId="0" borderId="0" xfId="2" applyFont="1" applyBorder="1"/>
    <xf numFmtId="0" fontId="0" fillId="0" borderId="0" xfId="0"/>
    <xf numFmtId="180" fontId="34" fillId="0" borderId="32" xfId="2" applyNumberFormat="1" applyFont="1" applyFill="1" applyBorder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164" fontId="34" fillId="0" borderId="0" xfId="246" applyNumberFormat="1" applyFont="1" applyFill="1" applyBorder="1"/>
    <xf numFmtId="164" fontId="34" fillId="0" borderId="1" xfId="246" applyNumberFormat="1" applyFont="1" applyFill="1" applyBorder="1"/>
    <xf numFmtId="164" fontId="34" fillId="0" borderId="21" xfId="246" applyNumberFormat="1" applyFont="1" applyFill="1" applyBorder="1"/>
    <xf numFmtId="165" fontId="32" fillId="18" borderId="24" xfId="527" applyNumberFormat="1" applyFont="1" applyFill="1" applyBorder="1" applyAlignment="1">
      <alignment horizontal="right"/>
    </xf>
    <xf numFmtId="165" fontId="32" fillId="18" borderId="6" xfId="527" applyNumberFormat="1" applyFont="1" applyFill="1" applyBorder="1" applyAlignment="1">
      <alignment horizontal="right"/>
    </xf>
    <xf numFmtId="165" fontId="32" fillId="18" borderId="25" xfId="527" applyNumberFormat="1" applyFont="1" applyFill="1" applyBorder="1" applyAlignment="1">
      <alignment horizontal="right"/>
    </xf>
    <xf numFmtId="192" fontId="170" fillId="0" borderId="0" xfId="346" applyNumberFormat="1" applyFont="1" applyBorder="1"/>
    <xf numFmtId="192" fontId="170" fillId="0" borderId="1" xfId="346" applyNumberFormat="1" applyFont="1" applyBorder="1"/>
    <xf numFmtId="168" fontId="29" fillId="0" borderId="1" xfId="541" applyNumberFormat="1" applyFont="1" applyFill="1" applyBorder="1"/>
    <xf numFmtId="168" fontId="30" fillId="0" borderId="0" xfId="541" applyNumberFormat="1" applyFont="1" applyFill="1" applyBorder="1"/>
    <xf numFmtId="3" fontId="29" fillId="0" borderId="25" xfId="0" applyNumberFormat="1" applyFont="1" applyBorder="1"/>
    <xf numFmtId="3" fontId="29" fillId="0" borderId="6" xfId="0" applyNumberFormat="1" applyFont="1" applyBorder="1"/>
    <xf numFmtId="3" fontId="29" fillId="0" borderId="0" xfId="0" applyNumberFormat="1" applyFont="1" applyBorder="1"/>
    <xf numFmtId="0" fontId="42" fillId="0" borderId="0" xfId="2" applyNumberFormat="1" applyFont="1" applyFill="1" applyBorder="1"/>
    <xf numFmtId="170" fontId="42" fillId="0" borderId="0" xfId="2" applyNumberFormat="1" applyFont="1" applyFill="1" applyBorder="1"/>
    <xf numFmtId="173" fontId="42" fillId="0" borderId="0" xfId="2" applyNumberFormat="1" applyFont="1" applyBorder="1"/>
    <xf numFmtId="3" fontId="29" fillId="0" borderId="1" xfId="0" applyNumberFormat="1" applyFont="1" applyBorder="1"/>
    <xf numFmtId="0" fontId="29" fillId="0" borderId="6" xfId="2" applyFont="1" applyBorder="1"/>
    <xf numFmtId="0" fontId="29" fillId="0" borderId="6" xfId="0" applyFont="1" applyBorder="1"/>
    <xf numFmtId="0" fontId="29" fillId="0" borderId="24" xfId="0" applyFont="1" applyBorder="1"/>
    <xf numFmtId="164" fontId="170" fillId="0" borderId="21" xfId="2" applyNumberFormat="1" applyFont="1" applyFill="1" applyBorder="1" applyAlignment="1"/>
    <xf numFmtId="37" fontId="29" fillId="0" borderId="0" xfId="2" applyNumberFormat="1" applyFont="1" applyFill="1" applyBorder="1" applyAlignment="1"/>
    <xf numFmtId="3" fontId="29" fillId="0" borderId="21" xfId="0" applyNumberFormat="1" applyFont="1" applyBorder="1"/>
    <xf numFmtId="173" fontId="42" fillId="0" borderId="0" xfId="2" applyNumberFormat="1" applyFont="1" applyFill="1" applyBorder="1"/>
    <xf numFmtId="168" fontId="29" fillId="0" borderId="21" xfId="2" applyNumberFormat="1" applyFont="1" applyFill="1" applyBorder="1" applyAlignment="1"/>
    <xf numFmtId="164" fontId="170" fillId="0" borderId="0" xfId="2" applyNumberFormat="1" applyFont="1" applyFill="1" applyBorder="1" applyAlignment="1"/>
    <xf numFmtId="0" fontId="29" fillId="0" borderId="2" xfId="0" applyFont="1" applyBorder="1"/>
    <xf numFmtId="0" fontId="29" fillId="0" borderId="25" xfId="0" applyFont="1" applyBorder="1"/>
    <xf numFmtId="0" fontId="29" fillId="0" borderId="22" xfId="0" applyFont="1" applyBorder="1"/>
    <xf numFmtId="164" fontId="170" fillId="0" borderId="1" xfId="2" applyNumberFormat="1" applyFont="1" applyFill="1" applyBorder="1" applyAlignment="1"/>
    <xf numFmtId="168" fontId="31" fillId="0" borderId="0" xfId="541" applyNumberFormat="1" applyFont="1" applyFill="1" applyBorder="1"/>
    <xf numFmtId="0" fontId="31" fillId="0" borderId="1" xfId="4" applyNumberFormat="1" applyFont="1" applyFill="1" applyBorder="1" applyAlignment="1">
      <alignment horizontal="left" indent="1"/>
    </xf>
    <xf numFmtId="3" fontId="29" fillId="0" borderId="24" xfId="346" applyNumberFormat="1" applyFont="1" applyBorder="1"/>
    <xf numFmtId="3" fontId="29" fillId="0" borderId="24" xfId="0" applyNumberFormat="1" applyFont="1" applyBorder="1"/>
    <xf numFmtId="3" fontId="29" fillId="0" borderId="25" xfId="346" applyNumberFormat="1" applyFont="1" applyBorder="1"/>
    <xf numFmtId="0" fontId="27" fillId="0" borderId="0" xfId="527" applyNumberFormat="1" applyFont="1" applyFill="1" applyBorder="1" applyAlignment="1">
      <alignment horizontal="left"/>
    </xf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0" fontId="29" fillId="0" borderId="26" xfId="4" applyFont="1" applyBorder="1"/>
    <xf numFmtId="164" fontId="29" fillId="0" borderId="0" xfId="4" applyNumberFormat="1" applyFont="1" applyFill="1" applyBorder="1" applyAlignment="1"/>
    <xf numFmtId="168" fontId="31" fillId="0" borderId="0" xfId="541" applyNumberFormat="1" applyFont="1" applyFill="1" applyBorder="1" applyAlignment="1"/>
    <xf numFmtId="168" fontId="31" fillId="0" borderId="21" xfId="541" applyNumberFormat="1" applyFont="1" applyFill="1" applyBorder="1" applyAlignment="1"/>
    <xf numFmtId="168" fontId="31" fillId="0" borderId="1" xfId="541" applyNumberFormat="1" applyFont="1" applyFill="1" applyBorder="1" applyAlignment="1"/>
    <xf numFmtId="168" fontId="35" fillId="0" borderId="0" xfId="541" applyNumberFormat="1" applyFont="1" applyFill="1" applyBorder="1" applyAlignment="1"/>
    <xf numFmtId="168" fontId="35" fillId="0" borderId="1" xfId="541" applyNumberFormat="1" applyFont="1" applyFill="1" applyBorder="1" applyAlignment="1"/>
    <xf numFmtId="168" fontId="35" fillId="0" borderId="21" xfId="541" applyNumberFormat="1" applyFont="1" applyFill="1" applyBorder="1" applyAlignment="1"/>
    <xf numFmtId="9" fontId="34" fillId="0" borderId="1" xfId="541" applyFont="1" applyFill="1" applyBorder="1" applyAlignment="1"/>
    <xf numFmtId="9" fontId="34" fillId="0" borderId="0" xfId="541" applyFont="1" applyFill="1" applyBorder="1" applyAlignment="1"/>
    <xf numFmtId="168" fontId="31" fillId="0" borderId="0" xfId="541" applyNumberFormat="1" applyFont="1" applyFill="1" applyBorder="1" applyAlignment="1">
      <alignment horizontal="right"/>
    </xf>
    <xf numFmtId="177" fontId="29" fillId="0" borderId="17" xfId="246" applyNumberFormat="1" applyFont="1" applyFill="1" applyBorder="1"/>
    <xf numFmtId="177" fontId="29" fillId="0" borderId="25" xfId="246" applyNumberFormat="1" applyFont="1" applyFill="1" applyBorder="1"/>
    <xf numFmtId="177" fontId="29" fillId="0" borderId="6" xfId="246" applyNumberFormat="1" applyFont="1" applyFill="1" applyBorder="1"/>
    <xf numFmtId="177" fontId="29" fillId="0" borderId="21" xfId="246" applyNumberFormat="1" applyFont="1" applyFill="1" applyBorder="1"/>
    <xf numFmtId="177" fontId="29" fillId="0" borderId="0" xfId="246" applyNumberFormat="1" applyFont="1" applyBorder="1"/>
    <xf numFmtId="177" fontId="34" fillId="0" borderId="21" xfId="246" applyNumberFormat="1" applyFont="1" applyFill="1" applyBorder="1"/>
    <xf numFmtId="177" fontId="34" fillId="0" borderId="1" xfId="246" applyNumberFormat="1" applyFont="1" applyFill="1" applyBorder="1"/>
    <xf numFmtId="177" fontId="34" fillId="0" borderId="0" xfId="246" applyNumberFormat="1" applyFont="1" applyFill="1" applyBorder="1"/>
    <xf numFmtId="177" fontId="29" fillId="0" borderId="23" xfId="246" applyNumberFormat="1" applyFont="1" applyFill="1" applyBorder="1"/>
    <xf numFmtId="177" fontId="29" fillId="0" borderId="2" xfId="246" applyNumberFormat="1" applyFont="1" applyFill="1" applyBorder="1"/>
    <xf numFmtId="177" fontId="29" fillId="0" borderId="22" xfId="246" applyNumberFormat="1" applyFont="1" applyFill="1" applyBorder="1"/>
    <xf numFmtId="177" fontId="29" fillId="0" borderId="0" xfId="246" applyNumberFormat="1" applyFont="1" applyFill="1" applyBorder="1"/>
    <xf numFmtId="177" fontId="29" fillId="0" borderId="1" xfId="246" applyNumberFormat="1" applyFont="1" applyFill="1" applyBorder="1"/>
    <xf numFmtId="165" fontId="32" fillId="18" borderId="6" xfId="527" applyNumberFormat="1" applyFont="1" applyFill="1" applyBorder="1" applyAlignment="1">
      <alignment horizontal="right"/>
    </xf>
    <xf numFmtId="165" fontId="32" fillId="18" borderId="0" xfId="527" applyNumberFormat="1" applyFont="1" applyFill="1" applyBorder="1" applyAlignment="1">
      <alignment horizontal="right"/>
    </xf>
    <xf numFmtId="168" fontId="35" fillId="0" borderId="23" xfId="541" applyNumberFormat="1" applyFont="1" applyFill="1" applyBorder="1"/>
    <xf numFmtId="168" fontId="35" fillId="0" borderId="2" xfId="541" applyNumberFormat="1" applyFont="1" applyFill="1" applyBorder="1"/>
    <xf numFmtId="168" fontId="35" fillId="0" borderId="22" xfId="541" applyNumberFormat="1" applyFont="1" applyFill="1" applyBorder="1"/>
    <xf numFmtId="177" fontId="30" fillId="0" borderId="21" xfId="246" applyNumberFormat="1" applyFont="1" applyBorder="1"/>
    <xf numFmtId="177" fontId="30" fillId="0" borderId="0" xfId="246" applyNumberFormat="1" applyFont="1" applyBorder="1"/>
    <xf numFmtId="9" fontId="24" fillId="0" borderId="0" xfId="541" applyFont="1"/>
    <xf numFmtId="43" fontId="24" fillId="0" borderId="0" xfId="246" applyFont="1"/>
    <xf numFmtId="43" fontId="24" fillId="0" borderId="0" xfId="246" applyFont="1" applyFill="1"/>
    <xf numFmtId="0" fontId="29" fillId="0" borderId="1" xfId="4" applyNumberFormat="1" applyFont="1" applyFill="1" applyBorder="1"/>
    <xf numFmtId="0" fontId="29" fillId="0" borderId="1" xfId="246" applyNumberFormat="1" applyFont="1" applyFill="1" applyBorder="1"/>
    <xf numFmtId="177" fontId="59" fillId="0" borderId="0" xfId="246" applyNumberFormat="1" applyFont="1" applyFill="1" applyBorder="1"/>
    <xf numFmtId="0" fontId="29" fillId="0" borderId="22" xfId="246" applyNumberFormat="1" applyFont="1" applyFill="1" applyBorder="1" applyAlignment="1">
      <alignment horizontal="left" indent="1"/>
    </xf>
    <xf numFmtId="177" fontId="29" fillId="0" borderId="2" xfId="246" applyNumberFormat="1" applyFont="1" applyFill="1" applyBorder="1" applyAlignment="1">
      <alignment horizontal="left" indent="1"/>
    </xf>
    <xf numFmtId="0" fontId="29" fillId="0" borderId="1" xfId="246" applyNumberFormat="1" applyFont="1" applyFill="1" applyBorder="1" applyAlignment="1"/>
    <xf numFmtId="0" fontId="59" fillId="0" borderId="1" xfId="246" applyNumberFormat="1" applyFont="1" applyFill="1" applyBorder="1" applyAlignment="1"/>
    <xf numFmtId="177" fontId="59" fillId="0" borderId="0" xfId="246" applyNumberFormat="1" applyFont="1" applyBorder="1"/>
    <xf numFmtId="0" fontId="59" fillId="0" borderId="1" xfId="246" applyNumberFormat="1" applyFont="1" applyFill="1" applyBorder="1" applyAlignment="1">
      <alignment horizontal="left"/>
    </xf>
    <xf numFmtId="177" fontId="59" fillId="0" borderId="21" xfId="246" applyNumberFormat="1" applyFont="1" applyFill="1" applyBorder="1" applyAlignment="1">
      <alignment horizontal="left" indent="1"/>
    </xf>
    <xf numFmtId="0" fontId="59" fillId="0" borderId="1" xfId="246" applyNumberFormat="1" applyFont="1" applyBorder="1"/>
    <xf numFmtId="177" fontId="30" fillId="0" borderId="0" xfId="246" applyNumberFormat="1" applyFont="1" applyFill="1" applyBorder="1"/>
    <xf numFmtId="177" fontId="29" fillId="0" borderId="1" xfId="246" applyNumberFormat="1" applyFont="1" applyFill="1" applyBorder="1" applyAlignment="1"/>
    <xf numFmtId="177" fontId="29" fillId="0" borderId="0" xfId="246" applyNumberFormat="1" applyFont="1" applyFill="1" applyBorder="1" applyAlignment="1"/>
    <xf numFmtId="177" fontId="29" fillId="0" borderId="21" xfId="246" applyNumberFormat="1" applyFont="1" applyFill="1" applyBorder="1" applyAlignment="1"/>
    <xf numFmtId="177" fontId="59" fillId="0" borderId="1" xfId="246" applyNumberFormat="1" applyFont="1" applyFill="1" applyBorder="1"/>
    <xf numFmtId="177" fontId="59" fillId="0" borderId="21" xfId="246" applyNumberFormat="1" applyFont="1" applyFill="1" applyBorder="1"/>
    <xf numFmtId="177" fontId="30" fillId="0" borderId="1" xfId="246" applyNumberFormat="1" applyFont="1" applyFill="1" applyBorder="1"/>
    <xf numFmtId="177" fontId="30" fillId="0" borderId="21" xfId="246" applyNumberFormat="1" applyFont="1" applyFill="1" applyBorder="1"/>
    <xf numFmtId="177" fontId="59" fillId="0" borderId="1" xfId="246" applyNumberFormat="1" applyFont="1" applyFill="1" applyBorder="1" applyAlignment="1"/>
    <xf numFmtId="177" fontId="59" fillId="0" borderId="0" xfId="246" applyNumberFormat="1" applyFont="1" applyFill="1" applyBorder="1" applyAlignment="1"/>
    <xf numFmtId="177" fontId="59" fillId="0" borderId="21" xfId="246" applyNumberFormat="1" applyFont="1" applyFill="1" applyBorder="1" applyAlignment="1"/>
    <xf numFmtId="177" fontId="30" fillId="0" borderId="22" xfId="246" applyNumberFormat="1" applyFont="1" applyFill="1" applyBorder="1"/>
    <xf numFmtId="177" fontId="30" fillId="0" borderId="2" xfId="246" applyNumberFormat="1" applyFont="1" applyFill="1" applyBorder="1"/>
    <xf numFmtId="177" fontId="30" fillId="0" borderId="23" xfId="246" applyNumberFormat="1" applyFont="1" applyFill="1" applyBorder="1"/>
    <xf numFmtId="177" fontId="34" fillId="0" borderId="1" xfId="246" applyNumberFormat="1" applyFont="1" applyFill="1" applyBorder="1" applyAlignment="1"/>
    <xf numFmtId="177" fontId="34" fillId="0" borderId="0" xfId="246" applyNumberFormat="1" applyFont="1" applyFill="1" applyBorder="1" applyAlignment="1"/>
    <xf numFmtId="177" fontId="34" fillId="0" borderId="21" xfId="246" applyNumberFormat="1" applyFont="1" applyFill="1" applyBorder="1" applyAlignment="1"/>
    <xf numFmtId="177" fontId="34" fillId="0" borderId="22" xfId="246" applyNumberFormat="1" applyFont="1" applyFill="1" applyBorder="1" applyAlignment="1"/>
    <xf numFmtId="177" fontId="34" fillId="0" borderId="2" xfId="246" applyNumberFormat="1" applyFont="1" applyFill="1" applyBorder="1" applyAlignment="1"/>
    <xf numFmtId="177" fontId="34" fillId="0" borderId="23" xfId="246" applyNumberFormat="1" applyFont="1" applyFill="1" applyBorder="1" applyAlignment="1"/>
    <xf numFmtId="177" fontId="30" fillId="0" borderId="1" xfId="246" applyNumberFormat="1" applyFont="1" applyBorder="1"/>
    <xf numFmtId="43" fontId="24" fillId="0" borderId="2" xfId="246" applyFont="1" applyBorder="1"/>
    <xf numFmtId="43" fontId="24" fillId="0" borderId="2" xfId="246" applyFont="1" applyFill="1" applyBorder="1"/>
    <xf numFmtId="43" fontId="29" fillId="0" borderId="0" xfId="246" applyFont="1"/>
    <xf numFmtId="177" fontId="29" fillId="0" borderId="24" xfId="246" applyNumberFormat="1" applyFont="1" applyFill="1" applyBorder="1"/>
    <xf numFmtId="177" fontId="29" fillId="0" borderId="7" xfId="246" applyNumberFormat="1" applyFont="1" applyFill="1" applyBorder="1" applyAlignment="1"/>
    <xf numFmtId="177" fontId="29" fillId="0" borderId="17" xfId="246" applyNumberFormat="1" applyFont="1" applyFill="1" applyBorder="1" applyAlignment="1"/>
    <xf numFmtId="0" fontId="59" fillId="0" borderId="1" xfId="246" applyNumberFormat="1" applyFont="1" applyFill="1" applyBorder="1"/>
    <xf numFmtId="44" fontId="29" fillId="0" borderId="1" xfId="346" applyFont="1" applyFill="1" applyBorder="1" applyAlignment="1"/>
    <xf numFmtId="44" fontId="29" fillId="0" borderId="0" xfId="346" applyFont="1" applyFill="1" applyBorder="1" applyAlignment="1"/>
    <xf numFmtId="44" fontId="34" fillId="0" borderId="0" xfId="346" applyFont="1" applyFill="1" applyBorder="1"/>
    <xf numFmtId="198" fontId="24" fillId="0" borderId="0" xfId="346" applyNumberFormat="1" applyFont="1" applyFill="1" applyBorder="1" applyAlignment="1">
      <alignment horizontal="center"/>
    </xf>
    <xf numFmtId="168" fontId="66" fillId="0" borderId="0" xfId="541" applyNumberFormat="1" applyFont="1"/>
    <xf numFmtId="173" fontId="30" fillId="0" borderId="0" xfId="4" applyNumberFormat="1" applyFont="1" applyFill="1" applyBorder="1"/>
    <xf numFmtId="168" fontId="29" fillId="0" borderId="1" xfId="541" applyNumberFormat="1" applyFont="1" applyBorder="1"/>
    <xf numFmtId="165" fontId="32" fillId="18" borderId="17" xfId="527" applyNumberFormat="1" applyFont="1" applyFill="1" applyBorder="1" applyAlignment="1">
      <alignment horizontal="right"/>
    </xf>
    <xf numFmtId="165" fontId="32" fillId="18" borderId="20" xfId="527" applyNumberFormat="1" applyFont="1" applyFill="1" applyBorder="1" applyAlignment="1">
      <alignment horizontal="right"/>
    </xf>
    <xf numFmtId="168" fontId="31" fillId="0" borderId="1" xfId="541" applyNumberFormat="1" applyFont="1" applyFill="1" applyBorder="1" applyAlignment="1">
      <alignment horizontal="right"/>
    </xf>
    <xf numFmtId="183" fontId="24" fillId="0" borderId="2" xfId="246" applyNumberFormat="1" applyFont="1" applyBorder="1"/>
    <xf numFmtId="44" fontId="29" fillId="0" borderId="21" xfId="346" applyFont="1" applyFill="1" applyBorder="1" applyAlignment="1"/>
    <xf numFmtId="44" fontId="30" fillId="0" borderId="0" xfId="346" applyFont="1" applyFill="1" applyBorder="1"/>
    <xf numFmtId="168" fontId="29" fillId="0" borderId="0" xfId="541" applyNumberFormat="1" applyFont="1"/>
    <xf numFmtId="165" fontId="30" fillId="18" borderId="7" xfId="527" applyNumberFormat="1" applyFont="1" applyFill="1" applyBorder="1" applyAlignment="1">
      <alignment horizontal="right"/>
    </xf>
    <xf numFmtId="165" fontId="30" fillId="18" borderId="17" xfId="527" applyNumberFormat="1" applyFont="1" applyFill="1" applyBorder="1" applyAlignment="1">
      <alignment horizontal="right"/>
    </xf>
    <xf numFmtId="192" fontId="170" fillId="0" borderId="0" xfId="346" applyNumberFormat="1" applyFont="1"/>
    <xf numFmtId="168" fontId="171" fillId="31" borderId="2" xfId="246" applyNumberFormat="1" applyFont="1" applyFill="1" applyBorder="1"/>
    <xf numFmtId="168" fontId="171" fillId="31" borderId="22" xfId="246" applyNumberFormat="1" applyFont="1" applyFill="1" applyBorder="1"/>
    <xf numFmtId="9" fontId="29" fillId="0" borderId="0" xfId="541" applyFont="1" applyFill="1"/>
    <xf numFmtId="165" fontId="32" fillId="18" borderId="7" xfId="527" applyNumberFormat="1" applyFont="1" applyFill="1" applyBorder="1" applyAlignment="1">
      <alignment horizontal="right"/>
    </xf>
    <xf numFmtId="9" fontId="34" fillId="0" borderId="21" xfId="541" applyFont="1" applyFill="1" applyBorder="1" applyAlignment="1"/>
    <xf numFmtId="168" fontId="34" fillId="0" borderId="0" xfId="541" applyNumberFormat="1" applyFont="1" applyFill="1" applyBorder="1" applyAlignment="1"/>
    <xf numFmtId="168" fontId="34" fillId="0" borderId="21" xfId="541" applyNumberFormat="1" applyFont="1" applyFill="1" applyBorder="1" applyAlignment="1"/>
    <xf numFmtId="165" fontId="30" fillId="18" borderId="0" xfId="527" applyNumberFormat="1" applyFont="1" applyFill="1" applyBorder="1" applyAlignment="1">
      <alignment horizontal="right"/>
    </xf>
    <xf numFmtId="177" fontId="29" fillId="0" borderId="20" xfId="246" applyNumberFormat="1" applyFont="1" applyFill="1" applyBorder="1" applyAlignment="1"/>
    <xf numFmtId="181" fontId="31" fillId="0" borderId="1" xfId="541" applyNumberFormat="1" applyFont="1" applyFill="1" applyBorder="1" applyAlignment="1"/>
    <xf numFmtId="181" fontId="31" fillId="0" borderId="0" xfId="541" applyNumberFormat="1" applyFont="1" applyFill="1" applyBorder="1" applyAlignment="1"/>
    <xf numFmtId="165" fontId="30" fillId="18" borderId="20" xfId="527" applyNumberFormat="1" applyFont="1" applyFill="1" applyBorder="1" applyAlignment="1">
      <alignment horizontal="right"/>
    </xf>
    <xf numFmtId="168" fontId="34" fillId="0" borderId="1" xfId="541" applyNumberFormat="1" applyFont="1" applyFill="1" applyBorder="1" applyAlignment="1"/>
    <xf numFmtId="9" fontId="34" fillId="0" borderId="0" xfId="541" applyFont="1" applyFill="1" applyBorder="1"/>
    <xf numFmtId="43" fontId="31" fillId="0" borderId="0" xfId="246" applyFont="1" applyFill="1" applyBorder="1" applyAlignment="1"/>
    <xf numFmtId="168" fontId="24" fillId="0" borderId="2" xfId="541" applyNumberFormat="1" applyFont="1" applyBorder="1"/>
    <xf numFmtId="173" fontId="29" fillId="0" borderId="0" xfId="4" applyNumberFormat="1" applyFont="1" applyFill="1" applyBorder="1"/>
    <xf numFmtId="168" fontId="24" fillId="0" borderId="0" xfId="541" applyNumberFormat="1" applyFont="1"/>
    <xf numFmtId="0" fontId="0" fillId="0" borderId="0" xfId="0"/>
    <xf numFmtId="0" fontId="29" fillId="0" borderId="1" xfId="4" applyNumberFormat="1" applyFont="1" applyFill="1" applyBorder="1" applyAlignment="1"/>
    <xf numFmtId="168" fontId="31" fillId="0" borderId="1" xfId="541" applyNumberFormat="1" applyFont="1" applyFill="1" applyBorder="1" applyAlignment="1"/>
    <xf numFmtId="0" fontId="29" fillId="0" borderId="1" xfId="4" applyNumberFormat="1" applyFont="1" applyFill="1" applyBorder="1" applyAlignment="1"/>
    <xf numFmtId="0" fontId="31" fillId="0" borderId="1" xfId="4" applyNumberFormat="1" applyFont="1" applyFill="1" applyBorder="1" applyAlignment="1">
      <alignment horizontal="left" indent="1"/>
    </xf>
    <xf numFmtId="177" fontId="29" fillId="0" borderId="0" xfId="246" applyNumberFormat="1" applyFont="1" applyFill="1" applyBorder="1" applyAlignment="1"/>
    <xf numFmtId="3" fontId="29" fillId="0" borderId="6" xfId="346" applyNumberFormat="1" applyFont="1" applyBorder="1"/>
    <xf numFmtId="0" fontId="31" fillId="0" borderId="1" xfId="4" applyNumberFormat="1" applyFont="1" applyFill="1" applyBorder="1" applyAlignment="1">
      <alignment horizontal="left" indent="1"/>
    </xf>
    <xf numFmtId="0" fontId="0" fillId="0" borderId="0" xfId="0"/>
    <xf numFmtId="181" fontId="31" fillId="0" borderId="21" xfId="541" applyNumberFormat="1" applyFont="1" applyFill="1" applyBorder="1" applyAlignment="1"/>
    <xf numFmtId="177" fontId="30" fillId="0" borderId="0" xfId="2" applyNumberFormat="1" applyFont="1" applyFill="1" applyBorder="1" applyAlignment="1"/>
    <xf numFmtId="177" fontId="30" fillId="0" borderId="1" xfId="2" applyNumberFormat="1" applyFont="1" applyFill="1" applyBorder="1" applyAlignment="1"/>
    <xf numFmtId="177" fontId="30" fillId="0" borderId="21" xfId="2" applyNumberFormat="1" applyFont="1" applyFill="1" applyBorder="1" applyAlignment="1"/>
    <xf numFmtId="43" fontId="24" fillId="0" borderId="0" xfId="246" applyFont="1" applyBorder="1"/>
    <xf numFmtId="181" fontId="29" fillId="0" borderId="22" xfId="0" applyNumberFormat="1" applyFont="1" applyBorder="1"/>
    <xf numFmtId="181" fontId="29" fillId="0" borderId="2" xfId="0" applyNumberFormat="1" applyFont="1" applyBorder="1"/>
    <xf numFmtId="181" fontId="29" fillId="0" borderId="23" xfId="0" applyNumberFormat="1" applyFont="1" applyBorder="1"/>
    <xf numFmtId="0" fontId="0" fillId="0" borderId="24" xfId="0" applyBorder="1"/>
    <xf numFmtId="0" fontId="0" fillId="0" borderId="0" xfId="0"/>
    <xf numFmtId="0" fontId="0" fillId="0" borderId="0" xfId="0"/>
    <xf numFmtId="43" fontId="24" fillId="0" borderId="0" xfId="2" applyNumberFormat="1" applyFont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168" fontId="31" fillId="0" borderId="1" xfId="541" applyNumberFormat="1" applyFont="1" applyFill="1" applyBorder="1" applyAlignment="1"/>
    <xf numFmtId="168" fontId="31" fillId="0" borderId="0" xfId="541" applyNumberFormat="1" applyFont="1" applyFill="1" applyBorder="1" applyAlignment="1"/>
    <xf numFmtId="168" fontId="31" fillId="0" borderId="0" xfId="541" applyNumberFormat="1" applyFont="1" applyFill="1" applyBorder="1"/>
    <xf numFmtId="168" fontId="31" fillId="0" borderId="1" xfId="541" applyNumberFormat="1" applyFont="1" applyFill="1" applyBorder="1"/>
    <xf numFmtId="1" fontId="30" fillId="18" borderId="6" xfId="526" applyNumberFormat="1" applyFont="1" applyFill="1" applyBorder="1" applyAlignment="1">
      <alignment horizontal="right"/>
    </xf>
    <xf numFmtId="1" fontId="30" fillId="18" borderId="25" xfId="526" applyNumberFormat="1" applyFont="1" applyFill="1" applyBorder="1" applyAlignment="1">
      <alignment horizontal="right"/>
    </xf>
    <xf numFmtId="177" fontId="29" fillId="0" borderId="0" xfId="246" applyNumberFormat="1" applyFont="1" applyBorder="1"/>
    <xf numFmtId="177" fontId="29" fillId="0" borderId="21" xfId="246" applyNumberFormat="1" applyFont="1" applyBorder="1"/>
    <xf numFmtId="168" fontId="31" fillId="0" borderId="0" xfId="541" applyNumberFormat="1" applyFont="1" applyBorder="1"/>
    <xf numFmtId="177" fontId="29" fillId="0" borderId="0" xfId="246" applyNumberFormat="1" applyFont="1" applyFill="1" applyBorder="1"/>
    <xf numFmtId="1" fontId="30" fillId="18" borderId="24" xfId="526" applyNumberFormat="1" applyFont="1" applyFill="1" applyBorder="1" applyAlignment="1">
      <alignment horizontal="right"/>
    </xf>
    <xf numFmtId="164" fontId="29" fillId="0" borderId="0" xfId="541" applyNumberFormat="1" applyFont="1" applyFill="1" applyBorder="1"/>
    <xf numFmtId="173" fontId="29" fillId="0" borderId="0" xfId="4" applyNumberFormat="1" applyFont="1" applyFill="1" applyBorder="1"/>
    <xf numFmtId="165" fontId="32" fillId="18" borderId="24" xfId="527" applyNumberFormat="1" applyFont="1" applyFill="1" applyBorder="1" applyAlignment="1">
      <alignment horizontal="right"/>
    </xf>
    <xf numFmtId="165" fontId="32" fillId="18" borderId="6" xfId="527" applyNumberFormat="1" applyFont="1" applyFill="1" applyBorder="1" applyAlignment="1">
      <alignment horizontal="right"/>
    </xf>
    <xf numFmtId="165" fontId="32" fillId="18" borderId="25" xfId="527" applyNumberFormat="1" applyFont="1" applyFill="1" applyBorder="1" applyAlignment="1">
      <alignment horizontal="right"/>
    </xf>
    <xf numFmtId="168" fontId="29" fillId="0" borderId="0" xfId="541" applyNumberFormat="1" applyFont="1" applyFill="1" applyBorder="1"/>
    <xf numFmtId="177" fontId="29" fillId="0" borderId="1" xfId="246" applyNumberFormat="1" applyFont="1" applyBorder="1"/>
    <xf numFmtId="192" fontId="170" fillId="0" borderId="0" xfId="346" applyNumberFormat="1" applyFont="1" applyBorder="1"/>
    <xf numFmtId="192" fontId="170" fillId="0" borderId="21" xfId="346" applyNumberFormat="1" applyFont="1" applyBorder="1"/>
    <xf numFmtId="177" fontId="171" fillId="31" borderId="0" xfId="246" applyNumberFormat="1" applyFont="1" applyFill="1" applyBorder="1"/>
    <xf numFmtId="177" fontId="171" fillId="31" borderId="21" xfId="246" applyNumberFormat="1" applyFont="1" applyFill="1" applyBorder="1"/>
    <xf numFmtId="192" fontId="170" fillId="0" borderId="1" xfId="346" applyNumberFormat="1" applyFont="1" applyBorder="1"/>
    <xf numFmtId="192" fontId="170" fillId="0" borderId="22" xfId="346" applyNumberFormat="1" applyFont="1" applyBorder="1"/>
    <xf numFmtId="192" fontId="170" fillId="0" borderId="2" xfId="346" applyNumberFormat="1" applyFont="1" applyBorder="1"/>
    <xf numFmtId="192" fontId="170" fillId="0" borderId="23" xfId="346" applyNumberFormat="1" applyFont="1" applyBorder="1"/>
    <xf numFmtId="37" fontId="29" fillId="0" borderId="0" xfId="346" applyNumberFormat="1" applyFont="1" applyFill="1" applyBorder="1" applyAlignment="1"/>
    <xf numFmtId="168" fontId="35" fillId="0" borderId="0" xfId="541" applyNumberFormat="1" applyFont="1" applyFill="1" applyBorder="1" applyAlignment="1"/>
    <xf numFmtId="168" fontId="35" fillId="0" borderId="1" xfId="541" applyNumberFormat="1" applyFont="1" applyFill="1" applyBorder="1" applyAlignment="1"/>
    <xf numFmtId="168" fontId="29" fillId="0" borderId="1" xfId="541" applyNumberFormat="1" applyFont="1" applyBorder="1"/>
    <xf numFmtId="168" fontId="29" fillId="0" borderId="0" xfId="541" applyNumberFormat="1" applyFont="1" applyFill="1" applyBorder="1" applyAlignment="1"/>
    <xf numFmtId="168" fontId="29" fillId="0" borderId="0" xfId="541" applyNumberFormat="1" applyFont="1" applyBorder="1"/>
    <xf numFmtId="168" fontId="34" fillId="0" borderId="0" xfId="541" applyNumberFormat="1" applyFont="1" applyFill="1" applyBorder="1" applyAlignment="1"/>
    <xf numFmtId="168" fontId="34" fillId="0" borderId="1" xfId="541" applyNumberFormat="1" applyFont="1" applyFill="1" applyBorder="1" applyAlignment="1"/>
    <xf numFmtId="9" fontId="29" fillId="0" borderId="0" xfId="541" applyFont="1" applyFill="1" applyBorder="1"/>
    <xf numFmtId="44" fontId="29" fillId="0" borderId="0" xfId="2" applyNumberFormat="1" applyFont="1" applyFill="1"/>
    <xf numFmtId="168" fontId="31" fillId="0" borderId="0" xfId="541" applyNumberFormat="1" applyFont="1" applyFill="1" applyBorder="1"/>
    <xf numFmtId="168" fontId="31" fillId="0" borderId="2" xfId="541" applyNumberFormat="1" applyFont="1" applyBorder="1"/>
    <xf numFmtId="168" fontId="31" fillId="0" borderId="22" xfId="541" applyNumberFormat="1" applyFont="1" applyBorder="1"/>
    <xf numFmtId="7" fontId="29" fillId="0" borderId="0" xfId="346" applyNumberFormat="1" applyFont="1" applyFill="1" applyBorder="1" applyAlignment="1"/>
    <xf numFmtId="173" fontId="47" fillId="0" borderId="0" xfId="541" applyNumberFormat="1" applyFont="1" applyBorder="1"/>
    <xf numFmtId="175" fontId="29" fillId="0" borderId="0" xfId="2" applyNumberFormat="1" applyFont="1" applyFill="1" applyBorder="1" applyAlignment="1"/>
    <xf numFmtId="180" fontId="170" fillId="0" borderId="1" xfId="2" applyNumberFormat="1" applyFont="1" applyFill="1" applyBorder="1"/>
    <xf numFmtId="173" fontId="42" fillId="0" borderId="1" xfId="2" applyNumberFormat="1" applyFont="1" applyFill="1" applyBorder="1"/>
    <xf numFmtId="173" fontId="42" fillId="0" borderId="21" xfId="2" applyNumberFormat="1" applyFont="1" applyFill="1" applyBorder="1"/>
    <xf numFmtId="37" fontId="0" fillId="0" borderId="0" xfId="346" applyNumberFormat="1" applyFont="1"/>
    <xf numFmtId="43" fontId="42" fillId="0" borderId="2" xfId="246" applyFont="1" applyFill="1" applyBorder="1" applyAlignment="1"/>
    <xf numFmtId="0" fontId="29" fillId="0" borderId="17" xfId="2" applyNumberFormat="1" applyFont="1" applyBorder="1" applyAlignment="1">
      <alignment horizontal="center"/>
    </xf>
    <xf numFmtId="0" fontId="29" fillId="0" borderId="7" xfId="2" applyNumberFormat="1" applyFont="1" applyBorder="1" applyAlignment="1">
      <alignment horizontal="center"/>
    </xf>
    <xf numFmtId="168" fontId="80" fillId="0" borderId="25" xfId="541" applyNumberFormat="1" applyFont="1" applyBorder="1"/>
    <xf numFmtId="0" fontId="30" fillId="18" borderId="31" xfId="4" applyFont="1" applyFill="1" applyBorder="1"/>
    <xf numFmtId="0" fontId="30" fillId="0" borderId="8" xfId="4" applyFont="1" applyBorder="1"/>
    <xf numFmtId="1" fontId="29" fillId="0" borderId="6" xfId="0" applyNumberFormat="1" applyFont="1" applyBorder="1"/>
    <xf numFmtId="1" fontId="29" fillId="0" borderId="25" xfId="0" applyNumberFormat="1" applyFont="1" applyBorder="1"/>
    <xf numFmtId="1" fontId="29" fillId="0" borderId="24" xfId="0" applyNumberFormat="1" applyFont="1" applyBorder="1"/>
    <xf numFmtId="177" fontId="34" fillId="0" borderId="1" xfId="246" applyNumberFormat="1" applyFont="1" applyBorder="1"/>
    <xf numFmtId="0" fontId="0" fillId="0" borderId="0" xfId="0"/>
    <xf numFmtId="37" fontId="29" fillId="0" borderId="0" xfId="346" applyNumberFormat="1" applyFont="1" applyFill="1" applyBorder="1" applyAlignment="1"/>
    <xf numFmtId="168" fontId="31" fillId="0" borderId="0" xfId="541" applyNumberFormat="1" applyFont="1" applyBorder="1"/>
    <xf numFmtId="168" fontId="31" fillId="0" borderId="2" xfId="541" applyNumberFormat="1" applyFont="1" applyBorder="1"/>
    <xf numFmtId="168" fontId="31" fillId="0" borderId="22" xfId="541" applyNumberFormat="1" applyFont="1" applyBorder="1"/>
    <xf numFmtId="1" fontId="32" fillId="18" borderId="6" xfId="527" applyNumberFormat="1" applyFont="1" applyFill="1" applyBorder="1" applyAlignment="1">
      <alignment horizontal="right"/>
    </xf>
    <xf numFmtId="1" fontId="32" fillId="18" borderId="17" xfId="527" applyNumberFormat="1" applyFont="1" applyFill="1" applyBorder="1" applyAlignment="1">
      <alignment horizontal="right"/>
    </xf>
    <xf numFmtId="168" fontId="31" fillId="0" borderId="1" xfId="541" applyNumberFormat="1" applyFont="1" applyBorder="1"/>
    <xf numFmtId="1" fontId="32" fillId="18" borderId="7" xfId="527" applyNumberFormat="1" applyFont="1" applyFill="1" applyBorder="1" applyAlignment="1">
      <alignment horizontal="right"/>
    </xf>
    <xf numFmtId="1" fontId="56" fillId="30" borderId="24" xfId="527" applyNumberFormat="1" applyFont="1" applyFill="1" applyBorder="1" applyAlignment="1">
      <alignment horizontal="right"/>
    </xf>
    <xf numFmtId="1" fontId="56" fillId="30" borderId="6" xfId="527" applyNumberFormat="1" applyFont="1" applyFill="1" applyBorder="1" applyAlignment="1">
      <alignment horizontal="right"/>
    </xf>
    <xf numFmtId="1" fontId="56" fillId="30" borderId="25" xfId="527" applyNumberFormat="1" applyFont="1" applyFill="1" applyBorder="1" applyAlignment="1">
      <alignment horizontal="right"/>
    </xf>
    <xf numFmtId="37" fontId="29" fillId="0" borderId="0" xfId="346" applyNumberFormat="1" applyFont="1" applyFill="1" applyBorder="1" applyAlignment="1"/>
    <xf numFmtId="168" fontId="31" fillId="0" borderId="21" xfId="541" applyNumberFormat="1" applyFont="1" applyFill="1" applyBorder="1"/>
    <xf numFmtId="168" fontId="29" fillId="0" borderId="0" xfId="541" applyNumberFormat="1" applyFont="1"/>
    <xf numFmtId="3" fontId="0" fillId="0" borderId="0" xfId="0" applyNumberFormat="1"/>
    <xf numFmtId="167" fontId="24" fillId="0" borderId="0" xfId="2" applyNumberFormat="1" applyFont="1" applyFill="1" applyBorder="1"/>
    <xf numFmtId="0" fontId="0" fillId="0" borderId="0" xfId="0"/>
    <xf numFmtId="43" fontId="29" fillId="0" borderId="0" xfId="2" applyNumberFormat="1" applyFont="1" applyFill="1"/>
    <xf numFmtId="177" fontId="29" fillId="0" borderId="0" xfId="2" applyNumberFormat="1" applyFont="1" applyFill="1" applyBorder="1" applyAlignment="1"/>
    <xf numFmtId="177" fontId="29" fillId="0" borderId="21" xfId="2" applyNumberFormat="1" applyFont="1" applyFill="1" applyBorder="1" applyAlignment="1"/>
    <xf numFmtId="177" fontId="29" fillId="0" borderId="1" xfId="2" applyNumberFormat="1" applyFont="1" applyFill="1" applyBorder="1" applyAlignment="1"/>
    <xf numFmtId="180" fontId="24" fillId="0" borderId="0" xfId="2" applyNumberFormat="1" applyFont="1"/>
    <xf numFmtId="168" fontId="31" fillId="0" borderId="0" xfId="541" applyNumberFormat="1" applyFont="1" applyFill="1" applyBorder="1"/>
    <xf numFmtId="168" fontId="35" fillId="0" borderId="0" xfId="541" applyNumberFormat="1" applyFont="1" applyFill="1" applyBorder="1"/>
    <xf numFmtId="168" fontId="31" fillId="0" borderId="0" xfId="541" applyNumberFormat="1" applyFont="1" applyBorder="1"/>
    <xf numFmtId="37" fontId="29" fillId="0" borderId="0" xfId="346" applyNumberFormat="1" applyFont="1" applyFill="1" applyBorder="1" applyAlignment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168" fontId="31" fillId="0" borderId="1" xfId="541" applyNumberFormat="1" applyFont="1" applyFill="1" applyBorder="1" applyAlignment="1"/>
    <xf numFmtId="168" fontId="31" fillId="0" borderId="0" xfId="541" applyNumberFormat="1" applyFont="1" applyFill="1" applyBorder="1" applyAlignment="1"/>
    <xf numFmtId="168" fontId="31" fillId="0" borderId="0" xfId="541" applyNumberFormat="1" applyFont="1" applyFill="1" applyBorder="1"/>
    <xf numFmtId="168" fontId="31" fillId="0" borderId="21" xfId="541" applyNumberFormat="1" applyFont="1" applyFill="1" applyBorder="1"/>
    <xf numFmtId="168" fontId="35" fillId="0" borderId="0" xfId="541" applyNumberFormat="1" applyFont="1" applyFill="1" applyBorder="1"/>
    <xf numFmtId="168" fontId="35" fillId="0" borderId="21" xfId="541" applyNumberFormat="1" applyFont="1" applyFill="1" applyBorder="1"/>
    <xf numFmtId="168" fontId="35" fillId="0" borderId="1" xfId="541" applyNumberFormat="1" applyFont="1" applyFill="1" applyBorder="1"/>
    <xf numFmtId="164" fontId="34" fillId="0" borderId="0" xfId="246" applyNumberFormat="1" applyFont="1" applyFill="1" applyBorder="1"/>
    <xf numFmtId="164" fontId="34" fillId="0" borderId="1" xfId="246" applyNumberFormat="1" applyFont="1" applyFill="1" applyBorder="1"/>
    <xf numFmtId="164" fontId="34" fillId="0" borderId="21" xfId="246" applyNumberFormat="1" applyFont="1" applyFill="1" applyBorder="1"/>
    <xf numFmtId="168" fontId="31" fillId="0" borderId="1" xfId="541" applyNumberFormat="1" applyFont="1" applyFill="1" applyBorder="1"/>
    <xf numFmtId="168" fontId="31" fillId="0" borderId="0" xfId="541" applyNumberFormat="1" applyFont="1" applyBorder="1"/>
    <xf numFmtId="168" fontId="31" fillId="0" borderId="2" xfId="541" applyNumberFormat="1" applyFont="1" applyBorder="1"/>
    <xf numFmtId="168" fontId="31" fillId="0" borderId="23" xfId="541" applyNumberFormat="1" applyFont="1" applyBorder="1"/>
    <xf numFmtId="168" fontId="31" fillId="0" borderId="22" xfId="541" applyNumberFormat="1" applyFont="1" applyBorder="1"/>
    <xf numFmtId="168" fontId="31" fillId="0" borderId="21" xfId="541" applyNumberFormat="1" applyFont="1" applyBorder="1"/>
    <xf numFmtId="165" fontId="32" fillId="18" borderId="24" xfId="527" applyNumberFormat="1" applyFont="1" applyFill="1" applyBorder="1" applyAlignment="1">
      <alignment horizontal="right"/>
    </xf>
    <xf numFmtId="165" fontId="32" fillId="18" borderId="6" xfId="527" applyNumberFormat="1" applyFont="1" applyFill="1" applyBorder="1" applyAlignment="1">
      <alignment horizontal="right"/>
    </xf>
    <xf numFmtId="165" fontId="32" fillId="18" borderId="25" xfId="527" applyNumberFormat="1" applyFont="1" applyFill="1" applyBorder="1" applyAlignment="1">
      <alignment horizontal="right"/>
    </xf>
    <xf numFmtId="1" fontId="32" fillId="18" borderId="24" xfId="527" applyNumberFormat="1" applyFont="1" applyFill="1" applyBorder="1" applyAlignment="1">
      <alignment horizontal="right"/>
    </xf>
    <xf numFmtId="1" fontId="32" fillId="18" borderId="6" xfId="527" applyNumberFormat="1" applyFont="1" applyFill="1" applyBorder="1" applyAlignment="1">
      <alignment horizontal="right"/>
    </xf>
    <xf numFmtId="1" fontId="32" fillId="18" borderId="25" xfId="527" applyNumberFormat="1" applyFont="1" applyFill="1" applyBorder="1" applyAlignment="1">
      <alignment horizontal="right"/>
    </xf>
    <xf numFmtId="168" fontId="35" fillId="0" borderId="23" xfId="541" applyNumberFormat="1" applyFont="1" applyFill="1" applyBorder="1"/>
    <xf numFmtId="168" fontId="35" fillId="0" borderId="2" xfId="541" applyNumberFormat="1" applyFont="1" applyFill="1" applyBorder="1"/>
    <xf numFmtId="168" fontId="35" fillId="0" borderId="22" xfId="541" applyNumberFormat="1" applyFont="1" applyFill="1" applyBorder="1"/>
    <xf numFmtId="168" fontId="31" fillId="0" borderId="17" xfId="541" applyNumberFormat="1" applyFont="1" applyBorder="1"/>
    <xf numFmtId="168" fontId="31" fillId="0" borderId="1" xfId="541" applyNumberFormat="1" applyFont="1" applyBorder="1"/>
    <xf numFmtId="168" fontId="31" fillId="26" borderId="6" xfId="541" applyNumberFormat="1" applyFont="1" applyFill="1" applyBorder="1"/>
    <xf numFmtId="168" fontId="31" fillId="26" borderId="25" xfId="541" applyNumberFormat="1" applyFont="1" applyFill="1" applyBorder="1"/>
    <xf numFmtId="1" fontId="32" fillId="18" borderId="17" xfId="526" applyNumberFormat="1" applyFont="1" applyFill="1" applyBorder="1" applyAlignment="1">
      <alignment horizontal="right"/>
    </xf>
    <xf numFmtId="168" fontId="31" fillId="0" borderId="20" xfId="541" applyNumberFormat="1" applyFont="1" applyBorder="1"/>
    <xf numFmtId="168" fontId="31" fillId="26" borderId="24" xfId="541" applyNumberFormat="1" applyFont="1" applyFill="1" applyBorder="1"/>
    <xf numFmtId="1" fontId="30" fillId="30" borderId="6" xfId="527" applyNumberFormat="1" applyFont="1" applyFill="1" applyBorder="1" applyAlignment="1">
      <alignment horizontal="right"/>
    </xf>
    <xf numFmtId="1" fontId="30" fillId="30" borderId="25" xfId="527" applyNumberFormat="1" applyFont="1" applyFill="1" applyBorder="1" applyAlignment="1">
      <alignment horizontal="right"/>
    </xf>
    <xf numFmtId="192" fontId="170" fillId="0" borderId="0" xfId="346" applyNumberFormat="1" applyFont="1" applyBorder="1"/>
    <xf numFmtId="192" fontId="170" fillId="0" borderId="21" xfId="346" applyNumberFormat="1" applyFont="1" applyBorder="1"/>
    <xf numFmtId="192" fontId="170" fillId="0" borderId="1" xfId="346" applyNumberFormat="1" applyFont="1" applyBorder="1"/>
    <xf numFmtId="173" fontId="30" fillId="0" borderId="0" xfId="4" applyNumberFormat="1" applyFont="1" applyFill="1" applyBorder="1"/>
    <xf numFmtId="168" fontId="29" fillId="0" borderId="1" xfId="541" applyNumberFormat="1" applyFont="1" applyBorder="1"/>
    <xf numFmtId="168" fontId="171" fillId="31" borderId="0" xfId="246" applyNumberFormat="1" applyFont="1" applyFill="1" applyBorder="1"/>
    <xf numFmtId="168" fontId="171" fillId="31" borderId="2" xfId="246" applyNumberFormat="1" applyFont="1" applyFill="1" applyBorder="1"/>
    <xf numFmtId="168" fontId="171" fillId="31" borderId="23" xfId="246" applyNumberFormat="1" applyFont="1" applyFill="1" applyBorder="1"/>
    <xf numFmtId="168" fontId="34" fillId="0" borderId="0" xfId="541" applyNumberFormat="1" applyFont="1" applyFill="1" applyBorder="1" applyAlignment="1"/>
    <xf numFmtId="168" fontId="34" fillId="0" borderId="1" xfId="541" applyNumberFormat="1" applyFont="1" applyFill="1" applyBorder="1" applyAlignment="1"/>
    <xf numFmtId="173" fontId="29" fillId="0" borderId="0" xfId="4" applyNumberFormat="1" applyFont="1" applyFill="1" applyBorder="1"/>
    <xf numFmtId="1" fontId="30" fillId="30" borderId="24" xfId="527" applyNumberFormat="1" applyFont="1" applyFill="1" applyBorder="1" applyAlignment="1">
      <alignment horizontal="right"/>
    </xf>
    <xf numFmtId="185" fontId="170" fillId="0" borderId="21" xfId="346" applyNumberFormat="1" applyFont="1" applyBorder="1"/>
    <xf numFmtId="168" fontId="171" fillId="31" borderId="21" xfId="246" applyNumberFormat="1" applyFont="1" applyFill="1" applyBorder="1"/>
    <xf numFmtId="168" fontId="171" fillId="31" borderId="1" xfId="246" applyNumberFormat="1" applyFont="1" applyFill="1" applyBorder="1"/>
    <xf numFmtId="185" fontId="170" fillId="0" borderId="0" xfId="346" applyNumberFormat="1" applyFont="1" applyBorder="1"/>
    <xf numFmtId="37" fontId="29" fillId="0" borderId="0" xfId="346" applyNumberFormat="1" applyFont="1" applyFill="1" applyBorder="1" applyAlignment="1"/>
    <xf numFmtId="37" fontId="29" fillId="0" borderId="1" xfId="346" applyNumberFormat="1" applyFont="1" applyFill="1" applyBorder="1" applyAlignment="1"/>
    <xf numFmtId="9" fontId="29" fillId="0" borderId="0" xfId="541" applyFont="1" applyFill="1" applyBorder="1"/>
    <xf numFmtId="179" fontId="201" fillId="31" borderId="21" xfId="246" applyNumberFormat="1" applyFont="1" applyFill="1" applyBorder="1"/>
    <xf numFmtId="0" fontId="0" fillId="0" borderId="0" xfId="0"/>
    <xf numFmtId="7" fontId="29" fillId="0" borderId="21" xfId="346" applyNumberFormat="1" applyFont="1" applyFill="1" applyBorder="1" applyAlignment="1"/>
    <xf numFmtId="44" fontId="29" fillId="0" borderId="0" xfId="2" applyNumberFormat="1" applyFont="1" applyFill="1" applyBorder="1"/>
    <xf numFmtId="0" fontId="0" fillId="0" borderId="17" xfId="2" applyFont="1" applyFill="1" applyBorder="1"/>
    <xf numFmtId="168" fontId="29" fillId="0" borderId="0" xfId="541" applyNumberFormat="1" applyFont="1" applyFill="1"/>
    <xf numFmtId="43" fontId="29" fillId="0" borderId="0" xfId="2" applyNumberFormat="1" applyFont="1" applyBorder="1"/>
    <xf numFmtId="168" fontId="42" fillId="0" borderId="0" xfId="541" applyNumberFormat="1" applyFont="1"/>
    <xf numFmtId="180" fontId="0" fillId="0" borderId="0" xfId="0" applyNumberFormat="1"/>
    <xf numFmtId="192" fontId="170" fillId="0" borderId="17" xfId="346" applyNumberFormat="1" applyFont="1" applyBorder="1"/>
    <xf numFmtId="0" fontId="0" fillId="0" borderId="0" xfId="0"/>
    <xf numFmtId="3" fontId="29" fillId="0" borderId="0" xfId="2" applyNumberFormat="1" applyFont="1"/>
    <xf numFmtId="3" fontId="29" fillId="0" borderId="1" xfId="2" applyNumberFormat="1" applyFont="1" applyFill="1" applyBorder="1"/>
    <xf numFmtId="3" fontId="29" fillId="0" borderId="21" xfId="2" applyNumberFormat="1" applyFont="1" applyFill="1" applyBorder="1"/>
    <xf numFmtId="3" fontId="29" fillId="0" borderId="1" xfId="246" applyNumberFormat="1" applyFont="1" applyBorder="1"/>
    <xf numFmtId="3" fontId="29" fillId="0" borderId="0" xfId="246" applyNumberFormat="1" applyFont="1" applyBorder="1"/>
    <xf numFmtId="3" fontId="29" fillId="0" borderId="21" xfId="246" applyNumberFormat="1" applyFont="1" applyBorder="1"/>
    <xf numFmtId="3" fontId="29" fillId="0" borderId="26" xfId="2" applyNumberFormat="1" applyFont="1" applyFill="1" applyBorder="1"/>
    <xf numFmtId="3" fontId="29" fillId="0" borderId="0" xfId="2" applyNumberFormat="1" applyFont="1" applyFill="1"/>
    <xf numFmtId="177" fontId="171" fillId="31" borderId="1" xfId="246" applyNumberFormat="1" applyFont="1" applyFill="1" applyBorder="1"/>
    <xf numFmtId="185" fontId="170" fillId="0" borderId="1" xfId="346" applyNumberFormat="1" applyFont="1" applyBorder="1"/>
    <xf numFmtId="188" fontId="24" fillId="0" borderId="0" xfId="346" applyNumberFormat="1" applyFont="1"/>
    <xf numFmtId="1" fontId="42" fillId="18" borderId="17" xfId="2" applyNumberFormat="1" applyFont="1" applyFill="1" applyBorder="1" applyAlignment="1">
      <alignment horizontal="right"/>
    </xf>
    <xf numFmtId="1" fontId="42" fillId="18" borderId="7" xfId="2" applyNumberFormat="1" applyFont="1" applyFill="1" applyBorder="1" applyAlignment="1">
      <alignment horizontal="right"/>
    </xf>
    <xf numFmtId="1" fontId="42" fillId="18" borderId="20" xfId="2" applyNumberFormat="1" applyFont="1" applyFill="1" applyBorder="1" applyAlignment="1">
      <alignment horizontal="right"/>
    </xf>
    <xf numFmtId="0" fontId="0" fillId="0" borderId="0" xfId="0"/>
    <xf numFmtId="1" fontId="32" fillId="18" borderId="24" xfId="526" applyNumberFormat="1" applyFont="1" applyFill="1" applyBorder="1" applyAlignment="1">
      <alignment horizontal="right"/>
    </xf>
    <xf numFmtId="168" fontId="31" fillId="0" borderId="0" xfId="541" applyNumberFormat="1" applyFont="1" applyFill="1" applyBorder="1" applyAlignment="1"/>
    <xf numFmtId="168" fontId="31" fillId="0" borderId="0" xfId="541" applyNumberFormat="1" applyFont="1" applyFill="1" applyBorder="1"/>
    <xf numFmtId="168" fontId="31" fillId="0" borderId="21" xfId="541" applyNumberFormat="1" applyFont="1" applyFill="1" applyBorder="1"/>
    <xf numFmtId="168" fontId="35" fillId="0" borderId="0" xfId="541" applyNumberFormat="1" applyFont="1" applyFill="1" applyBorder="1"/>
    <xf numFmtId="168" fontId="35" fillId="0" borderId="21" xfId="541" applyNumberFormat="1" applyFont="1" applyFill="1" applyBorder="1"/>
    <xf numFmtId="168" fontId="35" fillId="0" borderId="1" xfId="541" applyNumberFormat="1" applyFont="1" applyFill="1" applyBorder="1"/>
    <xf numFmtId="168" fontId="31" fillId="0" borderId="1" xfId="541" applyNumberFormat="1" applyFont="1" applyFill="1" applyBorder="1"/>
    <xf numFmtId="168" fontId="31" fillId="0" borderId="0" xfId="541" applyNumberFormat="1" applyFont="1" applyBorder="1"/>
    <xf numFmtId="168" fontId="31" fillId="0" borderId="21" xfId="541" applyNumberFormat="1" applyFont="1" applyBorder="1"/>
    <xf numFmtId="165" fontId="32" fillId="18" borderId="24" xfId="527" applyNumberFormat="1" applyFont="1" applyFill="1" applyBorder="1" applyAlignment="1">
      <alignment horizontal="right"/>
    </xf>
    <xf numFmtId="165" fontId="32" fillId="18" borderId="6" xfId="527" applyNumberFormat="1" applyFont="1" applyFill="1" applyBorder="1" applyAlignment="1">
      <alignment horizontal="right"/>
    </xf>
    <xf numFmtId="165" fontId="32" fillId="18" borderId="25" xfId="527" applyNumberFormat="1" applyFont="1" applyFill="1" applyBorder="1" applyAlignment="1">
      <alignment horizontal="right"/>
    </xf>
    <xf numFmtId="168" fontId="31" fillId="0" borderId="1" xfId="541" applyNumberFormat="1" applyFont="1" applyBorder="1"/>
    <xf numFmtId="1" fontId="32" fillId="18" borderId="17" xfId="526" applyNumberFormat="1" applyFont="1" applyFill="1" applyBorder="1" applyAlignment="1">
      <alignment horizontal="right"/>
    </xf>
    <xf numFmtId="168" fontId="30" fillId="0" borderId="0" xfId="541" applyNumberFormat="1" applyFont="1" applyFill="1" applyBorder="1"/>
    <xf numFmtId="168" fontId="35" fillId="0" borderId="0" xfId="541" applyNumberFormat="1" applyFont="1" applyFill="1" applyBorder="1" applyAlignment="1"/>
    <xf numFmtId="168" fontId="35" fillId="0" borderId="1" xfId="541" applyNumberFormat="1" applyFont="1" applyFill="1" applyBorder="1" applyAlignment="1"/>
    <xf numFmtId="168" fontId="35" fillId="0" borderId="21" xfId="541" applyNumberFormat="1" applyFont="1" applyFill="1" applyBorder="1" applyAlignment="1"/>
    <xf numFmtId="177" fontId="34" fillId="0" borderId="1" xfId="246" applyNumberFormat="1" applyFont="1" applyFill="1" applyBorder="1" applyAlignment="1"/>
    <xf numFmtId="177" fontId="34" fillId="0" borderId="0" xfId="246" applyNumberFormat="1" applyFont="1" applyFill="1" applyBorder="1" applyAlignment="1"/>
    <xf numFmtId="177" fontId="34" fillId="0" borderId="21" xfId="246" applyNumberFormat="1" applyFont="1" applyFill="1" applyBorder="1" applyAlignment="1"/>
    <xf numFmtId="168" fontId="29" fillId="0" borderId="0" xfId="541" applyNumberFormat="1" applyFont="1" applyFill="1" applyBorder="1" applyAlignment="1"/>
    <xf numFmtId="168" fontId="171" fillId="31" borderId="0" xfId="246" applyNumberFormat="1" applyFont="1" applyFill="1" applyBorder="1"/>
    <xf numFmtId="168" fontId="34" fillId="0" borderId="0" xfId="541" applyNumberFormat="1" applyFont="1" applyFill="1" applyBorder="1" applyAlignment="1"/>
    <xf numFmtId="168" fontId="34" fillId="0" borderId="21" xfId="541" applyNumberFormat="1" applyFont="1" applyFill="1" applyBorder="1" applyAlignment="1"/>
    <xf numFmtId="168" fontId="34" fillId="0" borderId="1" xfId="541" applyNumberFormat="1" applyFont="1" applyFill="1" applyBorder="1" applyAlignment="1"/>
    <xf numFmtId="173" fontId="29" fillId="0" borderId="0" xfId="4" applyNumberFormat="1" applyFont="1" applyFill="1" applyBorder="1"/>
    <xf numFmtId="168" fontId="171" fillId="31" borderId="21" xfId="246" applyNumberFormat="1" applyFont="1" applyFill="1" applyBorder="1"/>
    <xf numFmtId="37" fontId="29" fillId="0" borderId="0" xfId="346" applyNumberFormat="1" applyFont="1" applyFill="1" applyBorder="1" applyAlignment="1"/>
    <xf numFmtId="1" fontId="32" fillId="18" borderId="20" xfId="526" applyNumberFormat="1" applyFont="1" applyFill="1" applyBorder="1" applyAlignment="1">
      <alignment horizontal="right"/>
    </xf>
    <xf numFmtId="9" fontId="81" fillId="0" borderId="1" xfId="541" applyFont="1" applyFill="1" applyBorder="1" applyAlignment="1"/>
    <xf numFmtId="9" fontId="81" fillId="0" borderId="21" xfId="541" applyFont="1" applyFill="1" applyBorder="1" applyAlignment="1"/>
    <xf numFmtId="37" fontId="29" fillId="0" borderId="21" xfId="346" applyNumberFormat="1" applyFont="1" applyFill="1" applyBorder="1" applyAlignment="1"/>
    <xf numFmtId="9" fontId="81" fillId="0" borderId="0" xfId="541" applyFont="1" applyFill="1" applyBorder="1" applyAlignment="1"/>
    <xf numFmtId="37" fontId="29" fillId="0" borderId="1" xfId="346" applyNumberFormat="1" applyFont="1" applyFill="1" applyBorder="1" applyAlignment="1"/>
    <xf numFmtId="192" fontId="29" fillId="0" borderId="21" xfId="541" applyNumberFormat="1" applyFont="1" applyFill="1" applyBorder="1" applyAlignment="1"/>
    <xf numFmtId="192" fontId="29" fillId="0" borderId="0" xfId="541" applyNumberFormat="1" applyFont="1" applyFill="1" applyBorder="1" applyAlignment="1"/>
    <xf numFmtId="192" fontId="29" fillId="0" borderId="1" xfId="541" applyNumberFormat="1" applyFont="1" applyFill="1" applyBorder="1" applyAlignment="1"/>
    <xf numFmtId="43" fontId="34" fillId="0" borderId="0" xfId="246" applyFont="1" applyFill="1" applyBorder="1" applyAlignment="1"/>
    <xf numFmtId="43" fontId="34" fillId="0" borderId="21" xfId="246" applyFont="1" applyFill="1" applyBorder="1" applyAlignment="1"/>
    <xf numFmtId="43" fontId="29" fillId="0" borderId="0" xfId="246" applyFont="1" applyFill="1" applyBorder="1" applyAlignment="1"/>
    <xf numFmtId="43" fontId="29" fillId="0" borderId="21" xfId="246" applyFont="1" applyFill="1" applyBorder="1" applyAlignment="1"/>
    <xf numFmtId="43" fontId="29" fillId="0" borderId="1" xfId="246" applyFont="1" applyFill="1" applyBorder="1" applyAlignment="1"/>
    <xf numFmtId="43" fontId="34" fillId="0" borderId="1" xfId="246" applyFont="1" applyFill="1" applyBorder="1" applyAlignment="1"/>
    <xf numFmtId="179" fontId="201" fillId="31" borderId="1" xfId="246" applyNumberFormat="1" applyFont="1" applyFill="1" applyBorder="1"/>
    <xf numFmtId="0" fontId="0" fillId="0" borderId="0" xfId="0"/>
    <xf numFmtId="168" fontId="29" fillId="0" borderId="0" xfId="0" applyNumberFormat="1" applyFont="1" applyFill="1" applyBorder="1"/>
    <xf numFmtId="0" fontId="0" fillId="0" borderId="0" xfId="0" applyFill="1" applyBorder="1"/>
    <xf numFmtId="0" fontId="0" fillId="0" borderId="0" xfId="0"/>
    <xf numFmtId="37" fontId="24" fillId="0" borderId="0" xfId="346" applyNumberFormat="1" applyFont="1"/>
    <xf numFmtId="10" fontId="29" fillId="0" borderId="0" xfId="541" applyNumberFormat="1" applyFont="1" applyFill="1"/>
    <xf numFmtId="168" fontId="31" fillId="0" borderId="1" xfId="541" applyNumberFormat="1" applyFont="1" applyFill="1" applyBorder="1" applyAlignment="1"/>
    <xf numFmtId="168" fontId="31" fillId="0" borderId="0" xfId="541" applyNumberFormat="1" applyFont="1" applyFill="1" applyBorder="1" applyAlignment="1"/>
    <xf numFmtId="168" fontId="31" fillId="0" borderId="21" xfId="541" applyNumberFormat="1" applyFont="1" applyFill="1" applyBorder="1" applyAlignment="1"/>
    <xf numFmtId="1" fontId="32" fillId="18" borderId="24" xfId="526" applyNumberFormat="1" applyFont="1" applyFill="1" applyBorder="1" applyAlignment="1">
      <alignment horizontal="right"/>
    </xf>
    <xf numFmtId="1" fontId="32" fillId="18" borderId="6" xfId="526" applyNumberFormat="1" applyFont="1" applyFill="1" applyBorder="1" applyAlignment="1">
      <alignment horizontal="right"/>
    </xf>
    <xf numFmtId="1" fontId="32" fillId="18" borderId="25" xfId="526" applyNumberFormat="1" applyFont="1" applyFill="1" applyBorder="1" applyAlignment="1">
      <alignment horizontal="right"/>
    </xf>
    <xf numFmtId="168" fontId="31" fillId="0" borderId="1" xfId="541" applyNumberFormat="1" applyFont="1" applyFill="1" applyBorder="1" applyAlignment="1"/>
    <xf numFmtId="168" fontId="31" fillId="0" borderId="0" xfId="541" applyNumberFormat="1" applyFont="1" applyFill="1" applyBorder="1" applyAlignment="1"/>
    <xf numFmtId="168" fontId="31" fillId="0" borderId="21" xfId="541" applyNumberFormat="1" applyFont="1" applyFill="1" applyBorder="1" applyAlignment="1"/>
    <xf numFmtId="168" fontId="29" fillId="0" borderId="1" xfId="541" applyNumberFormat="1" applyFont="1" applyBorder="1"/>
    <xf numFmtId="168" fontId="29" fillId="0" borderId="0" xfId="541" applyNumberFormat="1" applyFont="1" applyFill="1" applyBorder="1" applyAlignment="1"/>
    <xf numFmtId="168" fontId="171" fillId="31" borderId="0" xfId="246" applyNumberFormat="1" applyFont="1" applyFill="1" applyBorder="1"/>
    <xf numFmtId="9" fontId="29" fillId="0" borderId="0" xfId="541" applyFont="1" applyFill="1"/>
    <xf numFmtId="168" fontId="29" fillId="0" borderId="0" xfId="541" applyNumberFormat="1" applyFont="1" applyBorder="1"/>
    <xf numFmtId="168" fontId="171" fillId="31" borderId="1" xfId="246" applyNumberFormat="1" applyFont="1" applyFill="1" applyBorder="1"/>
    <xf numFmtId="168" fontId="29" fillId="0" borderId="21" xfId="541" applyNumberFormat="1" applyFont="1" applyFill="1" applyBorder="1" applyAlignment="1"/>
    <xf numFmtId="168" fontId="29" fillId="0" borderId="21" xfId="541" applyNumberFormat="1" applyFont="1" applyBorder="1"/>
    <xf numFmtId="168" fontId="29" fillId="0" borderId="1" xfId="541" applyNumberFormat="1" applyFont="1" applyFill="1" applyBorder="1" applyAlignment="1"/>
    <xf numFmtId="179" fontId="201" fillId="31" borderId="0" xfId="246" applyNumberFormat="1" applyFont="1" applyFill="1" applyBorder="1"/>
    <xf numFmtId="188" fontId="24" fillId="0" borderId="0" xfId="346" applyNumberFormat="1" applyFont="1" applyBorder="1"/>
    <xf numFmtId="188" fontId="29" fillId="0" borderId="0" xfId="346" applyNumberFormat="1" applyFont="1" applyFill="1" applyBorder="1" applyAlignment="1"/>
    <xf numFmtId="188" fontId="0" fillId="0" borderId="0" xfId="346" applyNumberFormat="1" applyFont="1"/>
    <xf numFmtId="188" fontId="29" fillId="0" borderId="0" xfId="346" applyNumberFormat="1" applyFont="1"/>
    <xf numFmtId="44" fontId="0" fillId="0" borderId="0" xfId="346" applyNumberFormat="1" applyFont="1"/>
    <xf numFmtId="0" fontId="0" fillId="0" borderId="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/>
    <xf numFmtId="177" fontId="0" fillId="0" borderId="0" xfId="0" applyNumberFormat="1" applyBorder="1"/>
    <xf numFmtId="0" fontId="0" fillId="0" borderId="0" xfId="0"/>
    <xf numFmtId="168" fontId="171" fillId="31" borderId="58" xfId="246" applyNumberFormat="1" applyFont="1" applyFill="1" applyBorder="1"/>
    <xf numFmtId="164" fontId="29" fillId="0" borderId="58" xfId="2" applyNumberFormat="1" applyFont="1" applyFill="1" applyBorder="1"/>
    <xf numFmtId="192" fontId="170" fillId="0" borderId="58" xfId="346" applyNumberFormat="1" applyFont="1" applyBorder="1"/>
    <xf numFmtId="164" fontId="34" fillId="0" borderId="58" xfId="2" applyNumberFormat="1" applyFont="1" applyFill="1" applyBorder="1"/>
    <xf numFmtId="0" fontId="29" fillId="0" borderId="58" xfId="2" applyFont="1" applyBorder="1"/>
    <xf numFmtId="164" fontId="170" fillId="0" borderId="23" xfId="2" applyNumberFormat="1" applyFont="1" applyFill="1" applyBorder="1"/>
    <xf numFmtId="192" fontId="170" fillId="0" borderId="7" xfId="346" applyNumberFormat="1" applyFont="1" applyBorder="1"/>
    <xf numFmtId="0" fontId="0" fillId="0" borderId="0" xfId="0"/>
    <xf numFmtId="168" fontId="31" fillId="0" borderId="58" xfId="541" applyNumberFormat="1" applyFont="1" applyFill="1" applyBorder="1"/>
    <xf numFmtId="168" fontId="35" fillId="0" borderId="58" xfId="541" applyNumberFormat="1" applyFont="1" applyFill="1" applyBorder="1"/>
    <xf numFmtId="179" fontId="30" fillId="0" borderId="58" xfId="2" applyNumberFormat="1" applyFont="1" applyFill="1" applyBorder="1"/>
    <xf numFmtId="0" fontId="24" fillId="0" borderId="0" xfId="5059"/>
    <xf numFmtId="0" fontId="0" fillId="0" borderId="0" xfId="0"/>
    <xf numFmtId="177" fontId="29" fillId="0" borderId="58" xfId="246" applyNumberFormat="1" applyFont="1" applyFill="1" applyBorder="1" applyAlignment="1"/>
    <xf numFmtId="168" fontId="37" fillId="0" borderId="58" xfId="541" applyNumberFormat="1" applyFont="1" applyFill="1" applyBorder="1" applyAlignment="1"/>
    <xf numFmtId="177" fontId="59" fillId="0" borderId="58" xfId="246" applyNumberFormat="1" applyFont="1" applyFill="1" applyBorder="1" applyAlignment="1"/>
    <xf numFmtId="164" fontId="170" fillId="0" borderId="58" xfId="2" applyNumberFormat="1" applyFont="1" applyFill="1" applyBorder="1" applyAlignment="1"/>
    <xf numFmtId="167" fontId="84" fillId="0" borderId="58" xfId="2" applyNumberFormat="1" applyFont="1" applyFill="1" applyBorder="1" applyAlignment="1"/>
    <xf numFmtId="168" fontId="31" fillId="0" borderId="58" xfId="541" applyNumberFormat="1" applyFont="1" applyFill="1" applyBorder="1" applyAlignment="1"/>
    <xf numFmtId="164" fontId="59" fillId="0" borderId="58" xfId="2" applyNumberFormat="1" applyFont="1" applyFill="1" applyBorder="1" applyAlignment="1"/>
    <xf numFmtId="168" fontId="29" fillId="0" borderId="58" xfId="541" applyNumberFormat="1" applyFont="1" applyFill="1" applyBorder="1" applyAlignment="1"/>
    <xf numFmtId="37" fontId="29" fillId="0" borderId="58" xfId="346" applyNumberFormat="1" applyFont="1" applyFill="1" applyBorder="1" applyAlignment="1"/>
    <xf numFmtId="9" fontId="81" fillId="0" borderId="58" xfId="541" applyFont="1" applyFill="1" applyBorder="1" applyAlignment="1"/>
    <xf numFmtId="164" fontId="29" fillId="0" borderId="58" xfId="2" applyNumberFormat="1" applyFont="1" applyFill="1" applyBorder="1" applyAlignment="1"/>
    <xf numFmtId="169" fontId="34" fillId="0" borderId="58" xfId="2" applyNumberFormat="1" applyFont="1" applyFill="1" applyBorder="1" applyAlignment="1"/>
    <xf numFmtId="164" fontId="30" fillId="0" borderId="58" xfId="2" applyNumberFormat="1" applyFont="1" applyFill="1" applyBorder="1" applyAlignment="1"/>
    <xf numFmtId="177" fontId="30" fillId="0" borderId="58" xfId="2" applyNumberFormat="1" applyFont="1" applyFill="1" applyBorder="1" applyAlignment="1"/>
    <xf numFmtId="43" fontId="29" fillId="0" borderId="58" xfId="246" applyFont="1" applyFill="1" applyBorder="1" applyAlignment="1"/>
    <xf numFmtId="164" fontId="34" fillId="0" borderId="58" xfId="2" applyNumberFormat="1" applyFont="1" applyFill="1" applyBorder="1" applyAlignment="1"/>
    <xf numFmtId="192" fontId="29" fillId="0" borderId="58" xfId="541" applyNumberFormat="1" applyFont="1" applyFill="1" applyBorder="1" applyAlignment="1"/>
    <xf numFmtId="168" fontId="29" fillId="0" borderId="58" xfId="541" applyNumberFormat="1" applyFont="1" applyBorder="1"/>
    <xf numFmtId="0" fontId="29" fillId="0" borderId="58" xfId="0" applyFont="1" applyBorder="1"/>
    <xf numFmtId="43" fontId="34" fillId="0" borderId="58" xfId="246" applyFont="1" applyFill="1" applyBorder="1" applyAlignment="1"/>
    <xf numFmtId="177" fontId="34" fillId="0" borderId="58" xfId="246" applyNumberFormat="1" applyFont="1" applyFill="1" applyBorder="1" applyAlignment="1"/>
    <xf numFmtId="181" fontId="31" fillId="0" borderId="58" xfId="563" applyNumberFormat="1" applyFont="1" applyFill="1" applyBorder="1" applyAlignment="1"/>
    <xf numFmtId="168" fontId="31" fillId="0" borderId="58" xfId="563" applyNumberFormat="1" applyFont="1" applyFill="1" applyBorder="1" applyAlignment="1"/>
    <xf numFmtId="0" fontId="0" fillId="0" borderId="58" xfId="0" applyBorder="1"/>
    <xf numFmtId="177" fontId="59" fillId="0" borderId="58" xfId="2" applyNumberFormat="1" applyFont="1" applyFill="1" applyBorder="1" applyAlignment="1"/>
    <xf numFmtId="179" fontId="201" fillId="31" borderId="58" xfId="246" applyNumberFormat="1" applyFont="1" applyFill="1" applyBorder="1"/>
    <xf numFmtId="168" fontId="34" fillId="0" borderId="58" xfId="541" applyNumberFormat="1" applyFont="1" applyFill="1" applyBorder="1" applyAlignment="1"/>
    <xf numFmtId="168" fontId="35" fillId="0" borderId="58" xfId="541" applyNumberFormat="1" applyFont="1" applyFill="1" applyBorder="1" applyAlignment="1"/>
    <xf numFmtId="177" fontId="29" fillId="0" borderId="58" xfId="2" applyNumberFormat="1" applyFont="1" applyFill="1" applyBorder="1" applyAlignment="1"/>
    <xf numFmtId="172" fontId="29" fillId="0" borderId="58" xfId="2" applyNumberFormat="1" applyFont="1" applyFill="1" applyBorder="1" applyAlignment="1"/>
    <xf numFmtId="169" fontId="34" fillId="0" borderId="58" xfId="2" applyNumberFormat="1" applyFont="1" applyFill="1" applyBorder="1"/>
    <xf numFmtId="173" fontId="29" fillId="0" borderId="58" xfId="2" applyNumberFormat="1" applyFont="1" applyFill="1" applyBorder="1"/>
    <xf numFmtId="173" fontId="84" fillId="0" borderId="58" xfId="2" applyNumberFormat="1" applyFont="1" applyFill="1" applyBorder="1"/>
    <xf numFmtId="173" fontId="47" fillId="0" borderId="58" xfId="2" applyNumberFormat="1" applyFont="1" applyFill="1" applyBorder="1"/>
    <xf numFmtId="0" fontId="0" fillId="0" borderId="0" xfId="0"/>
    <xf numFmtId="0" fontId="0" fillId="0" borderId="0" xfId="0"/>
    <xf numFmtId="0" fontId="30" fillId="0" borderId="58" xfId="2" applyFont="1" applyFill="1" applyBorder="1"/>
    <xf numFmtId="0" fontId="29" fillId="0" borderId="26" xfId="0" applyFont="1" applyBorder="1"/>
    <xf numFmtId="168" fontId="42" fillId="0" borderId="26" xfId="541" applyNumberFormat="1" applyFont="1" applyBorder="1"/>
    <xf numFmtId="0" fontId="0" fillId="0" borderId="26" xfId="2" applyFont="1" applyFill="1" applyBorder="1"/>
    <xf numFmtId="1" fontId="0" fillId="0" borderId="26" xfId="2" applyNumberFormat="1" applyFont="1" applyBorder="1"/>
    <xf numFmtId="168" fontId="37" fillId="0" borderId="58" xfId="541" applyNumberFormat="1" applyFont="1" applyFill="1" applyBorder="1"/>
    <xf numFmtId="168" fontId="31" fillId="0" borderId="58" xfId="541" applyNumberFormat="1" applyFont="1" applyBorder="1"/>
    <xf numFmtId="0" fontId="24" fillId="0" borderId="1" xfId="0" applyFont="1" applyFill="1" applyBorder="1"/>
    <xf numFmtId="167" fontId="29" fillId="0" borderId="58" xfId="2" applyNumberFormat="1" applyFont="1" applyFill="1" applyBorder="1" applyAlignment="1"/>
    <xf numFmtId="0" fontId="42" fillId="0" borderId="58" xfId="2" applyFont="1" applyBorder="1"/>
    <xf numFmtId="0" fontId="37" fillId="0" borderId="58" xfId="2" applyFont="1" applyBorder="1"/>
    <xf numFmtId="0" fontId="30" fillId="0" borderId="58" xfId="2" applyFont="1" applyBorder="1"/>
    <xf numFmtId="168" fontId="0" fillId="0" borderId="58" xfId="541" applyNumberFormat="1" applyFont="1" applyBorder="1"/>
    <xf numFmtId="179" fontId="42" fillId="0" borderId="58" xfId="2" applyNumberFormat="1" applyFont="1" applyFill="1" applyBorder="1"/>
    <xf numFmtId="0" fontId="29" fillId="0" borderId="58" xfId="2" applyFont="1" applyFill="1" applyBorder="1"/>
    <xf numFmtId="164" fontId="30" fillId="0" borderId="58" xfId="2" applyNumberFormat="1" applyFont="1" applyBorder="1"/>
    <xf numFmtId="1" fontId="30" fillId="18" borderId="20" xfId="2" applyNumberFormat="1" applyFont="1" applyFill="1" applyBorder="1" applyAlignment="1">
      <alignment horizontal="right"/>
    </xf>
    <xf numFmtId="0" fontId="0" fillId="0" borderId="24" xfId="0" applyBorder="1" applyAlignment="1">
      <alignment horizontal="center"/>
    </xf>
    <xf numFmtId="185" fontId="170" fillId="0" borderId="58" xfId="346" applyNumberFormat="1" applyFont="1" applyBorder="1"/>
    <xf numFmtId="164" fontId="34" fillId="0" borderId="58" xfId="246" applyNumberFormat="1" applyFont="1" applyFill="1" applyBorder="1"/>
    <xf numFmtId="164" fontId="30" fillId="0" borderId="58" xfId="2" applyNumberFormat="1" applyFont="1" applyFill="1" applyBorder="1"/>
    <xf numFmtId="0" fontId="34" fillId="0" borderId="58" xfId="2" applyFont="1" applyFill="1" applyBorder="1"/>
    <xf numFmtId="0" fontId="0" fillId="0" borderId="0" xfId="0"/>
    <xf numFmtId="168" fontId="29" fillId="0" borderId="1" xfId="0" applyNumberFormat="1" applyFont="1" applyFill="1" applyBorder="1"/>
    <xf numFmtId="169" fontId="29" fillId="0" borderId="58" xfId="2" applyNumberFormat="1" applyFont="1" applyFill="1" applyBorder="1"/>
    <xf numFmtId="43" fontId="29" fillId="0" borderId="58" xfId="246" applyFont="1" applyBorder="1"/>
    <xf numFmtId="3" fontId="29" fillId="0" borderId="58" xfId="246" applyNumberFormat="1" applyFont="1" applyBorder="1"/>
    <xf numFmtId="43" fontId="29" fillId="0" borderId="58" xfId="246" applyFont="1" applyFill="1" applyBorder="1"/>
    <xf numFmtId="44" fontId="30" fillId="0" borderId="58" xfId="346" applyFont="1" applyFill="1" applyBorder="1"/>
    <xf numFmtId="164" fontId="59" fillId="0" borderId="58" xfId="2" applyNumberFormat="1" applyFont="1" applyFill="1" applyBorder="1"/>
    <xf numFmtId="164" fontId="48" fillId="24" borderId="58" xfId="525" applyNumberFormat="1" applyFont="1" applyFill="1" applyBorder="1"/>
    <xf numFmtId="164" fontId="44" fillId="24" borderId="58" xfId="525" applyNumberFormat="1" applyFont="1" applyFill="1" applyBorder="1"/>
    <xf numFmtId="164" fontId="83" fillId="24" borderId="58" xfId="525" applyNumberFormat="1" applyFont="1" applyFill="1" applyBorder="1"/>
    <xf numFmtId="168" fontId="29" fillId="24" borderId="58" xfId="541" applyNumberFormat="1" applyFont="1" applyFill="1" applyBorder="1"/>
    <xf numFmtId="3" fontId="29" fillId="0" borderId="26" xfId="2" applyNumberFormat="1" applyFont="1" applyBorder="1"/>
    <xf numFmtId="0" fontId="84" fillId="0" borderId="26" xfId="2" applyFont="1" applyBorder="1"/>
    <xf numFmtId="173" fontId="29" fillId="0" borderId="26" xfId="2" applyNumberFormat="1" applyFont="1" applyBorder="1"/>
    <xf numFmtId="173" fontId="84" fillId="0" borderId="26" xfId="2" applyNumberFormat="1" applyFont="1" applyBorder="1"/>
    <xf numFmtId="173" fontId="47" fillId="0" borderId="26" xfId="2" applyNumberFormat="1" applyFont="1" applyBorder="1"/>
    <xf numFmtId="173" fontId="42" fillId="0" borderId="26" xfId="2" applyNumberFormat="1" applyFont="1" applyBorder="1"/>
    <xf numFmtId="43" fontId="42" fillId="0" borderId="23" xfId="246" applyFont="1" applyFill="1" applyBorder="1" applyAlignment="1"/>
    <xf numFmtId="0" fontId="29" fillId="0" borderId="8" xfId="0" applyFont="1" applyBorder="1"/>
    <xf numFmtId="168" fontId="70" fillId="0" borderId="0" xfId="346" applyNumberFormat="1" applyFont="1"/>
    <xf numFmtId="9" fontId="42" fillId="0" borderId="0" xfId="541" applyFont="1" applyFill="1" applyBorder="1"/>
    <xf numFmtId="168" fontId="0" fillId="0" borderId="1" xfId="541" applyNumberFormat="1" applyFont="1" applyBorder="1"/>
    <xf numFmtId="37" fontId="29" fillId="0" borderId="58" xfId="2" applyNumberFormat="1" applyFont="1" applyFill="1" applyBorder="1" applyAlignment="1"/>
    <xf numFmtId="175" fontId="29" fillId="0" borderId="58" xfId="2" applyNumberFormat="1" applyFont="1" applyFill="1" applyBorder="1" applyAlignment="1"/>
    <xf numFmtId="175" fontId="31" fillId="0" borderId="58" xfId="2" applyNumberFormat="1" applyFont="1" applyFill="1" applyBorder="1"/>
    <xf numFmtId="174" fontId="34" fillId="0" borderId="58" xfId="2" applyNumberFormat="1" applyFont="1" applyFill="1" applyBorder="1"/>
    <xf numFmtId="7" fontId="29" fillId="0" borderId="58" xfId="2" applyNumberFormat="1" applyFont="1" applyFill="1" applyBorder="1"/>
    <xf numFmtId="174" fontId="29" fillId="0" borderId="58" xfId="2" applyNumberFormat="1" applyFont="1" applyFill="1" applyBorder="1"/>
    <xf numFmtId="174" fontId="34" fillId="0" borderId="1" xfId="2" applyNumberFormat="1" applyFont="1" applyFill="1" applyBorder="1"/>
    <xf numFmtId="0" fontId="24" fillId="99" borderId="0" xfId="50172" applyFont="1" applyFill="1" applyAlignment="1">
      <alignment vertical="top"/>
    </xf>
    <xf numFmtId="0" fontId="24" fillId="99" borderId="0" xfId="5059" applyFill="1" applyAlignment="1">
      <alignment vertical="top"/>
    </xf>
    <xf numFmtId="0" fontId="24" fillId="99" borderId="0" xfId="5059" applyFill="1"/>
    <xf numFmtId="0" fontId="29" fillId="99" borderId="0" xfId="50172" applyFont="1" applyFill="1" applyAlignment="1">
      <alignment horizontal="left" vertical="top"/>
    </xf>
    <xf numFmtId="0" fontId="24" fillId="99" borderId="0" xfId="5059" applyFont="1" applyFill="1" applyAlignment="1">
      <alignment vertical="top"/>
    </xf>
    <xf numFmtId="0" fontId="75" fillId="99" borderId="0" xfId="50172" applyFont="1" applyFill="1" applyAlignment="1">
      <alignment vertical="top"/>
    </xf>
    <xf numFmtId="0" fontId="0" fillId="99" borderId="0" xfId="0" applyFill="1" applyAlignment="1">
      <alignment vertical="top"/>
    </xf>
    <xf numFmtId="0" fontId="309" fillId="99" borderId="0" xfId="0" applyFont="1" applyFill="1" applyAlignment="1">
      <alignment vertical="top"/>
    </xf>
    <xf numFmtId="0" fontId="336" fillId="99" borderId="0" xfId="0" applyFont="1" applyFill="1" applyAlignment="1">
      <alignment vertical="top"/>
    </xf>
    <xf numFmtId="0" fontId="336" fillId="99" borderId="0" xfId="0" applyFont="1" applyFill="1" applyAlignment="1">
      <alignment vertical="top"/>
    </xf>
    <xf numFmtId="0" fontId="309" fillId="99" borderId="0" xfId="0" applyFont="1" applyFill="1" applyAlignment="1">
      <alignment vertical="top"/>
    </xf>
    <xf numFmtId="0" fontId="0" fillId="99" borderId="0" xfId="0" applyFill="1" applyAlignment="1">
      <alignment vertical="top"/>
    </xf>
    <xf numFmtId="0" fontId="0" fillId="99" borderId="65" xfId="0" applyFill="1" applyBorder="1" applyAlignment="1">
      <alignment vertical="top"/>
    </xf>
    <xf numFmtId="0" fontId="309" fillId="99" borderId="61" xfId="0" applyFont="1" applyFill="1" applyBorder="1" applyAlignment="1">
      <alignment vertical="top"/>
    </xf>
    <xf numFmtId="0" fontId="309" fillId="99" borderId="62" xfId="0" applyFont="1" applyFill="1" applyBorder="1" applyAlignment="1">
      <alignment vertical="top"/>
    </xf>
    <xf numFmtId="0" fontId="309" fillId="99" borderId="63" xfId="0" applyFont="1" applyFill="1" applyBorder="1" applyAlignment="1">
      <alignment vertical="top"/>
    </xf>
    <xf numFmtId="0" fontId="309" fillId="99" borderId="64" xfId="0" applyFont="1" applyFill="1" applyBorder="1" applyAlignment="1">
      <alignment vertical="top"/>
    </xf>
    <xf numFmtId="9" fontId="309" fillId="99" borderId="61" xfId="0" applyNumberFormat="1" applyFont="1" applyFill="1" applyBorder="1" applyAlignment="1">
      <alignment vertical="top"/>
    </xf>
    <xf numFmtId="3" fontId="309" fillId="99" borderId="61" xfId="0" applyNumberFormat="1" applyFont="1" applyFill="1" applyBorder="1" applyAlignment="1">
      <alignment vertical="top"/>
    </xf>
    <xf numFmtId="0" fontId="0" fillId="99" borderId="66" xfId="0" applyFill="1" applyBorder="1" applyAlignment="1">
      <alignment vertical="top"/>
    </xf>
    <xf numFmtId="2" fontId="24" fillId="0" borderId="0" xfId="5059" applyNumberFormat="1" applyAlignment="1">
      <alignment horizontal="left"/>
    </xf>
    <xf numFmtId="0" fontId="24" fillId="0" borderId="0" xfId="5059" applyNumberFormat="1" applyAlignment="1">
      <alignment horizontal="left"/>
    </xf>
    <xf numFmtId="1" fontId="24" fillId="0" borderId="0" xfId="5059" applyNumberFormat="1" applyAlignment="1">
      <alignment horizontal="left"/>
    </xf>
    <xf numFmtId="0" fontId="24" fillId="0" borderId="0" xfId="5059" applyFont="1"/>
    <xf numFmtId="295" fontId="24" fillId="0" borderId="0" xfId="5059" applyNumberFormat="1" applyAlignment="1">
      <alignment horizontal="left"/>
    </xf>
    <xf numFmtId="49" fontId="24" fillId="0" borderId="0" xfId="5059" applyNumberFormat="1"/>
  </cellXfs>
  <cellStyles count="50173">
    <cellStyle name="-" xfId="1"/>
    <cellStyle name=" 1" xfId="2845"/>
    <cellStyle name=" 1 2" xfId="2846"/>
    <cellStyle name=" 1 2 2" xfId="5067"/>
    <cellStyle name=" 1 2 3" xfId="23291"/>
    <cellStyle name="_x000a_386grabber=M" xfId="2"/>
    <cellStyle name="_x000a_386grabber=M 2" xfId="3"/>
    <cellStyle name="_x000a_386grabber=M 2 2" xfId="4"/>
    <cellStyle name="_x000a_386grabber=M 2 2 2" xfId="2847"/>
    <cellStyle name="_x000a_386grabber=M 2 3" xfId="2848"/>
    <cellStyle name="_x000a_386grabber=M 2 3 2" xfId="2849"/>
    <cellStyle name="_x000a_386grabber=M 3" xfId="5"/>
    <cellStyle name="_x000a_386grabber=M 3 2" xfId="1469"/>
    <cellStyle name="_x000a_386grabber=M 3 2 2" xfId="2851"/>
    <cellStyle name="_x000a_386grabber=M 3 2 3" xfId="2852"/>
    <cellStyle name="_x000a_386grabber=M 3 2 4" xfId="2850"/>
    <cellStyle name="_x000a_386grabber=M 3 3" xfId="18308"/>
    <cellStyle name="_x000a_386grabber=M 4" xfId="1235"/>
    <cellStyle name="_x000a_386grabber=M 4 2" xfId="2854"/>
    <cellStyle name="_x000a_386grabber=M 4 3" xfId="2853"/>
    <cellStyle name="_x000a_386grabber=M 5" xfId="1402"/>
    <cellStyle name="_x000a_386grabber=M 5 2" xfId="18309"/>
    <cellStyle name="_x000a_386grabber=M 6" xfId="20387"/>
    <cellStyle name="$" xfId="2855"/>
    <cellStyle name="$ &amp; ¢" xfId="2856"/>
    <cellStyle name="$ 1 decimal" xfId="6"/>
    <cellStyle name="$_AA - BenefitsBonus " xfId="2857"/>
    <cellStyle name="%" xfId="7"/>
    <cellStyle name="% 2" xfId="8"/>
    <cellStyle name="% 2 2" xfId="9"/>
    <cellStyle name="% 2 2 2" xfId="10"/>
    <cellStyle name="% 2 2 2 2" xfId="2858"/>
    <cellStyle name="% 2 2 3" xfId="2859"/>
    <cellStyle name="% 2 3" xfId="11"/>
    <cellStyle name="% 2 3 2" xfId="2860"/>
    <cellStyle name="% 2 4" xfId="2861"/>
    <cellStyle name="% 3" xfId="12"/>
    <cellStyle name="% 3 2" xfId="13"/>
    <cellStyle name="% 3 2 2" xfId="2862"/>
    <cellStyle name="% 3 3" xfId="2863"/>
    <cellStyle name="% 4" xfId="14"/>
    <cellStyle name="% 4 2" xfId="2545"/>
    <cellStyle name="% 4 2 2" xfId="5180"/>
    <cellStyle name="% 4 3" xfId="5290"/>
    <cellStyle name="% 5" xfId="15"/>
    <cellStyle name="% 5 2" xfId="742"/>
    <cellStyle name="% 5 2 2" xfId="5217"/>
    <cellStyle name="% 5 3" xfId="5221"/>
    <cellStyle name="% 6" xfId="2544"/>
    <cellStyle name="% 6 2" xfId="2543"/>
    <cellStyle name="% 6 2 2" xfId="18150"/>
    <cellStyle name="% 6 3" xfId="18312"/>
    <cellStyle name="% 7" xfId="2542"/>
    <cellStyle name="% 7 2" xfId="2541"/>
    <cellStyle name="% 7 2 2" xfId="18919"/>
    <cellStyle name="% 7 3" xfId="18151"/>
    <cellStyle name="% 8" xfId="2540"/>
    <cellStyle name="% 8 2" xfId="2864"/>
    <cellStyle name="% 9" xfId="20388"/>
    <cellStyle name="% Growth" xfId="2865"/>
    <cellStyle name="% of Revenues" xfId="2866"/>
    <cellStyle name="%.00" xfId="1184"/>
    <cellStyle name="%.00 2" xfId="2868"/>
    <cellStyle name="%.00 3" xfId="2867"/>
    <cellStyle name="******************************************" xfId="1405"/>
    <cellStyle name="****************************************** 2" xfId="2869"/>
    <cellStyle name="****************************************** 3" xfId="2870"/>
    <cellStyle name="****************************************** 4" xfId="2871"/>
    <cellStyle name="****************************************** 4 2" xfId="5068"/>
    <cellStyle name="??" xfId="2872"/>
    <cellStyle name="?? [0.00]_HELPDESK" xfId="2873"/>
    <cellStyle name="?? [0]_??" xfId="2874"/>
    <cellStyle name="?? 2" xfId="4782"/>
    <cellStyle name="??&amp;O?&amp;H?_x0008_??_x0007__x0001__x0001_" xfId="1023"/>
    <cellStyle name="???? [0.00]_HELPDESK" xfId="2875"/>
    <cellStyle name="?????_VERA" xfId="2876"/>
    <cellStyle name="????_HELPDESK" xfId="2877"/>
    <cellStyle name="???[0]_For vlookup" xfId="4783"/>
    <cellStyle name="???_For vlookup" xfId="4784"/>
    <cellStyle name="??_?.????" xfId="2878"/>
    <cellStyle name="?@疾_2332JT3_2313COP2 " xfId="2879"/>
    <cellStyle name="?Q\?1@" xfId="16"/>
    <cellStyle name="?Q\?1@ 2" xfId="17"/>
    <cellStyle name="?Q\?1@ 2 2" xfId="2880"/>
    <cellStyle name="?Q\?1@ 3" xfId="2881"/>
    <cellStyle name="_2003AIMInformation for Reports" xfId="968"/>
    <cellStyle name="_2345" xfId="4785"/>
    <cellStyle name="_2345_Exhibit NB QoQ" xfId="4786"/>
    <cellStyle name="_2345_Exhibt NB MOM" xfId="4787"/>
    <cellStyle name="_2345_MBNB shipments_20080909" xfId="4788"/>
    <cellStyle name="_2345_MBNB shipments_20090309.wip" xfId="4789"/>
    <cellStyle name="_2345_MBNB shipments_Dec06_wip" xfId="4790"/>
    <cellStyle name="_2345_MBNB shipments_July07.wip" xfId="4791"/>
    <cellStyle name="_2345_NB-Mthly(0)" xfId="4792"/>
    <cellStyle name="_2345_TWN Top 4 MB 5 NB" xfId="4793"/>
    <cellStyle name="_2379-13" xfId="4794"/>
    <cellStyle name="_2379-13_Exhibit NB QoQ" xfId="4795"/>
    <cellStyle name="_2379-13_Exhibt NB MOM" xfId="4796"/>
    <cellStyle name="_2379-13_MBNB shipments_20080909" xfId="4797"/>
    <cellStyle name="_2379-13_MBNB shipments_20090309.wip" xfId="4798"/>
    <cellStyle name="_2379-13_MBNB shipments_Dec06_wip" xfId="4799"/>
    <cellStyle name="_2379-13_MBNB shipments_July07.wip" xfId="4800"/>
    <cellStyle name="_2379-13_NB-Mthly(0)" xfId="4801"/>
    <cellStyle name="_2379-13_TWN Top 4 MB 5 NB" xfId="4802"/>
    <cellStyle name="_2391_050503" xfId="4803"/>
    <cellStyle name="_2391_050503_Exhibit NB QoQ" xfId="4804"/>
    <cellStyle name="_2391_050503_Exhibt NB MOM" xfId="4805"/>
    <cellStyle name="_2391_050503_MBNB shipments_20080909" xfId="4806"/>
    <cellStyle name="_2391_050503_MBNB shipments_20090309.wip" xfId="4807"/>
    <cellStyle name="_2391_050503_MBNB shipments_Dec06_wip" xfId="4808"/>
    <cellStyle name="_2391_050503_MBNB shipments_July07.wip" xfId="4809"/>
    <cellStyle name="_2391_050503_NB-Mthly(0)" xfId="4810"/>
    <cellStyle name="_2391_050503_TWN Top 4 MB 5 NB" xfId="4811"/>
    <cellStyle name="_AA - BenefitsBonus " xfId="2882"/>
    <cellStyle name="_AC_InterContinental" xfId="2883"/>
    <cellStyle name="_AIMP Europe Stats May 2004" xfId="969"/>
    <cellStyle name="_AIMP Europe Stats May 2004 2" xfId="1480"/>
    <cellStyle name="_AIMP Europe Stats May 2004 2 2" xfId="18322"/>
    <cellStyle name="_AIMP Europe Stats May 2004 3" xfId="18321"/>
    <cellStyle name="_AIMP Europe Stats May 2004_Pivot Table Tips" xfId="1481"/>
    <cellStyle name="_AIMP Europe Stats May 2004_Pivot Table Tips 2" xfId="18323"/>
    <cellStyle name="_All Public cubes and views" xfId="1482"/>
    <cellStyle name="_All Public cubes and views 2" xfId="18324"/>
    <cellStyle name="_AMCCmodelware" xfId="18"/>
    <cellStyle name="_AMCCmodelware 2" xfId="19"/>
    <cellStyle name="_AMCCmodelware 2 2" xfId="20"/>
    <cellStyle name="_AMCCmodelware 2 2 2" xfId="21"/>
    <cellStyle name="_AMCCmodelware 2 2 2 2" xfId="2884"/>
    <cellStyle name="_AMCCmodelware 2 2 3" xfId="2885"/>
    <cellStyle name="_AMCCmodelware 2 3" xfId="22"/>
    <cellStyle name="_AMCCmodelware 2 3 2" xfId="2886"/>
    <cellStyle name="_AMCCmodelware 2 4" xfId="2887"/>
    <cellStyle name="_AMCCmodelware 3" xfId="23"/>
    <cellStyle name="_AMCCmodelware 3 2" xfId="24"/>
    <cellStyle name="_AMCCmodelware 3 2 2" xfId="2888"/>
    <cellStyle name="_AMCCmodelware 3 3" xfId="2889"/>
    <cellStyle name="_AMCCmodelware 4" xfId="25"/>
    <cellStyle name="_AMCCmodelware 4 2" xfId="2539"/>
    <cellStyle name="_AMCCmodelware 4 2 2" xfId="18313"/>
    <cellStyle name="_AMCCmodelware 4 3" xfId="20446"/>
    <cellStyle name="_AMCCmodelware 5" xfId="2538"/>
    <cellStyle name="_AMCCmodelware 5 2" xfId="2537"/>
    <cellStyle name="_AMCCmodelware 5 2 2" xfId="17780"/>
    <cellStyle name="_AMCCmodelware 5 3" xfId="18152"/>
    <cellStyle name="_AMCCmodelware 6" xfId="2536"/>
    <cellStyle name="_AMCCmodelware 6 2" xfId="2535"/>
    <cellStyle name="_AMCCmodelware 6 2 2" xfId="18153"/>
    <cellStyle name="_AMCCmodelware 6 3" xfId="18311"/>
    <cellStyle name="_AMCCmodelware 7" xfId="2534"/>
    <cellStyle name="_AMCCmodelware 7 2" xfId="2533"/>
    <cellStyle name="_AMCCmodelware 7 2 2" xfId="18314"/>
    <cellStyle name="_AMCCmodelware 7 3" xfId="18154"/>
    <cellStyle name="_AMCCmodelware 8" xfId="2532"/>
    <cellStyle name="_AMCCmodelware 8 2" xfId="17781"/>
    <cellStyle name="_AMCCmodelware 9" xfId="20457"/>
    <cellStyle name="_AMD WIP" xfId="2531"/>
    <cellStyle name="_AMD WIP 2" xfId="2530"/>
    <cellStyle name="_AMD WIP 2 2" xfId="18923"/>
    <cellStyle name="_AMD WIP 3" xfId="2529"/>
    <cellStyle name="_AMD WIP 3 2" xfId="18922"/>
    <cellStyle name="_AMD WIP 4" xfId="2528"/>
    <cellStyle name="_AMD WIP 4 2" xfId="2527"/>
    <cellStyle name="_AMD WIP 4 2 2" xfId="17782"/>
    <cellStyle name="_AMD WIP 4 3" xfId="18316"/>
    <cellStyle name="_AMD WIP 5" xfId="2526"/>
    <cellStyle name="_AMD WIP 5 2" xfId="2525"/>
    <cellStyle name="_AMD WIP 5 2 2" xfId="17783"/>
    <cellStyle name="_AMD WIP 5 3" xfId="18156"/>
    <cellStyle name="_AMD WIP 6" xfId="2524"/>
    <cellStyle name="_AMD WIP 6 2" xfId="2523"/>
    <cellStyle name="_AMD WIP 6 2 2" xfId="18924"/>
    <cellStyle name="_AMD WIP 6 3" xfId="18315"/>
    <cellStyle name="_AMD WIP 7" xfId="2522"/>
    <cellStyle name="_AMD WIP 7 2" xfId="2521"/>
    <cellStyle name="_AMD WIP 7 2 2" xfId="18317"/>
    <cellStyle name="_AMD WIP 7 3" xfId="18921"/>
    <cellStyle name="_AMD WIP 8" xfId="2520"/>
    <cellStyle name="_AMD WIP 8 2" xfId="17784"/>
    <cellStyle name="_AMD WIP 9" xfId="18155"/>
    <cellStyle name="_Analyst_Coverage_Map" xfId="1483"/>
    <cellStyle name="_Analyst_Coverage_Map 2" xfId="18331"/>
    <cellStyle name="_Annaul model" xfId="4812"/>
    <cellStyle name="_ARX Modelware (12)" xfId="26"/>
    <cellStyle name="_ARX QoQ Chart" xfId="27"/>
    <cellStyle name="_asustek0613" xfId="4813"/>
    <cellStyle name="_asustek0613_Exhibit NB QoQ" xfId="4814"/>
    <cellStyle name="_asustek0613_Exhibt NB MOM" xfId="4815"/>
    <cellStyle name="_asustek0613_MBNB shipments_20080909" xfId="4816"/>
    <cellStyle name="_asustek0613_MBNB shipments_20090309.wip" xfId="4817"/>
    <cellStyle name="_asustek0613_MBNB shipments_Dec06_wip" xfId="4818"/>
    <cellStyle name="_asustek0613_MBNB shipments_July07.wip" xfId="4819"/>
    <cellStyle name="_asustek0613_NB-Mthly(0)" xfId="4820"/>
    <cellStyle name="_asustek0613_TWN Top 4 MB 5 NB" xfId="4821"/>
    <cellStyle name="_Book1" xfId="970"/>
    <cellStyle name="_Book2" xfId="4822"/>
    <cellStyle name="_Book2_Exhibit NB QoQ" xfId="4823"/>
    <cellStyle name="_Book2_Exhibt NB MOM" xfId="4824"/>
    <cellStyle name="_Book2_MBNB shipments_20080909" xfId="4825"/>
    <cellStyle name="_Book2_MBNB shipments_20090309.wip" xfId="4826"/>
    <cellStyle name="_Book2_MBNB shipments_Dec06_wip" xfId="4827"/>
    <cellStyle name="_Book2_MBNB shipments_July07.wip" xfId="4828"/>
    <cellStyle name="_Book2_NB-Mthly(0)" xfId="4829"/>
    <cellStyle name="_Book2_TWN Top 4 MB 5 NB" xfId="4830"/>
    <cellStyle name="_Book7" xfId="4831"/>
    <cellStyle name="_Book7_Exhibit NB QoQ" xfId="4832"/>
    <cellStyle name="_Book7_Exhibt NB MOM" xfId="4833"/>
    <cellStyle name="_Book7_MBNB shipments_20080909" xfId="4834"/>
    <cellStyle name="_Book7_MBNB shipments_20090309.wip" xfId="4835"/>
    <cellStyle name="_Book7_MBNB shipments_Dec06_wip" xfId="4836"/>
    <cellStyle name="_Book7_MBNB shipments_July07.wip" xfId="4837"/>
    <cellStyle name="_Book7_NB-Mthly(0)" xfId="4838"/>
    <cellStyle name="_Book7_TWN Top 4 MB 5 NB" xfId="4839"/>
    <cellStyle name="_Broadcasting&amp;Cable" xfId="1484"/>
    <cellStyle name="_By Technology, Market Share_Copy of Model2018_AAC_(WIP) " xfId="2890"/>
    <cellStyle name="_By Technology, Market Share_Copy of Model2018_AAC_(WIP)  2" xfId="5941"/>
    <cellStyle name="_CAVM Modelware" xfId="28"/>
    <cellStyle name="_CAVM WIP" xfId="1236"/>
    <cellStyle name="_CAVM_122910 v.2" xfId="29"/>
    <cellStyle name="_CFA10" xfId="2891"/>
    <cellStyle name="_CFA4" xfId="2892"/>
    <cellStyle name="_Change since preliminary  - page for decision support workbook" xfId="1485"/>
    <cellStyle name="_Chartered_Copy of Model2018_AAC_(WIP) " xfId="2893"/>
    <cellStyle name="_Chartered_Copy of Model2018_AAC_(WIP)  2" xfId="5330"/>
    <cellStyle name="_Chartered_Ichia Model2402_Modelware_Copy of Model2018_AAC_(WIP) " xfId="2894"/>
    <cellStyle name="_Chartered_Ichia Model2402_Modelware_Copy of Model2018_AAC_(WIP)  2" xfId="5325"/>
    <cellStyle name="_Chartered_Model_2402(New)_Modelware_Copy of Model2018_AAC_(WIP) " xfId="2895"/>
    <cellStyle name="_Chartered_Model_2402(New)_Modelware_Copy of Model2018_AAC_(WIP)  2" xfId="5174"/>
    <cellStyle name="_Chartered_Model_3311(New)_Copy of Model2018_AAC_(WIP) " xfId="2896"/>
    <cellStyle name="_Chartered_Model_3311(New)_Copy of Model2018_AAC_(WIP)  2" xfId="5391"/>
    <cellStyle name="_Comma_AA - BenefitsBonus " xfId="2897"/>
    <cellStyle name="_Copy of ITGIWWDBDA02_ITGI02" xfId="1486"/>
    <cellStyle name="_Copy of Model2018_AAC_(WIP) " xfId="2898"/>
    <cellStyle name="_Copy of Model2018_AAC_(WIP)  2" xfId="5234"/>
    <cellStyle name="_Country" xfId="1487"/>
    <cellStyle name="_Country 2" xfId="18332"/>
    <cellStyle name="_Country distribution--Reference" xfId="1488"/>
    <cellStyle name="_Country distribution--Reference 2" xfId="18333"/>
    <cellStyle name="_Currency_AA - BenefitsBonus " xfId="2899"/>
    <cellStyle name="_CurrencySpace_AA - BenefitsBonus " xfId="2900"/>
    <cellStyle name="_DA" xfId="2901"/>
    <cellStyle name="_Data (2)" xfId="23605"/>
    <cellStyle name="_DPA" xfId="2902"/>
    <cellStyle name="_DQDMS-check" xfId="1489"/>
    <cellStyle name="_DQDMS-check 2" xfId="1490"/>
    <cellStyle name="_DQDMS-check 2 2" xfId="18335"/>
    <cellStyle name="_DQDMS-check 3" xfId="18334"/>
    <cellStyle name="_EBS Template" xfId="4840"/>
    <cellStyle name="_EBS Template_Exhibit NB QoQ" xfId="4841"/>
    <cellStyle name="_EBS Template_Exhibt NB MOM" xfId="4842"/>
    <cellStyle name="_EBS Template_MBNB shipments_20080909" xfId="4843"/>
    <cellStyle name="_EBS Template_MBNB shipments_20090309.wip" xfId="4844"/>
    <cellStyle name="_EBS Template_MBNB shipments_Dec06_wip" xfId="4845"/>
    <cellStyle name="_EBS Template_MBNB shipments_July07.wip" xfId="4846"/>
    <cellStyle name="_EBS Template_NB-Mthly(0)" xfId="4847"/>
    <cellStyle name="_EBS Template_TWN Top 4 MB 5 NB" xfId="4848"/>
    <cellStyle name="_EBS Template1" xfId="4849"/>
    <cellStyle name="_EBS Template1_Exhibit NB QoQ" xfId="4850"/>
    <cellStyle name="_EBS Template1_Exhibt NB MOM" xfId="4851"/>
    <cellStyle name="_EBS Template1_MBNB shipments_20080909" xfId="4852"/>
    <cellStyle name="_EBS Template1_MBNB shipments_20090309.wip" xfId="4853"/>
    <cellStyle name="_EBS Template1_MBNB shipments_Dec06_wip" xfId="4854"/>
    <cellStyle name="_EBS Template1_MBNB shipments_July07.wip" xfId="4855"/>
    <cellStyle name="_EBS Template1_NB-Mthly(0)" xfId="4856"/>
    <cellStyle name="_EBS Template1_TWN Top 4 MB 5 NB" xfId="4857"/>
    <cellStyle name="_EPS" xfId="2903"/>
    <cellStyle name="_EPS1" xfId="2904"/>
    <cellStyle name="_exchange rates" xfId="971"/>
    <cellStyle name="_exchange rates 2" xfId="2905"/>
    <cellStyle name="_Exhibit NB QoQ" xfId="4858"/>
    <cellStyle name="_Exhibt NB MOM" xfId="4859"/>
    <cellStyle name="_Fall 2002 IT Services Forecast Supplement" xfId="972"/>
    <cellStyle name="_Fall 2002 IT Services Forecast Supplement 2" xfId="2906"/>
    <cellStyle name="_Fall 2002 IT Services Forecast Supplement_Japan Worstcase" xfId="1491"/>
    <cellStyle name="_Fall 2002 IT Services Forecast Supplement_Japan Worstcase 2" xfId="1492"/>
    <cellStyle name="_Fall 2002 IT Services Forecast Supplement_Japan Worstcase 2 2" xfId="18339"/>
    <cellStyle name="_Fall 2002 IT Services Forecast Supplement_Japan Worstcase 3" xfId="18338"/>
    <cellStyle name="_Forecast Enterprise Software Markets, Worldwide, 2008-2013, 3Q09 Update 10-sept-09" xfId="1493"/>
    <cellStyle name="_Forecast Review -Fall 2002 IT Services Nov 13" xfId="973"/>
    <cellStyle name="_Forecast Review -Fall 2002 IT Services Nov 13 2" xfId="2907"/>
    <cellStyle name="_Forecast Review -Fall 2002 IT Services Nov 13_Japan Worstcase" xfId="1494"/>
    <cellStyle name="_Forecast Review -Fall 2002 IT Services Nov 13_Japan Worstcase 2" xfId="1495"/>
    <cellStyle name="_Forecast Review -Fall 2002 IT Services Nov 13_Japan Worstcase 2 2" xfId="18341"/>
    <cellStyle name="_Forecast Review -Fall 2002 IT Services Nov 13_Japan Worstcase 3" xfId="18340"/>
    <cellStyle name="_forecast_enterprise_software_166478" xfId="1496"/>
    <cellStyle name="_Forward Looking" xfId="23604"/>
    <cellStyle name="_GMT_070822" xfId="2908"/>
    <cellStyle name="_GMT_070822 2" xfId="5222"/>
    <cellStyle name="_Google Inc_Draft_112907_OPT for MSFT" xfId="2909"/>
    <cellStyle name="_Growth charts" xfId="23603"/>
    <cellStyle name="_Growth data" xfId="23813"/>
    <cellStyle name="—_GS_Cash " xfId="2910"/>
    <cellStyle name="—_GS_Cash  2" xfId="2911"/>
    <cellStyle name="—_GS_Cash  2 2" xfId="5069"/>
    <cellStyle name="_IBMNorth America2005 YR" xfId="1497"/>
    <cellStyle name="_Ichia Model2402_Modelware_Copy of Model2018_AAC_(WIP) " xfId="2912"/>
    <cellStyle name="_Ichia Model2402_Modelware_Copy of Model2018_AAC_(WIP)  2" xfId="5215"/>
    <cellStyle name="_Info" xfId="974"/>
    <cellStyle name="_Internal--Forecast Accuracy" xfId="975"/>
    <cellStyle name="_Internal--Market Share and Service Line Forecast" xfId="976"/>
    <cellStyle name="_Internal--Market Share and Vertical Forecast" xfId="977"/>
    <cellStyle name="_IT Databook - Pivot_Sep09" xfId="1498"/>
    <cellStyle name="_IT Services Forecast Decision Support--Sept 2007" xfId="1499"/>
    <cellStyle name="_IT Services Forecast Decision Support--Sept 2007 2" xfId="18342"/>
    <cellStyle name="_IT Services Forecast Decision Support--Sept 2007_Japan Worstcase" xfId="1500"/>
    <cellStyle name="_IT Services Forecast Decision Support--Sept 2007_Japan Worstcase 2" xfId="1501"/>
    <cellStyle name="_IT Services Forecast Decision Support--Sept 2007_Japan Worstcase 2 2" xfId="18344"/>
    <cellStyle name="_IT Services Forecast Decision Support--Sept 2007_Japan Worstcase 3" xfId="18343"/>
    <cellStyle name="_ITBOWWDBDA01_ITBOWWFC" xfId="1502"/>
    <cellStyle name="_ITDatabook_hardware_Jun09_v1" xfId="1503"/>
    <cellStyle name="_ITGIWW 2008-07" xfId="1504"/>
    <cellStyle name="_ITSTWWDBDA01_ITSTWWFC" xfId="1505"/>
    <cellStyle name="_IV6" xfId="2913"/>
    <cellStyle name="_Japan Worstcase" xfId="1506"/>
    <cellStyle name="_Japan Worstcase 2" xfId="1507"/>
    <cellStyle name="_Japan Worstcase 2 2" xfId="18346"/>
    <cellStyle name="_Japan Worstcase 3" xfId="18345"/>
    <cellStyle name="_JapaneseCatalog" xfId="2914"/>
    <cellStyle name="_LLTC WIP_ASR" xfId="23602"/>
    <cellStyle name="_LSI Modelware_021111" xfId="30"/>
    <cellStyle name="_LSI Modelware_021111 2" xfId="31"/>
    <cellStyle name="_LSI Modelware_021111 2 2" xfId="32"/>
    <cellStyle name="_LSI Modelware_021111 2 2 2" xfId="33"/>
    <cellStyle name="_LSI Modelware_021111 2 2 2 2" xfId="2915"/>
    <cellStyle name="_LSI Modelware_021111 2 2 3" xfId="2916"/>
    <cellStyle name="_LSI Modelware_021111 2 3" xfId="34"/>
    <cellStyle name="_LSI Modelware_021111 2 3 2" xfId="2917"/>
    <cellStyle name="_LSI Modelware_021111 2 4" xfId="2918"/>
    <cellStyle name="_LSI Modelware_021111 3" xfId="35"/>
    <cellStyle name="_LSI Modelware_021111 3 2" xfId="36"/>
    <cellStyle name="_LSI Modelware_021111 3 2 2" xfId="2919"/>
    <cellStyle name="_LSI Modelware_021111 3 3" xfId="2920"/>
    <cellStyle name="_LSI Modelware_021111 4" xfId="37"/>
    <cellStyle name="_LSI Modelware_021111 4 2" xfId="1847"/>
    <cellStyle name="_LSI Modelware_021111 4 2 2" xfId="18157"/>
    <cellStyle name="_LSI Modelware_021111 4 3" xfId="20429"/>
    <cellStyle name="_LSI Modelware_021111 5" xfId="1848"/>
    <cellStyle name="_LSI Modelware_021111 5 2" xfId="1849"/>
    <cellStyle name="_LSI Modelware_021111 5 2 2" xfId="18159"/>
    <cellStyle name="_LSI Modelware_021111 5 3" xfId="18158"/>
    <cellStyle name="_LSI Modelware_021111 6" xfId="1850"/>
    <cellStyle name="_LSI Modelware_021111 6 2" xfId="1851"/>
    <cellStyle name="_LSI Modelware_021111 6 2 2" xfId="18310"/>
    <cellStyle name="_LSI Modelware_021111 6 3" xfId="17788"/>
    <cellStyle name="_LSI Modelware_021111 7" xfId="1852"/>
    <cellStyle name="_LSI Modelware_021111 7 2" xfId="1853"/>
    <cellStyle name="_LSI Modelware_021111 7 2 2" xfId="18318"/>
    <cellStyle name="_LSI Modelware_021111 7 3" xfId="18927"/>
    <cellStyle name="_LSI Modelware_021111 8" xfId="1854"/>
    <cellStyle name="_LSI Modelware_021111 8 2" xfId="17785"/>
    <cellStyle name="_LSI Modelware_021111 9" xfId="20427"/>
    <cellStyle name="_LSI Modelware_021611" xfId="38"/>
    <cellStyle name="_LSI Modelware_021611 2" xfId="39"/>
    <cellStyle name="_LSI Modelware_021611 2 2" xfId="40"/>
    <cellStyle name="_LSI Modelware_021611 2 2 2" xfId="41"/>
    <cellStyle name="_LSI Modelware_021611 2 2 2 2" xfId="2921"/>
    <cellStyle name="_LSI Modelware_021611 2 2 3" xfId="2922"/>
    <cellStyle name="_LSI Modelware_021611 2 3" xfId="42"/>
    <cellStyle name="_LSI Modelware_021611 2 3 2" xfId="2923"/>
    <cellStyle name="_LSI Modelware_021611 2 4" xfId="2924"/>
    <cellStyle name="_LSI Modelware_021611 3" xfId="43"/>
    <cellStyle name="_LSI Modelware_021611 3 2" xfId="44"/>
    <cellStyle name="_LSI Modelware_021611 3 2 2" xfId="2925"/>
    <cellStyle name="_LSI Modelware_021611 3 3" xfId="2926"/>
    <cellStyle name="_LSI Modelware_021611 4" xfId="45"/>
    <cellStyle name="_LSI Modelware_021611 4 2" xfId="1855"/>
    <cellStyle name="_LSI Modelware_021611 4 2 2" xfId="18926"/>
    <cellStyle name="_LSI Modelware_021611 4 3" xfId="20428"/>
    <cellStyle name="_LSI Modelware_021611 5" xfId="1856"/>
    <cellStyle name="_LSI Modelware_021611 5 2" xfId="1857"/>
    <cellStyle name="_LSI Modelware_021611 5 2 2" xfId="17787"/>
    <cellStyle name="_LSI Modelware_021611 5 3" xfId="18160"/>
    <cellStyle name="_LSI Modelware_021611 6" xfId="1858"/>
    <cellStyle name="_LSI Modelware_021611 6 2" xfId="1859"/>
    <cellStyle name="_LSI Modelware_021611 6 2 2" xfId="18928"/>
    <cellStyle name="_LSI Modelware_021611 6 3" xfId="17786"/>
    <cellStyle name="_LSI Modelware_021611 7" xfId="1860"/>
    <cellStyle name="_LSI Modelware_021611 7 2" xfId="1861"/>
    <cellStyle name="_LSI Modelware_021611 7 2 2" xfId="18161"/>
    <cellStyle name="_LSI Modelware_021611 7 3" xfId="18925"/>
    <cellStyle name="_LSI Modelware_021611 8" xfId="1862"/>
    <cellStyle name="_LSI Modelware_021611 8 2" xfId="17789"/>
    <cellStyle name="_LSI Modelware_021611 9" xfId="20386"/>
    <cellStyle name="_LSI_012511 (5)" xfId="46"/>
    <cellStyle name="_LSI_012511 (5) 2" xfId="47"/>
    <cellStyle name="_LSI_012511 (5) 2 2" xfId="48"/>
    <cellStyle name="_LSI_012511 (5) 2 2 2" xfId="49"/>
    <cellStyle name="_LSI_012511 (5) 2 2 2 2" xfId="2927"/>
    <cellStyle name="_LSI_012511 (5) 2 2 3" xfId="2928"/>
    <cellStyle name="_LSI_012511 (5) 2 3" xfId="50"/>
    <cellStyle name="_LSI_012511 (5) 2 3 2" xfId="2929"/>
    <cellStyle name="_LSI_012511 (5) 2 4" xfId="2930"/>
    <cellStyle name="_LSI_012511 (5) 3" xfId="51"/>
    <cellStyle name="_LSI_012511 (5) 3 2" xfId="52"/>
    <cellStyle name="_LSI_012511 (5) 3 2 2" xfId="2931"/>
    <cellStyle name="_LSI_012511 (5) 3 3" xfId="2932"/>
    <cellStyle name="_LSI_012511 (5) 4" xfId="53"/>
    <cellStyle name="_LSI_012511 (5) 4 2" xfId="1863"/>
    <cellStyle name="_LSI_012511 (5) 4 2 2" xfId="18162"/>
    <cellStyle name="_LSI_012511 (5) 4 3" xfId="20385"/>
    <cellStyle name="_LSI_012511 (5) 5" xfId="1864"/>
    <cellStyle name="_LSI_012511 (5) 5 2" xfId="1865"/>
    <cellStyle name="_LSI_012511 (5) 5 2 2" xfId="18320"/>
    <cellStyle name="_LSI_012511 (5) 5 3" xfId="18319"/>
    <cellStyle name="_LSI_012511 (5) 6" xfId="1866"/>
    <cellStyle name="_LSI_012511 (5) 6 2" xfId="1867"/>
    <cellStyle name="_LSI_012511 (5) 6 2 2" xfId="18931"/>
    <cellStyle name="_LSI_012511 (5) 6 3" xfId="18163"/>
    <cellStyle name="_LSI_012511 (5) 7" xfId="1868"/>
    <cellStyle name="_LSI_012511 (5) 7 2" xfId="1869"/>
    <cellStyle name="_LSI_012511 (5) 7 2 2" xfId="18930"/>
    <cellStyle name="_LSI_012511 (5) 7 3" xfId="17790"/>
    <cellStyle name="_LSI_012511 (5) 8" xfId="1870"/>
    <cellStyle name="_LSI_012511 (5) 8 2" xfId="17791"/>
    <cellStyle name="_LSI_012511 (5) 9" xfId="20384"/>
    <cellStyle name="_LXK_MS_Model_wip" xfId="1185"/>
    <cellStyle name="_Market sizing Generic" xfId="978"/>
    <cellStyle name="_MBNB shipments_20080909" xfId="4860"/>
    <cellStyle name="_MBNB shipments_20090309.wip" xfId="4861"/>
    <cellStyle name="_MBNB shipments_Dec06_wip" xfId="4862"/>
    <cellStyle name="_MBNB shipments_July07.wip" xfId="4863"/>
    <cellStyle name="_Metrics1" xfId="2933"/>
    <cellStyle name="_Metrics11" xfId="2934"/>
    <cellStyle name="_Metrics13" xfId="2935"/>
    <cellStyle name="_Metrics3" xfId="2936"/>
    <cellStyle name="_Metrics5" xfId="2937"/>
    <cellStyle name="_Metrics7" xfId="2938"/>
    <cellStyle name="_Metrics9" xfId="2939"/>
    <cellStyle name="_Mkt Seg SRS Shell" xfId="2940"/>
    <cellStyle name="_Mkt Seg SRS Shell 2" xfId="2941"/>
    <cellStyle name="_Model_2402(New)_Modelware_Copy of Model2018_AAC_(WIP) " xfId="2942"/>
    <cellStyle name="_Model_2402(New)_Modelware_Copy of Model2018_AAC_(WIP)  2" xfId="5299"/>
    <cellStyle name="_Model_3311(New)_Copy of Model2018_AAC_(WIP) " xfId="2943"/>
    <cellStyle name="_Model_3311(New)_Copy of Model2018_AAC_(WIP)  2" xfId="5216"/>
    <cellStyle name="_Model2394" xfId="4864"/>
    <cellStyle name="_Model2394_Exhibit NB QoQ" xfId="4865"/>
    <cellStyle name="_Model2394_Exhibt NB MOM" xfId="4866"/>
    <cellStyle name="_Model2394_MBNB shipments_20080909" xfId="4867"/>
    <cellStyle name="_Model2394_MBNB shipments_20090309.wip" xfId="4868"/>
    <cellStyle name="_Model2394_MBNB shipments_Dec06_wip" xfId="4869"/>
    <cellStyle name="_Model2394_MBNB shipments_July07.wip" xfId="4870"/>
    <cellStyle name="_Model2394_NB-Mthly(0)" xfId="4871"/>
    <cellStyle name="_Model2394_TWN Top 4 MB 5 NB" xfId="4872"/>
    <cellStyle name="_Model2401_2Q03result" xfId="4873"/>
    <cellStyle name="_Model2401_2Q03result_Exhibit NB QoQ" xfId="4874"/>
    <cellStyle name="_Model2401_2Q03result_Exhibt NB MOM" xfId="4875"/>
    <cellStyle name="_Model2401_2Q03result_MBNB shipments_20080909" xfId="4876"/>
    <cellStyle name="_Model2401_2Q03result_MBNB shipments_20090309.wip" xfId="4877"/>
    <cellStyle name="_Model2401_2Q03result_MBNB shipments_Dec06_wip" xfId="4878"/>
    <cellStyle name="_Model2401_2Q03result_MBNB shipments_July07.wip" xfId="4879"/>
    <cellStyle name="_Model2401_2Q03result_NB-Mthly(0)" xfId="4880"/>
    <cellStyle name="_Model2401_2Q03result_TWN Top 4 MB 5 NB" xfId="4881"/>
    <cellStyle name="_Model3008_08'03" xfId="4882"/>
    <cellStyle name="_Model3008_08'03_Exhibit NB QoQ" xfId="4883"/>
    <cellStyle name="_Model3008_08'03_Exhibt NB MOM" xfId="4884"/>
    <cellStyle name="_Model3008_08'03_MBNB shipments_20080909" xfId="4885"/>
    <cellStyle name="_Model3008_08'03_MBNB shipments_20090309.wip" xfId="4886"/>
    <cellStyle name="_Model3008_08'03_MBNB shipments_Dec06_wip" xfId="4887"/>
    <cellStyle name="_Model3008_08'03_MBNB shipments_July07.wip" xfId="4888"/>
    <cellStyle name="_Model3008_08'03_NB-Mthly(0)" xfId="4889"/>
    <cellStyle name="_Model3008_08'03_TWN Top 4 MB 5 NB" xfId="4890"/>
    <cellStyle name="_Model3019_08'03" xfId="4891"/>
    <cellStyle name="_Model3019_08'03_Exhibit NB QoQ" xfId="4892"/>
    <cellStyle name="_Model3019_08'03_Exhibt NB MOM" xfId="4893"/>
    <cellStyle name="_Model3019_08'03_MBNB shipments_20080909" xfId="4894"/>
    <cellStyle name="_Model3019_08'03_MBNB shipments_20090309.wip" xfId="4895"/>
    <cellStyle name="_Model3019_08'03_MBNB shipments_Dec06_wip" xfId="4896"/>
    <cellStyle name="_Model3019_08'03_MBNB shipments_July07.wip" xfId="4897"/>
    <cellStyle name="_Model3019_08'03_NB-Mthly(0)" xfId="4898"/>
    <cellStyle name="_Model3019_08'03_TWN Top 4 MB 5 NB" xfId="4899"/>
    <cellStyle name="_Model3059" xfId="4900"/>
    <cellStyle name="_Model3059_Exhibit NB QoQ" xfId="4901"/>
    <cellStyle name="_Model3059_Exhibt NB MOM" xfId="4902"/>
    <cellStyle name="_Model3059_MBNB shipments_20080909" xfId="4903"/>
    <cellStyle name="_Model3059_MBNB shipments_20090309.wip" xfId="4904"/>
    <cellStyle name="_Model3059_MBNB shipments_Dec06_wip" xfId="4905"/>
    <cellStyle name="_Model3059_MBNB shipments_July07.wip" xfId="4906"/>
    <cellStyle name="_Model3059_NB-Mthly(0)" xfId="4907"/>
    <cellStyle name="_Model3059_TWN Top 4 MB 5 NB" xfId="4908"/>
    <cellStyle name="_Monthly sales" xfId="4909"/>
    <cellStyle name="_Multiple_AA - BenefitsBonus " xfId="2944"/>
    <cellStyle name="_MultipleSpace_AA - BenefitsBonus " xfId="2945"/>
    <cellStyle name="_MW_CFA" xfId="2946"/>
    <cellStyle name="_MWAnalytics" xfId="2947"/>
    <cellStyle name="_NB-Mthly(0)" xfId="4910"/>
    <cellStyle name="_Percent_AA - BenefitsBonus " xfId="2948"/>
    <cellStyle name="_PercentSpace_AA - BenefitsBonus " xfId="2949"/>
    <cellStyle name="_Pivot AIMP 2003 2 June 2004 for publication" xfId="979"/>
    <cellStyle name="_Pivot AIMP 2003 2 June 2004 for publication 2" xfId="1508"/>
    <cellStyle name="_Pivot AIMP 2003 2 June 2004 for publication 2 2" xfId="18348"/>
    <cellStyle name="_Pivot AIMP 2003 2 June 2004 for publication 3" xfId="18347"/>
    <cellStyle name="_Pivot AIMP 2003 2 June 2004 for publication_Pivot Table Tips" xfId="1509"/>
    <cellStyle name="_Pivot AIMP 2003 2 June 2004 for publication_Pivot Table Tips 2" xfId="18349"/>
    <cellStyle name="_Pivot_Table_templateApril05" xfId="1510"/>
    <cellStyle name="_prelim vs final" xfId="980"/>
    <cellStyle name="_Print Generic Charts Library" xfId="981"/>
    <cellStyle name="_Print Generic Charts Library 2" xfId="1511"/>
    <cellStyle name="_Print Generic Charts Library 2 2" xfId="18351"/>
    <cellStyle name="_Print Generic Charts Library 3" xfId="18350"/>
    <cellStyle name="_Print Generic Charts Library_Pivot Table Tips" xfId="1512"/>
    <cellStyle name="_Print Generic Charts Library_Pivot Table Tips 2" xfId="18352"/>
    <cellStyle name="_Printers WW" xfId="1513"/>
    <cellStyle name="_quaterly model" xfId="4911"/>
    <cellStyle name="_Rama Other Companies" xfId="982"/>
    <cellStyle name="_Rama Other Companies 2" xfId="2951"/>
    <cellStyle name="_Rama Other Companies_Japan Worstcase" xfId="1514"/>
    <cellStyle name="_Rama Other Companies_Japan Worstcase 2" xfId="1515"/>
    <cellStyle name="_Rama Other Companies_Japan Worstcase 2 2" xfId="18354"/>
    <cellStyle name="_Rama Other Companies_Japan Worstcase 3" xfId="18353"/>
    <cellStyle name="_RI valuation" xfId="4912"/>
    <cellStyle name="_ROE2" xfId="2952"/>
    <cellStyle name="_ROE4" xfId="2953"/>
    <cellStyle name="_ROE8" xfId="2954"/>
    <cellStyle name="_RRS1" xfId="54"/>
    <cellStyle name="_RRS1 2" xfId="55"/>
    <cellStyle name="_RRS1 2 2" xfId="56"/>
    <cellStyle name="_RRS1 2 2 2" xfId="57"/>
    <cellStyle name="_RRS1 2 2 2 2" xfId="2955"/>
    <cellStyle name="_RRS1 2 2 3" xfId="2956"/>
    <cellStyle name="_RRS1 2 3" xfId="58"/>
    <cellStyle name="_RRS1 2 3 2" xfId="2957"/>
    <cellStyle name="_RRS1 2 4" xfId="2958"/>
    <cellStyle name="_RRS1 3" xfId="59"/>
    <cellStyle name="_RRS1 3 2" xfId="60"/>
    <cellStyle name="_RRS1 3 2 2" xfId="2959"/>
    <cellStyle name="_RRS1 3 3" xfId="2960"/>
    <cellStyle name="_RRS1 4" xfId="61"/>
    <cellStyle name="_RRS1 4 2" xfId="1871"/>
    <cellStyle name="_RRS1 4 2 2" xfId="5173"/>
    <cellStyle name="_RRS1 4 3" xfId="5255"/>
    <cellStyle name="_RRS1 5" xfId="62"/>
    <cellStyle name="_RRS1 5 2" xfId="743"/>
    <cellStyle name="_RRS1 5 2 2" xfId="5192"/>
    <cellStyle name="_RRS1 5 3" xfId="5214"/>
    <cellStyle name="_RRS1 6" xfId="1872"/>
    <cellStyle name="_RRS1 6 2" xfId="1873"/>
    <cellStyle name="_RRS1 6 2 2" xfId="18932"/>
    <cellStyle name="_RRS1 6 3" xfId="17792"/>
    <cellStyle name="_RRS1 7" xfId="1874"/>
    <cellStyle name="_RRS1 7 2" xfId="1875"/>
    <cellStyle name="_RRS1 7 2 2" xfId="18929"/>
    <cellStyle name="_RRS1 7 3" xfId="17793"/>
    <cellStyle name="_RRS1 8" xfId="1876"/>
    <cellStyle name="_RRS1 8 2" xfId="2961"/>
    <cellStyle name="_RRS1 9" xfId="18009"/>
    <cellStyle name="_RRS10" xfId="63"/>
    <cellStyle name="_RRS10 2" xfId="64"/>
    <cellStyle name="_RRS10 2 2" xfId="65"/>
    <cellStyle name="_RRS10 2 2 2" xfId="66"/>
    <cellStyle name="_RRS10 2 2 2 2" xfId="2962"/>
    <cellStyle name="_RRS10 2 2 3" xfId="2963"/>
    <cellStyle name="_RRS10 2 3" xfId="67"/>
    <cellStyle name="_RRS10 2 3 2" xfId="2964"/>
    <cellStyle name="_RRS10 2 4" xfId="2965"/>
    <cellStyle name="_RRS10 3" xfId="68"/>
    <cellStyle name="_RRS10 3 2" xfId="69"/>
    <cellStyle name="_RRS10 3 2 2" xfId="2966"/>
    <cellStyle name="_RRS10 3 3" xfId="2967"/>
    <cellStyle name="_RRS10 4" xfId="70"/>
    <cellStyle name="_RRS10 4 2" xfId="1877"/>
    <cellStyle name="_RRS10 4 2 2" xfId="18164"/>
    <cellStyle name="_RRS10 4 3" xfId="18012"/>
    <cellStyle name="_RRS10 5" xfId="1878"/>
    <cellStyle name="_RRS10 5 2" xfId="1879"/>
    <cellStyle name="_RRS10 5 2 2" xfId="18166"/>
    <cellStyle name="_RRS10 5 3" xfId="18165"/>
    <cellStyle name="_RRS10 6" xfId="1880"/>
    <cellStyle name="_RRS10 6 2" xfId="1881"/>
    <cellStyle name="_RRS10 6 2 2" xfId="18167"/>
    <cellStyle name="_RRS10 6 3" xfId="18934"/>
    <cellStyle name="_RRS10 7" xfId="1882"/>
    <cellStyle name="_RRS10 7 2" xfId="1883"/>
    <cellStyle name="_RRS10 7 2 2" xfId="18169"/>
    <cellStyle name="_RRS10 7 3" xfId="18168"/>
    <cellStyle name="_RRS10 8" xfId="1884"/>
    <cellStyle name="_RRS10 8 2" xfId="18936"/>
    <cellStyle name="_RRS10 9" xfId="18010"/>
    <cellStyle name="_RRS13" xfId="1237"/>
    <cellStyle name="_RRS13 2" xfId="1885"/>
    <cellStyle name="_RRS13 2 2" xfId="18170"/>
    <cellStyle name="_RRS13 3" xfId="1886"/>
    <cellStyle name="_RRS13 3 2" xfId="18933"/>
    <cellStyle name="_RRS13 4" xfId="1887"/>
    <cellStyle name="_RRS13 4 2" xfId="1888"/>
    <cellStyle name="_RRS13 4 2 2" xfId="18172"/>
    <cellStyle name="_RRS13 4 3" xfId="18171"/>
    <cellStyle name="_RRS13 5" xfId="1889"/>
    <cellStyle name="_RRS13 5 2" xfId="1890"/>
    <cellStyle name="_RRS13 5 2 2" xfId="18174"/>
    <cellStyle name="_RRS13 5 3" xfId="18173"/>
    <cellStyle name="_RRS13 6" xfId="1891"/>
    <cellStyle name="_RRS13 6 2" xfId="1892"/>
    <cellStyle name="_RRS13 6 2 2" xfId="18939"/>
    <cellStyle name="_RRS13 6 3" xfId="17794"/>
    <cellStyle name="_RRS13 7" xfId="1893"/>
    <cellStyle name="_RRS13 7 2" xfId="1894"/>
    <cellStyle name="_RRS13 7 2 2" xfId="18938"/>
    <cellStyle name="_RRS13 7 3" xfId="17795"/>
    <cellStyle name="_RRS13 8" xfId="1895"/>
    <cellStyle name="_RRS13 8 2" xfId="17796"/>
    <cellStyle name="_RRS13 9" xfId="20383"/>
    <cellStyle name="_RRS15" xfId="2968"/>
    <cellStyle name="_RRS16" xfId="1238"/>
    <cellStyle name="_RRS16 2" xfId="1896"/>
    <cellStyle name="_RRS16 2 2" xfId="18175"/>
    <cellStyle name="_RRS16 3" xfId="1897"/>
    <cellStyle name="_RRS16 3 2" xfId="17797"/>
    <cellStyle name="_RRS16 4" xfId="1898"/>
    <cellStyle name="_RRS16 4 2" xfId="1899"/>
    <cellStyle name="_RRS16 4 2 2" xfId="18327"/>
    <cellStyle name="_RRS16 4 3" xfId="18940"/>
    <cellStyle name="_RRS16 5" xfId="1900"/>
    <cellStyle name="_RRS16 5 2" xfId="1901"/>
    <cellStyle name="_RRS16 5 2 2" xfId="18325"/>
    <cellStyle name="_RRS16 5 3" xfId="18937"/>
    <cellStyle name="_RRS16 6" xfId="1902"/>
    <cellStyle name="_RRS16 6 2" xfId="1903"/>
    <cellStyle name="_RRS16 6 2 2" xfId="18176"/>
    <cellStyle name="_RRS16 6 3" xfId="18326"/>
    <cellStyle name="_RRS16 7" xfId="1905"/>
    <cellStyle name="_RRS16 7 2" xfId="1906"/>
    <cellStyle name="_RRS16 7 2 2" xfId="17798"/>
    <cellStyle name="_RRS16 7 3" xfId="18328"/>
    <cellStyle name="_RRS16 8" xfId="1907"/>
    <cellStyle name="_RRS16 8 2" xfId="18177"/>
    <cellStyle name="_RRS16 9" xfId="18669"/>
    <cellStyle name="_RRS2" xfId="1406"/>
    <cellStyle name="_RRS2 2" xfId="5287"/>
    <cellStyle name="_RRS20" xfId="2969"/>
    <cellStyle name="_RRS3" xfId="71"/>
    <cellStyle name="_RRS3 2" xfId="72"/>
    <cellStyle name="_RRS3 2 2" xfId="73"/>
    <cellStyle name="_RRS3 2 2 2" xfId="74"/>
    <cellStyle name="_RRS3 2 2 2 2" xfId="2970"/>
    <cellStyle name="_RRS3 2 2 3" xfId="2971"/>
    <cellStyle name="_RRS3 2 3" xfId="75"/>
    <cellStyle name="_RRS3 2 3 2" xfId="2972"/>
    <cellStyle name="_RRS3 2 4" xfId="2973"/>
    <cellStyle name="_RRS3 3" xfId="76"/>
    <cellStyle name="_RRS3 3 2" xfId="77"/>
    <cellStyle name="_RRS3 3 2 2" xfId="2974"/>
    <cellStyle name="_RRS3 3 3" xfId="2975"/>
    <cellStyle name="_RRS3 4" xfId="78"/>
    <cellStyle name="_RRS3 4 2" xfId="1908"/>
    <cellStyle name="_RRS3 4 2 2" xfId="5972"/>
    <cellStyle name="_RRS3 4 3" xfId="5233"/>
    <cellStyle name="_RRS3 5" xfId="79"/>
    <cellStyle name="_RRS3 5 2" xfId="744"/>
    <cellStyle name="_RRS3 5 2 2" xfId="5276"/>
    <cellStyle name="_RRS3 5 3" xfId="5213"/>
    <cellStyle name="_RRS3 6" xfId="1909"/>
    <cellStyle name="_RRS3 6 2" xfId="1910"/>
    <cellStyle name="_RRS3 6 2 2" xfId="17799"/>
    <cellStyle name="_RRS3 6 3" xfId="18943"/>
    <cellStyle name="_RRS3 7" xfId="1911"/>
    <cellStyle name="_RRS3 7 2" xfId="1912"/>
    <cellStyle name="_RRS3 7 2 2" xfId="18330"/>
    <cellStyle name="_RRS3 7 3" xfId="18942"/>
    <cellStyle name="_RRS3 8" xfId="1913"/>
    <cellStyle name="_RRS3 8 2" xfId="2976"/>
    <cellStyle name="_RRS3 9" xfId="20382"/>
    <cellStyle name="_RRS4" xfId="80"/>
    <cellStyle name="_RRS4 2" xfId="81"/>
    <cellStyle name="_RRS4 2 2" xfId="82"/>
    <cellStyle name="_RRS4 2 2 2" xfId="83"/>
    <cellStyle name="_RRS4 2 2 2 2" xfId="2977"/>
    <cellStyle name="_RRS4 2 2 3" xfId="2978"/>
    <cellStyle name="_RRS4 2 3" xfId="84"/>
    <cellStyle name="_RRS4 2 3 2" xfId="2979"/>
    <cellStyle name="_RRS4 2 4" xfId="2980"/>
    <cellStyle name="_RRS4 3" xfId="85"/>
    <cellStyle name="_RRS4 3 2" xfId="86"/>
    <cellStyle name="_RRS4 3 2 2" xfId="2981"/>
    <cellStyle name="_RRS4 3 3" xfId="2982"/>
    <cellStyle name="_RRS4 4" xfId="87"/>
    <cellStyle name="_RRS4 4 2" xfId="1918"/>
    <cellStyle name="_RRS4 4 2 2" xfId="5946"/>
    <cellStyle name="_RRS4 4 3" xfId="5260"/>
    <cellStyle name="_RRS4 5" xfId="88"/>
    <cellStyle name="_RRS4 5 2" xfId="745"/>
    <cellStyle name="_RRS4 5 2 2" xfId="5988"/>
    <cellStyle name="_RRS4 5 3" xfId="5182"/>
    <cellStyle name="_RRS4 6" xfId="1919"/>
    <cellStyle name="_RRS4 6 2" xfId="1920"/>
    <cellStyle name="_RRS4 6 2 2" xfId="17800"/>
    <cellStyle name="_RRS4 6 3" xfId="18944"/>
    <cellStyle name="_RRS4 7" xfId="1921"/>
    <cellStyle name="_RRS4 7 2" xfId="1922"/>
    <cellStyle name="_RRS4 7 2 2" xfId="18178"/>
    <cellStyle name="_RRS4 7 3" xfId="18329"/>
    <cellStyle name="_RRS4 8" xfId="1923"/>
    <cellStyle name="_RRS4 8 2" xfId="2983"/>
    <cellStyle name="_RRS4 9" xfId="18676"/>
    <cellStyle name="_RRS6" xfId="2984"/>
    <cellStyle name="_RRS8" xfId="1186"/>
    <cellStyle name="_RRS8 2" xfId="18366"/>
    <cellStyle name="_sftwre_Dec08" xfId="1516"/>
    <cellStyle name="_Sheet1" xfId="1517"/>
    <cellStyle name="_SUMMARY " xfId="89"/>
    <cellStyle name="_SUMMARY  10" xfId="1924"/>
    <cellStyle name="_SUMMARY  10 2" xfId="1925"/>
    <cellStyle name="_SUMMARY  10 2 2" xfId="17841"/>
    <cellStyle name="_SUMMARY  10 2 2 2" xfId="18369"/>
    <cellStyle name="_SUMMARY  10 2 3" xfId="18368"/>
    <cellStyle name="_SUMMARY  10 3" xfId="1926"/>
    <cellStyle name="_SUMMARY  10 3 2" xfId="17842"/>
    <cellStyle name="_SUMMARY  10 3 2 2" xfId="18371"/>
    <cellStyle name="_SUMMARY  10 3 3" xfId="18370"/>
    <cellStyle name="_SUMMARY  10 4" xfId="17843"/>
    <cellStyle name="_SUMMARY  10 4 2" xfId="18372"/>
    <cellStyle name="_SUMMARY  10 5" xfId="18367"/>
    <cellStyle name="_SUMMARY  11" xfId="1927"/>
    <cellStyle name="_SUMMARY  11 2" xfId="2985"/>
    <cellStyle name="_SUMMARY  11 2 2" xfId="18374"/>
    <cellStyle name="_SUMMARY  11 3" xfId="18373"/>
    <cellStyle name="_SUMMARY  12" xfId="1928"/>
    <cellStyle name="_SUMMARY  12 2" xfId="2986"/>
    <cellStyle name="_SUMMARY  12 2 2" xfId="18376"/>
    <cellStyle name="_SUMMARY  12 3" xfId="2987"/>
    <cellStyle name="_SUMMARY  13" xfId="2988"/>
    <cellStyle name="_SUMMARY  13 2" xfId="2989"/>
    <cellStyle name="_SUMMARY  13 3" xfId="2990"/>
    <cellStyle name="_SUMMARY  14" xfId="2991"/>
    <cellStyle name="_SUMMARY  14 2" xfId="2992"/>
    <cellStyle name="_SUMMARY  2" xfId="90"/>
    <cellStyle name="_SUMMARY  2 2" xfId="91"/>
    <cellStyle name="_SUMMARY  2 2 2" xfId="92"/>
    <cellStyle name="_SUMMARY  2 2 2 2" xfId="2993"/>
    <cellStyle name="_SUMMARY  2 2 3" xfId="2994"/>
    <cellStyle name="_SUMMARY  2 3" xfId="93"/>
    <cellStyle name="_SUMMARY  2 3 2" xfId="2995"/>
    <cellStyle name="_SUMMARY  2 4" xfId="2996"/>
    <cellStyle name="_SUMMARY  3" xfId="94"/>
    <cellStyle name="_SUMMARY  3 2" xfId="95"/>
    <cellStyle name="_SUMMARY  3 2 2" xfId="813"/>
    <cellStyle name="_SUMMARY  3 2 2 2" xfId="814"/>
    <cellStyle name="_SUMMARY  3 2 2 2 2" xfId="18380"/>
    <cellStyle name="_SUMMARY  3 2 2 3" xfId="18379"/>
    <cellStyle name="_SUMMARY  3 2 3" xfId="815"/>
    <cellStyle name="_SUMMARY  3 2 3 2" xfId="18381"/>
    <cellStyle name="_SUMMARY  3 2 4" xfId="18378"/>
    <cellStyle name="_SUMMARY  3 3" xfId="816"/>
    <cellStyle name="_SUMMARY  3 3 2" xfId="817"/>
    <cellStyle name="_SUMMARY  3 3 2 2" xfId="18383"/>
    <cellStyle name="_SUMMARY  3 3 3" xfId="18382"/>
    <cellStyle name="_SUMMARY  3 4" xfId="818"/>
    <cellStyle name="_SUMMARY  3 4 2" xfId="18384"/>
    <cellStyle name="_SUMMARY  3 5" xfId="18377"/>
    <cellStyle name="_SUMMARY  4" xfId="96"/>
    <cellStyle name="_SUMMARY  4 2" xfId="97"/>
    <cellStyle name="_SUMMARY  4 2 2" xfId="98"/>
    <cellStyle name="_SUMMARY  4 2 2 2" xfId="2997"/>
    <cellStyle name="_SUMMARY  4 2 3" xfId="2998"/>
    <cellStyle name="_SUMMARY  4 3" xfId="99"/>
    <cellStyle name="_SUMMARY  4 3 2" xfId="100"/>
    <cellStyle name="_SUMMARY  4 3 2 2" xfId="2999"/>
    <cellStyle name="_SUMMARY  4 3 3" xfId="3000"/>
    <cellStyle name="_SUMMARY  4 4" xfId="101"/>
    <cellStyle name="_SUMMARY  4 4 2" xfId="3001"/>
    <cellStyle name="_SUMMARY  4 5" xfId="3002"/>
    <cellStyle name="_SUMMARY  4 5 2" xfId="3003"/>
    <cellStyle name="_SUMMARY  4 6" xfId="3004"/>
    <cellStyle name="_SUMMARY  5" xfId="102"/>
    <cellStyle name="_SUMMARY  5 2" xfId="103"/>
    <cellStyle name="_SUMMARY  5 2 2" xfId="104"/>
    <cellStyle name="_SUMMARY  5 2 2 2" xfId="3005"/>
    <cellStyle name="_SUMMARY  5 2 3" xfId="3006"/>
    <cellStyle name="_SUMMARY  5 3" xfId="105"/>
    <cellStyle name="_SUMMARY  5 3 2" xfId="3007"/>
    <cellStyle name="_SUMMARY  5 4" xfId="3008"/>
    <cellStyle name="_SUMMARY  6" xfId="106"/>
    <cellStyle name="_SUMMARY  6 2" xfId="107"/>
    <cellStyle name="_SUMMARY  6 2 2" xfId="1266"/>
    <cellStyle name="_SUMMARY  6 2 2 2" xfId="6001"/>
    <cellStyle name="_SUMMARY  6 2 3" xfId="5940"/>
    <cellStyle name="_SUMMARY  6 3" xfId="1267"/>
    <cellStyle name="_SUMMARY  6 3 2" xfId="5956"/>
    <cellStyle name="_SUMMARY  6 4" xfId="3009"/>
    <cellStyle name="_SUMMARY  7" xfId="108"/>
    <cellStyle name="_SUMMARY  7 2" xfId="746"/>
    <cellStyle name="_SUMMARY  7 2 2" xfId="6007"/>
    <cellStyle name="_SUMMARY  7 3" xfId="1129"/>
    <cellStyle name="_SUMMARY  7 3 2" xfId="5968"/>
    <cellStyle name="_SUMMARY  7 4" xfId="5311"/>
    <cellStyle name="_SUMMARY  8" xfId="948"/>
    <cellStyle name="_SUMMARY  8 2" xfId="1165"/>
    <cellStyle name="_SUMMARY  8 2 2" xfId="6004"/>
    <cellStyle name="_SUMMARY  8 2 2 2" xfId="5272"/>
    <cellStyle name="_SUMMARY  8 2 3" xfId="5250"/>
    <cellStyle name="_SUMMARY  8 3" xfId="3010"/>
    <cellStyle name="_SUMMARY  8 3 2" xfId="3011"/>
    <cellStyle name="_SUMMARY  8 4" xfId="5163"/>
    <cellStyle name="_SUMMARY  9" xfId="1268"/>
    <cellStyle name="_SUMMARY  9 2" xfId="3012"/>
    <cellStyle name="_SUMMARY  9 2 2" xfId="3013"/>
    <cellStyle name="_SUMMARY  9 3" xfId="3014"/>
    <cellStyle name="_SUMMARY _RRST1" xfId="1187"/>
    <cellStyle name="_SUMMARY _RRST1 2" xfId="18386"/>
    <cellStyle name="_SUMMARY _RRST6" xfId="1214"/>
    <cellStyle name="_SUMMARY _RRST6 2" xfId="18387"/>
    <cellStyle name="_Survey form sample" xfId="1518"/>
    <cellStyle name="_SWKS WIPsls" xfId="1239"/>
    <cellStyle name="_SWKS WIPsls 2" xfId="1934"/>
    <cellStyle name="_SWKS WIPsls 2 2" xfId="17802"/>
    <cellStyle name="_SWKS WIPsls 3" xfId="1935"/>
    <cellStyle name="_SWKS WIPsls 3 2" xfId="17801"/>
    <cellStyle name="_SWKS WIPsls 4" xfId="1936"/>
    <cellStyle name="_SWKS WIPsls 4 2" xfId="1937"/>
    <cellStyle name="_SWKS WIPsls 4 2 2" xfId="18180"/>
    <cellStyle name="_SWKS WIPsls 4 3" xfId="18179"/>
    <cellStyle name="_SWKS WIPsls 5" xfId="1938"/>
    <cellStyle name="_SWKS WIPsls 5 2" xfId="1939"/>
    <cellStyle name="_SWKS WIPsls 5 2 2" xfId="17803"/>
    <cellStyle name="_SWKS WIPsls 5 3" xfId="17804"/>
    <cellStyle name="_SWKS WIPsls 6" xfId="1940"/>
    <cellStyle name="_SWKS WIPsls 6 2" xfId="1941"/>
    <cellStyle name="_SWKS WIPsls 6 2 2" xfId="18183"/>
    <cellStyle name="_SWKS WIPsls 6 3" xfId="18181"/>
    <cellStyle name="_SWKS WIPsls 7" xfId="1942"/>
    <cellStyle name="_SWKS WIPsls 7 2" xfId="1943"/>
    <cellStyle name="_SWKS WIPsls 7 2 2" xfId="17805"/>
    <cellStyle name="_SWKS WIPsls 7 3" xfId="17806"/>
    <cellStyle name="_SWKS WIPsls 8" xfId="1944"/>
    <cellStyle name="_SWKS WIPsls 8 2" xfId="18184"/>
    <cellStyle name="_SWKS WIPsls 9" xfId="20445"/>
    <cellStyle name="_SWKS_113010" xfId="109"/>
    <cellStyle name="_SWKS_113010 2" xfId="110"/>
    <cellStyle name="_SWKS_113010 2 2" xfId="111"/>
    <cellStyle name="_SWKS_113010 2 2 2" xfId="112"/>
    <cellStyle name="_SWKS_113010 2 2 2 2" xfId="3015"/>
    <cellStyle name="_SWKS_113010 2 2 3" xfId="3016"/>
    <cellStyle name="_SWKS_113010 2 3" xfId="113"/>
    <cellStyle name="_SWKS_113010 2 3 2" xfId="3017"/>
    <cellStyle name="_SWKS_113010 2 4" xfId="3018"/>
    <cellStyle name="_SWKS_113010 3" xfId="114"/>
    <cellStyle name="_SWKS_113010 3 2" xfId="115"/>
    <cellStyle name="_SWKS_113010 3 2 2" xfId="3019"/>
    <cellStyle name="_SWKS_113010 3 3" xfId="3020"/>
    <cellStyle name="_SWKS_113010 4" xfId="116"/>
    <cellStyle name="_SWKS_113010 4 2" xfId="1945"/>
    <cellStyle name="_SWKS_113010 4 2 2" xfId="18185"/>
    <cellStyle name="_SWKS_113010 4 3" xfId="20456"/>
    <cellStyle name="_SWKS_113010 5" xfId="1946"/>
    <cellStyle name="_SWKS_113010 5 2" xfId="1947"/>
    <cellStyle name="_SWKS_113010 5 2 2" xfId="17807"/>
    <cellStyle name="_SWKS_113010 5 3" xfId="17808"/>
    <cellStyle name="_SWKS_113010 6" xfId="1948"/>
    <cellStyle name="_SWKS_113010 6 2" xfId="1949"/>
    <cellStyle name="_SWKS_113010 6 2 2" xfId="18188"/>
    <cellStyle name="_SWKS_113010 6 3" xfId="18186"/>
    <cellStyle name="_SWKS_113010 7" xfId="1950"/>
    <cellStyle name="_SWKS_113010 7 2" xfId="1951"/>
    <cellStyle name="_SWKS_113010 7 2 2" xfId="18189"/>
    <cellStyle name="_SWKS_113010 7 3" xfId="17809"/>
    <cellStyle name="_SWKS_113010 8" xfId="1952"/>
    <cellStyle name="_SWKS_113010 8 2" xfId="17810"/>
    <cellStyle name="_SWKS_113010 9" xfId="20455"/>
    <cellStyle name="_SWKS_122210" xfId="117"/>
    <cellStyle name="_SWKS_122210 2" xfId="118"/>
    <cellStyle name="_SWKS_122210 2 2" xfId="119"/>
    <cellStyle name="_SWKS_122210 2 2 2" xfId="120"/>
    <cellStyle name="_SWKS_122210 2 2 2 2" xfId="3021"/>
    <cellStyle name="_SWKS_122210 2 2 3" xfId="3022"/>
    <cellStyle name="_SWKS_122210 2 3" xfId="121"/>
    <cellStyle name="_SWKS_122210 2 3 2" xfId="3023"/>
    <cellStyle name="_SWKS_122210 2 4" xfId="3024"/>
    <cellStyle name="_SWKS_122210 3" xfId="122"/>
    <cellStyle name="_SWKS_122210 3 2" xfId="123"/>
    <cellStyle name="_SWKS_122210 3 2 2" xfId="3025"/>
    <cellStyle name="_SWKS_122210 3 3" xfId="3026"/>
    <cellStyle name="_SWKS_122210 4" xfId="124"/>
    <cellStyle name="_SWKS_122210 4 2" xfId="1953"/>
    <cellStyle name="_SWKS_122210 4 2 2" xfId="18190"/>
    <cellStyle name="_SWKS_122210 4 3" xfId="20444"/>
    <cellStyle name="_SWKS_122210 5" xfId="1954"/>
    <cellStyle name="_SWKS_122210 5 2" xfId="1955"/>
    <cellStyle name="_SWKS_122210 5 2 2" xfId="17811"/>
    <cellStyle name="_SWKS_122210 5 3" xfId="17814"/>
    <cellStyle name="_SWKS_122210 6" xfId="1956"/>
    <cellStyle name="_SWKS_122210 6 2" xfId="1957"/>
    <cellStyle name="_SWKS_122210 6 2 2" xfId="17813"/>
    <cellStyle name="_SWKS_122210 6 3" xfId="18191"/>
    <cellStyle name="_SWKS_122210 7" xfId="1958"/>
    <cellStyle name="_SWKS_122210 7 2" xfId="1959"/>
    <cellStyle name="_SWKS_122210 7 2 2" xfId="18192"/>
    <cellStyle name="_SWKS_122210 7 3" xfId="17812"/>
    <cellStyle name="_SWKS_122210 8" xfId="1960"/>
    <cellStyle name="_SWKS_122210 8 2" xfId="18194"/>
    <cellStyle name="_SWKS_122210 9" xfId="20426"/>
    <cellStyle name="_SY Earnings(Labor cost)" xfId="3027"/>
    <cellStyle name="_Taiwan" xfId="4913"/>
    <cellStyle name="_Telecom Constraint" xfId="1519"/>
    <cellStyle name="_Template Stats" xfId="983"/>
    <cellStyle name="_TWN Top 4 MB 5 NB" xfId="4914"/>
    <cellStyle name="_TXN modelware NEW" xfId="125"/>
    <cellStyle name="_US GAAP" xfId="4915"/>
    <cellStyle name="_US GAAP_Copy of Model2018_AAC_(WIP) " xfId="3028"/>
    <cellStyle name="_US GAAP_Copy of Model2018_AAC_(WIP)  2" xfId="5162"/>
    <cellStyle name="_US GAAP_Exhibit NB QoQ" xfId="4916"/>
    <cellStyle name="_US GAAP_Exhibt NB MOM" xfId="4917"/>
    <cellStyle name="_US GAAP_MBNB shipments_20080909" xfId="4918"/>
    <cellStyle name="_US GAAP_MBNB shipments_20090309.wip" xfId="4919"/>
    <cellStyle name="_US GAAP_MBNB shipments_Dec06_wip" xfId="4920"/>
    <cellStyle name="_US GAAP_MBNB shipments_July07.wip" xfId="4921"/>
    <cellStyle name="_US GAAP_NB-Mthly(0)" xfId="4922"/>
    <cellStyle name="_US GAAP_TWN Top 4 MB 5 NB" xfId="4923"/>
    <cellStyle name="_Valuation_ROC RI" xfId="4924"/>
    <cellStyle name="_WIP_to_published" xfId="1520"/>
    <cellStyle name="_WIP_to_published 2" xfId="18389"/>
    <cellStyle name="_Wireline Tel Forecast " xfId="126"/>
    <cellStyle name="_Wireline Tel Forecast  2" xfId="127"/>
    <cellStyle name="_Wireline Tel Forecast  2 2" xfId="3029"/>
    <cellStyle name="_Wireline Tel Forecast  3" xfId="3030"/>
    <cellStyle name="_Word Charts" xfId="3031"/>
    <cellStyle name="_Word Charts 2" xfId="3032"/>
    <cellStyle name="_Zip Stats_2004" xfId="984"/>
    <cellStyle name="’Ê‰Ý [0.00]_GE 3 MINIMUM" xfId="128"/>
    <cellStyle name="’Ê‰Ý_GE 3 MINIMUM" xfId="129"/>
    <cellStyle name="“ú–{Œê" xfId="3033"/>
    <cellStyle name="£ BP" xfId="130"/>
    <cellStyle name="£ BP 2" xfId="3034"/>
    <cellStyle name="¤@¯ë_2311" xfId="4925"/>
    <cellStyle name="¤d¤À¦ì[0]_2311" xfId="4926"/>
    <cellStyle name="¤d¤À¦ì_2311" xfId="4927"/>
    <cellStyle name="¥ JY" xfId="131"/>
    <cellStyle name="¥ JY 2" xfId="3035"/>
    <cellStyle name="¥ JY 3" xfId="4928"/>
    <cellStyle name="=C:\WINNT35\SYSTEM32\COMMAND.COM" xfId="132"/>
    <cellStyle name="=C:\WINNT35\SYSTEM32\COMMAND.COM 2" xfId="133"/>
    <cellStyle name="=C:\WINNT35\SYSTEM32\COMMAND.COM 2 2" xfId="134"/>
    <cellStyle name="=C:\WINNT35\SYSTEM32\COMMAND.COM 2 2 2" xfId="135"/>
    <cellStyle name="=C:\WINNT35\SYSTEM32\COMMAND.COM 2 2 2 2" xfId="3036"/>
    <cellStyle name="=C:\WINNT35\SYSTEM32\COMMAND.COM 2 2 3" xfId="3037"/>
    <cellStyle name="=C:\WINNT35\SYSTEM32\COMMAND.COM 2 3" xfId="136"/>
    <cellStyle name="=C:\WINNT35\SYSTEM32\COMMAND.COM 2 3 2" xfId="3038"/>
    <cellStyle name="=C:\WINNT35\SYSTEM32\COMMAND.COM 2 4" xfId="3039"/>
    <cellStyle name="=C:\WINNT35\SYSTEM32\COMMAND.COM 3" xfId="137"/>
    <cellStyle name="=C:\WINNT35\SYSTEM32\COMMAND.COM 3 2" xfId="138"/>
    <cellStyle name="=C:\WINNT35\SYSTEM32\COMMAND.COM 3 2 2" xfId="3040"/>
    <cellStyle name="=C:\WINNT35\SYSTEM32\COMMAND.COM 3 3" xfId="3041"/>
    <cellStyle name="=C:\WINNT35\SYSTEM32\COMMAND.COM 4" xfId="139"/>
    <cellStyle name="=C:\WINNT35\SYSTEM32\COMMAND.COM 4 2" xfId="1961"/>
    <cellStyle name="=C:\WINNT35\SYSTEM32\COMMAND.COM 4 2 2" xfId="5974"/>
    <cellStyle name="=C:\WINNT35\SYSTEM32\COMMAND.COM 4 3" xfId="5396"/>
    <cellStyle name="=C:\WINNT35\SYSTEM32\COMMAND.COM 5" xfId="140"/>
    <cellStyle name="=C:\WINNT35\SYSTEM32\COMMAND.COM 5 2" xfId="747"/>
    <cellStyle name="=C:\WINNT35\SYSTEM32\COMMAND.COM 5 2 2" xfId="5353"/>
    <cellStyle name="=C:\WINNT35\SYSTEM32\COMMAND.COM 5 3" xfId="5227"/>
    <cellStyle name="=C:\WINNT35\SYSTEM32\COMMAND.COM 6" xfId="1962"/>
    <cellStyle name="=C:\WINNT35\SYSTEM32\COMMAND.COM 6 2" xfId="1963"/>
    <cellStyle name="=C:\WINNT35\SYSTEM32\COMMAND.COM 6 2 2" xfId="18195"/>
    <cellStyle name="=C:\WINNT35\SYSTEM32\COMMAND.COM 6 3" xfId="17815"/>
    <cellStyle name="=C:\WINNT35\SYSTEM32\COMMAND.COM 7" xfId="1964"/>
    <cellStyle name="=C:\WINNT35\SYSTEM32\COMMAND.COM 7 2" xfId="1965"/>
    <cellStyle name="=C:\WINNT35\SYSTEM32\COMMAND.COM 7 2 2" xfId="18196"/>
    <cellStyle name="=C:\WINNT35\SYSTEM32\COMMAND.COM 7 3" xfId="18336"/>
    <cellStyle name="=C:\WINNT35\SYSTEM32\COMMAND.COM 8" xfId="1966"/>
    <cellStyle name="=C:\WINNT35\SYSTEM32\COMMAND.COM 8 2" xfId="3042"/>
    <cellStyle name="=C:\WINNT35\SYSTEM32\COMMAND.COM 9" xfId="20437"/>
    <cellStyle name="§Q\?1@" xfId="3043"/>
    <cellStyle name="§Q\?1@ 2" xfId="5329"/>
    <cellStyle name="•W€_Comparables" xfId="141"/>
    <cellStyle name="•W_9501sales" xfId="23599"/>
    <cellStyle name="0" xfId="142"/>
    <cellStyle name="0 2" xfId="143"/>
    <cellStyle name="0%" xfId="144"/>
    <cellStyle name="0% 2" xfId="145"/>
    <cellStyle name="0% 2 2" xfId="146"/>
    <cellStyle name="0% 2 2 2" xfId="147"/>
    <cellStyle name="0% 2 2 2 2" xfId="3044"/>
    <cellStyle name="0% 2 2 3" xfId="3045"/>
    <cellStyle name="0% 2 3" xfId="148"/>
    <cellStyle name="0% 2 3 2" xfId="3046"/>
    <cellStyle name="0% 2 4" xfId="3047"/>
    <cellStyle name="0% 3" xfId="149"/>
    <cellStyle name="0% 3 2" xfId="150"/>
    <cellStyle name="0% 3 2 2" xfId="3048"/>
    <cellStyle name="0% 3 3" xfId="3049"/>
    <cellStyle name="0% 4" xfId="151"/>
    <cellStyle name="0% 4 2" xfId="1967"/>
    <cellStyle name="0% 4 2 2" xfId="5225"/>
    <cellStyle name="0% 4 3" xfId="5333"/>
    <cellStyle name="0% 5" xfId="152"/>
    <cellStyle name="0% 5 2" xfId="748"/>
    <cellStyle name="0% 5 2 2" xfId="5341"/>
    <cellStyle name="0% 5 3" xfId="5629"/>
    <cellStyle name="0% 6" xfId="1968"/>
    <cellStyle name="0% 6 2" xfId="1969"/>
    <cellStyle name="0% 6 2 2" xfId="18198"/>
    <cellStyle name="0% 6 3" xfId="18337"/>
    <cellStyle name="0% 7" xfId="1970"/>
    <cellStyle name="0% 7 2" xfId="1971"/>
    <cellStyle name="0% 7 2 2" xfId="18199"/>
    <cellStyle name="0% 7 3" xfId="17816"/>
    <cellStyle name="0% 8" xfId="1972"/>
    <cellStyle name="0% 8 2" xfId="3050"/>
    <cellStyle name="0% 9" xfId="20417"/>
    <cellStyle name="0,0_x000d__x000a_NA_x000d__x000a_" xfId="985"/>
    <cellStyle name="0,0_x000d__x000a_NA_x000d__x000a_ 2" xfId="1521"/>
    <cellStyle name="0,0_x000d__x000a_NA_x000d__x000a_ 2 2" xfId="18394"/>
    <cellStyle name="0,0_x000d__x000a_NA_x000d__x000a_ 3" xfId="18393"/>
    <cellStyle name="0,0_x000d__x000a_NA_x000d__x000a__Pivot Table Tips" xfId="1522"/>
    <cellStyle name="0.0" xfId="153"/>
    <cellStyle name="0.0 2" xfId="154"/>
    <cellStyle name="0.0%" xfId="155"/>
    <cellStyle name="0.0% 2" xfId="156"/>
    <cellStyle name="0.0_40050504 (pension)" xfId="3051"/>
    <cellStyle name="0.00" xfId="157"/>
    <cellStyle name="0.00 2" xfId="158"/>
    <cellStyle name="0.00%" xfId="159"/>
    <cellStyle name="0.00% 2" xfId="160"/>
    <cellStyle name="0.00_40050504 (pension)" xfId="3052"/>
    <cellStyle name="0_40050504 (pension)" xfId="3053"/>
    <cellStyle name="0_Capex &amp; Depreciation " xfId="161"/>
    <cellStyle name="0_Capex &amp; Depreciation  2" xfId="162"/>
    <cellStyle name="0_Capex &amp; Depreciation  2 2" xfId="163"/>
    <cellStyle name="0_Capex &amp; Depreciation _RRST1" xfId="164"/>
    <cellStyle name="0_Capex &amp; Depreciation _RRST1 2" xfId="165"/>
    <cellStyle name="0_Capex &amp; Depreciation _RRST12" xfId="1269"/>
    <cellStyle name="0_Capex &amp; Depreciation _RRST12 2" xfId="1973"/>
    <cellStyle name="0_Capex &amp; Depreciation _RRST15" xfId="1974"/>
    <cellStyle name="0_Capex &amp; Depreciation _RRST15 2" xfId="1975"/>
    <cellStyle name="0_Capex &amp; Depreciation _RRST19" xfId="1024"/>
    <cellStyle name="0_Capex &amp; Depreciation _RRST19 2" xfId="1025"/>
    <cellStyle name="0_Capex &amp; Depreciation _RRST20" xfId="166"/>
    <cellStyle name="0_Capex &amp; Depreciation _RRST20 2" xfId="167"/>
    <cellStyle name="0_Capex &amp; Depreciation _RRST25" xfId="3054"/>
    <cellStyle name="0_Capex &amp; Depreciation _RRST25 2" xfId="3055"/>
    <cellStyle name="0_Capex &amp; Depreciation _RRST3" xfId="1270"/>
    <cellStyle name="0_Capex &amp; Depreciation _RRST6" xfId="819"/>
    <cellStyle name="0_Capex &amp; Depreciation _RRST6 2" xfId="820"/>
    <cellStyle name="0_Capex &amp; Depreciation _RRST9" xfId="821"/>
    <cellStyle name="0_Capex &amp; Depreciation _RRST9 2" xfId="822"/>
    <cellStyle name="0_ConsensusPanel_v20080325 (2)" xfId="3056"/>
    <cellStyle name="0_Copy of Model2018_AAC_(WIP) " xfId="3057"/>
    <cellStyle name="0_geconsensusv1" xfId="3058"/>
    <cellStyle name="0_Handset component data_Copy of Model2018_AAC_(WIP) " xfId="3059"/>
    <cellStyle name="0_IV2" xfId="3060"/>
    <cellStyle name="0_IV6" xfId="3061"/>
    <cellStyle name="0_Japan Pension Module Sumitomo Chemical" xfId="3062"/>
    <cellStyle name="0_JapaneseCatalog" xfId="3063"/>
    <cellStyle name="0_MB-Mthly(1)" xfId="4929"/>
    <cellStyle name="0_MB-Mthly(1)_Exhibit NB QoQ" xfId="4930"/>
    <cellStyle name="0_MB-Mthly(1)_Exhibt NB MOM" xfId="4931"/>
    <cellStyle name="0_MB-Mthly(1)_MBNB shipments_20080909" xfId="4932"/>
    <cellStyle name="0_MB-Mthly(1)_MBNB shipments_20090309.wip" xfId="4933"/>
    <cellStyle name="0_MB-Mthly(1)_MBNB shipments_Dec06_wip" xfId="4934"/>
    <cellStyle name="0_MB-Mthly(1)_MBNB shipments_July07.wip" xfId="4935"/>
    <cellStyle name="0_MB-Mthly(1)_NB-Mthly(0)" xfId="4936"/>
    <cellStyle name="0_ROE2" xfId="3064"/>
    <cellStyle name="0_ROE4" xfId="3065"/>
    <cellStyle name="0_SmartChart_B1035" xfId="3066"/>
    <cellStyle name="0_SmartChart_B1200" xfId="3067"/>
    <cellStyle name="0_SmartChart_C1035" xfId="3068"/>
    <cellStyle name="0_SmartChart_O1200" xfId="3069"/>
    <cellStyle name="0_TWN Top 4 MB 5 NB" xfId="4937"/>
    <cellStyle name="0_TWN Top 4 MB 5 NB_Exhibit NB QoQ" xfId="4938"/>
    <cellStyle name="0_TWN Top 4 MB 5 NB_Exhibt NB MOM" xfId="4939"/>
    <cellStyle name="0_TWN Top 4 MB 5 NB_MBNB shipments_20080909" xfId="4940"/>
    <cellStyle name="0_TWN Top 4 MB 5 NB_MBNB shipments_20090309.wip" xfId="4941"/>
    <cellStyle name="0_TWN Top 4 MB 5 NB_MBNB shipments_Dec06_wip" xfId="4942"/>
    <cellStyle name="0_TWN Top 4 MB 5 NB_MBNB shipments_July07.wip" xfId="4943"/>
    <cellStyle name="0_Valuing BP " xfId="168"/>
    <cellStyle name="0_Valuing BP  2" xfId="169"/>
    <cellStyle name="0_Valuing BP  2 2" xfId="170"/>
    <cellStyle name="0_Valuing BP _RRST1" xfId="171"/>
    <cellStyle name="0_Valuing BP _RRST1 2" xfId="172"/>
    <cellStyle name="0_Valuing BP _RRST12" xfId="1271"/>
    <cellStyle name="0_Valuing BP _RRST12 2" xfId="1976"/>
    <cellStyle name="0_Valuing BP _RRST15" xfId="1977"/>
    <cellStyle name="0_Valuing BP _RRST15 2" xfId="1978"/>
    <cellStyle name="0_Valuing BP _RRST19" xfId="1026"/>
    <cellStyle name="0_Valuing BP _RRST19 2" xfId="1027"/>
    <cellStyle name="0_Valuing BP _RRST20" xfId="173"/>
    <cellStyle name="0_Valuing BP _RRST20 2" xfId="174"/>
    <cellStyle name="0_Valuing BP _RRST25" xfId="3070"/>
    <cellStyle name="0_Valuing BP _RRST25 2" xfId="3071"/>
    <cellStyle name="0_Valuing BP _RRST3" xfId="1272"/>
    <cellStyle name="0_Valuing BP _RRST6" xfId="823"/>
    <cellStyle name="0_Valuing BP _RRST6 2" xfId="824"/>
    <cellStyle name="0_Valuing BP _RRST9" xfId="825"/>
    <cellStyle name="0_Valuing BP _RRST9 2" xfId="826"/>
    <cellStyle name="0_Vendor revenues_Copy of Model2018_AAC_(WIP) " xfId="3072"/>
    <cellStyle name="0_Wireline Tel Forecast " xfId="175"/>
    <cellStyle name="0_Wireline Tel Forecast  2" xfId="176"/>
    <cellStyle name="0_Wireline Tel Forecast  2 2" xfId="177"/>
    <cellStyle name="0_WW NB DT PC &amp;TWN NB MB Qly" xfId="4944"/>
    <cellStyle name="0_WW NB DT PC &amp;TWN NB MB Qly_Exhibit NB QoQ" xfId="4945"/>
    <cellStyle name="0_WW NB DT PC &amp;TWN NB MB Qly_Exhibt NB MOM" xfId="4946"/>
    <cellStyle name="0_WW NB DT PC &amp;TWN NB MB Qly_MBNB shipments_20080909" xfId="4947"/>
    <cellStyle name="0_WW NB DT PC &amp;TWN NB MB Qly_MBNB shipments_20090309.wip" xfId="4948"/>
    <cellStyle name="0_WW NB DT PC &amp;TWN NB MB Qly_MBNB shipments_Dec06_wip" xfId="4949"/>
    <cellStyle name="0_WW NB DT PC &amp;TWN NB MB Qly_MBNB shipments_July07.wip" xfId="4950"/>
    <cellStyle name="0_Yardstick2012" xfId="3073"/>
    <cellStyle name="1,comma" xfId="178"/>
    <cellStyle name="1,comma 2" xfId="179"/>
    <cellStyle name="1,comma 2 2" xfId="180"/>
    <cellStyle name="1,comma 2 2 2" xfId="181"/>
    <cellStyle name="1,comma 2 2 2 2" xfId="3074"/>
    <cellStyle name="1,comma 2 2 3" xfId="3075"/>
    <cellStyle name="1,comma 2 3" xfId="182"/>
    <cellStyle name="1,comma 2 3 2" xfId="3076"/>
    <cellStyle name="1,comma 2 4" xfId="3077"/>
    <cellStyle name="1,comma 3" xfId="183"/>
    <cellStyle name="1,comma 3 2" xfId="184"/>
    <cellStyle name="1,comma 3 2 2" xfId="3078"/>
    <cellStyle name="1,comma 3 3" xfId="3079"/>
    <cellStyle name="1,comma 4" xfId="185"/>
    <cellStyle name="1,comma 4 2" xfId="1981"/>
    <cellStyle name="1,comma 4 2 2" xfId="5206"/>
    <cellStyle name="1,comma 4 3" xfId="5310"/>
    <cellStyle name="1,comma 5" xfId="186"/>
    <cellStyle name="1,comma 5 2" xfId="749"/>
    <cellStyle name="1,comma 5 2 2" xfId="5280"/>
    <cellStyle name="1,comma 5 3" xfId="5627"/>
    <cellStyle name="1,comma 6" xfId="1982"/>
    <cellStyle name="1,comma 6 2" xfId="1983"/>
    <cellStyle name="1,comma 6 2 2" xfId="18201"/>
    <cellStyle name="1,comma 6 3" xfId="18200"/>
    <cellStyle name="1,comma 7" xfId="1984"/>
    <cellStyle name="1,comma 7 2" xfId="1985"/>
    <cellStyle name="1,comma 7 2 2" xfId="18204"/>
    <cellStyle name="1,comma 7 3" xfId="18203"/>
    <cellStyle name="1,comma 8" xfId="1986"/>
    <cellStyle name="1,comma 8 2" xfId="3080"/>
    <cellStyle name="1,comma 9" xfId="18015"/>
    <cellStyle name="¹eºÐA²_AIAIC°AuCoE² " xfId="3081"/>
    <cellStyle name="20% - Accent1" xfId="6041" builtinId="30" customBuiltin="1"/>
    <cellStyle name="20% - Accent1 2" xfId="187"/>
    <cellStyle name="20% - Accent1 2 2" xfId="188"/>
    <cellStyle name="20% - Accent1 2 3" xfId="5070"/>
    <cellStyle name="20% - Accent1 2 4" xfId="3083"/>
    <cellStyle name="20% - Accent1 3" xfId="1028"/>
    <cellStyle name="20% - Accent1 3 10" xfId="23769"/>
    <cellStyle name="20% - Accent1 3 2" xfId="3085"/>
    <cellStyle name="20% - Accent1 3 2 10" xfId="28668"/>
    <cellStyle name="20% - Accent1 3 2 2" xfId="3086"/>
    <cellStyle name="20% - Accent1 3 2 2 2" xfId="6818"/>
    <cellStyle name="20% - Accent1 3 2 2 2 2" xfId="10150"/>
    <cellStyle name="20% - Accent1 3 2 2 2 2 2" xfId="16854"/>
    <cellStyle name="20% - Accent1 3 2 2 2 2 2 2" xfId="27155"/>
    <cellStyle name="20% - Accent1 3 2 2 2 2 2 2 2" xfId="49400"/>
    <cellStyle name="20% - Accent1 3 2 2 2 2 2 3" xfId="24942"/>
    <cellStyle name="20% - Accent1 3 2 2 2 2 2 3 2" xfId="47187"/>
    <cellStyle name="20% - Accent1 3 2 2 2 2 2 4" xfId="40275"/>
    <cellStyle name="20% - Accent1 3 2 2 2 2 3" xfId="25521"/>
    <cellStyle name="20% - Accent1 3 2 2 2 2 3 2" xfId="27826"/>
    <cellStyle name="20% - Accent1 3 2 2 2 2 3 2 2" xfId="50071"/>
    <cellStyle name="20% - Accent1 3 2 2 2 2 3 3" xfId="47766"/>
    <cellStyle name="20% - Accent1 3 2 2 2 2 4" xfId="26481"/>
    <cellStyle name="20% - Accent1 3 2 2 2 2 4 2" xfId="48726"/>
    <cellStyle name="20% - Accent1 3 2 2 2 2 5" xfId="24277"/>
    <cellStyle name="20% - Accent1 3 2 2 2 2 5 2" xfId="46523"/>
    <cellStyle name="20% - Accent1 3 2 2 2 2 6" xfId="33643"/>
    <cellStyle name="20% - Accent1 3 2 2 2 3" xfId="13538"/>
    <cellStyle name="20% - Accent1 3 2 2 2 3 2" xfId="26823"/>
    <cellStyle name="20% - Accent1 3 2 2 2 3 2 2" xfId="49068"/>
    <cellStyle name="20% - Accent1 3 2 2 2 3 3" xfId="24610"/>
    <cellStyle name="20% - Accent1 3 2 2 2 3 3 2" xfId="46855"/>
    <cellStyle name="20% - Accent1 3 2 2 2 3 4" xfId="36959"/>
    <cellStyle name="20% - Accent1 3 2 2 2 4" xfId="25185"/>
    <cellStyle name="20% - Accent1 3 2 2 2 4 2" xfId="27490"/>
    <cellStyle name="20% - Accent1 3 2 2 2 4 2 2" xfId="49735"/>
    <cellStyle name="20% - Accent1 3 2 2 2 4 3" xfId="47430"/>
    <cellStyle name="20% - Accent1 3 2 2 2 5" xfId="26152"/>
    <cellStyle name="20% - Accent1 3 2 2 2 5 2" xfId="48397"/>
    <cellStyle name="20% - Accent1 3 2 2 2 6" xfId="23961"/>
    <cellStyle name="20% - Accent1 3 2 2 2 6 2" xfId="46207"/>
    <cellStyle name="20% - Accent1 3 2 2 2 7" xfId="30327"/>
    <cellStyle name="20% - Accent1 3 2 2 3" xfId="8484"/>
    <cellStyle name="20% - Accent1 3 2 2 3 2" xfId="15196"/>
    <cellStyle name="20% - Accent1 3 2 2 3 2 2" xfId="26989"/>
    <cellStyle name="20% - Accent1 3 2 2 3 2 2 2" xfId="49234"/>
    <cellStyle name="20% - Accent1 3 2 2 3 2 3" xfId="24776"/>
    <cellStyle name="20% - Accent1 3 2 2 3 2 3 2" xfId="47021"/>
    <cellStyle name="20% - Accent1 3 2 2 3 2 4" xfId="38617"/>
    <cellStyle name="20% - Accent1 3 2 2 3 3" xfId="25353"/>
    <cellStyle name="20% - Accent1 3 2 2 3 3 2" xfId="27658"/>
    <cellStyle name="20% - Accent1 3 2 2 3 3 2 2" xfId="49903"/>
    <cellStyle name="20% - Accent1 3 2 2 3 3 3" xfId="47598"/>
    <cellStyle name="20% - Accent1 3 2 2 3 4" xfId="26316"/>
    <cellStyle name="20% - Accent1 3 2 2 3 4 2" xfId="48561"/>
    <cellStyle name="20% - Accent1 3 2 2 3 5" xfId="24112"/>
    <cellStyle name="20% - Accent1 3 2 2 3 5 2" xfId="46358"/>
    <cellStyle name="20% - Accent1 3 2 2 3 6" xfId="31985"/>
    <cellStyle name="20% - Accent1 3 2 2 4" xfId="11878"/>
    <cellStyle name="20% - Accent1 3 2 2 4 2" xfId="26657"/>
    <cellStyle name="20% - Accent1 3 2 2 4 2 2" xfId="48902"/>
    <cellStyle name="20% - Accent1 3 2 2 4 3" xfId="24444"/>
    <cellStyle name="20% - Accent1 3 2 2 4 3 2" xfId="46689"/>
    <cellStyle name="20% - Accent1 3 2 2 4 4" xfId="35301"/>
    <cellStyle name="20% - Accent1 3 2 2 5" xfId="23421"/>
    <cellStyle name="20% - Accent1 3 2 2 5 2" xfId="27322"/>
    <cellStyle name="20% - Accent1 3 2 2 5 2 2" xfId="49567"/>
    <cellStyle name="20% - Accent1 3 2 2 5 3" xfId="45766"/>
    <cellStyle name="20% - Accent1 3 2 2 6" xfId="25673"/>
    <cellStyle name="20% - Accent1 3 2 2 6 2" xfId="47918"/>
    <cellStyle name="20% - Accent1 3 2 2 7" xfId="28669"/>
    <cellStyle name="20% - Accent1 3 2 3" xfId="3087"/>
    <cellStyle name="20% - Accent1 3 2 3 2" xfId="6819"/>
    <cellStyle name="20% - Accent1 3 2 3 2 2" xfId="10151"/>
    <cellStyle name="20% - Accent1 3 2 3 2 2 2" xfId="16855"/>
    <cellStyle name="20% - Accent1 3 2 3 2 2 2 2" xfId="27114"/>
    <cellStyle name="20% - Accent1 3 2 3 2 2 2 2 2" xfId="49359"/>
    <cellStyle name="20% - Accent1 3 2 3 2 2 2 3" xfId="24901"/>
    <cellStyle name="20% - Accent1 3 2 3 2 2 2 3 2" xfId="47146"/>
    <cellStyle name="20% - Accent1 3 2 3 2 2 2 4" xfId="40276"/>
    <cellStyle name="20% - Accent1 3 2 3 2 2 3" xfId="25479"/>
    <cellStyle name="20% - Accent1 3 2 3 2 2 3 2" xfId="27784"/>
    <cellStyle name="20% - Accent1 3 2 3 2 2 3 2 2" xfId="50029"/>
    <cellStyle name="20% - Accent1 3 2 3 2 2 3 3" xfId="47724"/>
    <cellStyle name="20% - Accent1 3 2 3 2 2 4" xfId="26441"/>
    <cellStyle name="20% - Accent1 3 2 3 2 2 4 2" xfId="48686"/>
    <cellStyle name="20% - Accent1 3 2 3 2 2 5" xfId="24237"/>
    <cellStyle name="20% - Accent1 3 2 3 2 2 5 2" xfId="46483"/>
    <cellStyle name="20% - Accent1 3 2 3 2 2 6" xfId="33644"/>
    <cellStyle name="20% - Accent1 3 2 3 2 3" xfId="13539"/>
    <cellStyle name="20% - Accent1 3 2 3 2 3 2" xfId="26782"/>
    <cellStyle name="20% - Accent1 3 2 3 2 3 2 2" xfId="49027"/>
    <cellStyle name="20% - Accent1 3 2 3 2 3 3" xfId="24569"/>
    <cellStyle name="20% - Accent1 3 2 3 2 3 3 2" xfId="46814"/>
    <cellStyle name="20% - Accent1 3 2 3 2 3 4" xfId="36960"/>
    <cellStyle name="20% - Accent1 3 2 3 2 4" xfId="25143"/>
    <cellStyle name="20% - Accent1 3 2 3 2 4 2" xfId="27448"/>
    <cellStyle name="20% - Accent1 3 2 3 2 4 2 2" xfId="49693"/>
    <cellStyle name="20% - Accent1 3 2 3 2 4 3" xfId="47388"/>
    <cellStyle name="20% - Accent1 3 2 3 2 5" xfId="26112"/>
    <cellStyle name="20% - Accent1 3 2 3 2 5 2" xfId="48357"/>
    <cellStyle name="20% - Accent1 3 2 3 2 6" xfId="23921"/>
    <cellStyle name="20% - Accent1 3 2 3 2 6 2" xfId="46167"/>
    <cellStyle name="20% - Accent1 3 2 3 2 7" xfId="30328"/>
    <cellStyle name="20% - Accent1 3 2 3 3" xfId="8485"/>
    <cellStyle name="20% - Accent1 3 2 3 3 2" xfId="15197"/>
    <cellStyle name="20% - Accent1 3 2 3 3 2 2" xfId="26948"/>
    <cellStyle name="20% - Accent1 3 2 3 3 2 2 2" xfId="49193"/>
    <cellStyle name="20% - Accent1 3 2 3 3 2 3" xfId="24735"/>
    <cellStyle name="20% - Accent1 3 2 3 3 2 3 2" xfId="46980"/>
    <cellStyle name="20% - Accent1 3 2 3 3 2 4" xfId="38618"/>
    <cellStyle name="20% - Accent1 3 2 3 3 3" xfId="25311"/>
    <cellStyle name="20% - Accent1 3 2 3 3 3 2" xfId="27616"/>
    <cellStyle name="20% - Accent1 3 2 3 3 3 2 2" xfId="49861"/>
    <cellStyle name="20% - Accent1 3 2 3 3 3 3" xfId="47556"/>
    <cellStyle name="20% - Accent1 3 2 3 3 4" xfId="26276"/>
    <cellStyle name="20% - Accent1 3 2 3 3 4 2" xfId="48521"/>
    <cellStyle name="20% - Accent1 3 2 3 3 5" xfId="24072"/>
    <cellStyle name="20% - Accent1 3 2 3 3 5 2" xfId="46318"/>
    <cellStyle name="20% - Accent1 3 2 3 3 6" xfId="31986"/>
    <cellStyle name="20% - Accent1 3 2 3 4" xfId="11879"/>
    <cellStyle name="20% - Accent1 3 2 3 4 2" xfId="26616"/>
    <cellStyle name="20% - Accent1 3 2 3 4 2 2" xfId="48861"/>
    <cellStyle name="20% - Accent1 3 2 3 4 3" xfId="24403"/>
    <cellStyle name="20% - Accent1 3 2 3 4 3 2" xfId="46648"/>
    <cellStyle name="20% - Accent1 3 2 3 4 4" xfId="35302"/>
    <cellStyle name="20% - Accent1 3 2 3 5" xfId="23416"/>
    <cellStyle name="20% - Accent1 3 2 3 5 2" xfId="27280"/>
    <cellStyle name="20% - Accent1 3 2 3 5 2 2" xfId="49525"/>
    <cellStyle name="20% - Accent1 3 2 3 5 3" xfId="45761"/>
    <cellStyle name="20% - Accent1 3 2 3 6" xfId="25674"/>
    <cellStyle name="20% - Accent1 3 2 3 6 2" xfId="47919"/>
    <cellStyle name="20% - Accent1 3 2 3 7" xfId="28670"/>
    <cellStyle name="20% - Accent1 3 2 4" xfId="6817"/>
    <cellStyle name="20% - Accent1 3 2 4 2" xfId="10149"/>
    <cellStyle name="20% - Accent1 3 2 4 2 2" xfId="16853"/>
    <cellStyle name="20% - Accent1 3 2 4 2 2 2" xfId="24983"/>
    <cellStyle name="20% - Accent1 3 2 4 2 2 2 2" xfId="27196"/>
    <cellStyle name="20% - Accent1 3 2 4 2 2 2 2 2" xfId="49441"/>
    <cellStyle name="20% - Accent1 3 2 4 2 2 2 3" xfId="47228"/>
    <cellStyle name="20% - Accent1 3 2 4 2 2 3" xfId="25563"/>
    <cellStyle name="20% - Accent1 3 2 4 2 2 3 2" xfId="27868"/>
    <cellStyle name="20% - Accent1 3 2 4 2 2 3 2 2" xfId="50113"/>
    <cellStyle name="20% - Accent1 3 2 4 2 2 3 3" xfId="47808"/>
    <cellStyle name="20% - Accent1 3 2 4 2 2 4" xfId="26522"/>
    <cellStyle name="20% - Accent1 3 2 4 2 2 4 2" xfId="48767"/>
    <cellStyle name="20% - Accent1 3 2 4 2 2 5" xfId="24318"/>
    <cellStyle name="20% - Accent1 3 2 4 2 2 5 2" xfId="46564"/>
    <cellStyle name="20% - Accent1 3 2 4 2 2 6" xfId="40274"/>
    <cellStyle name="20% - Accent1 3 2 4 2 3" xfId="24651"/>
    <cellStyle name="20% - Accent1 3 2 4 2 3 2" xfId="26864"/>
    <cellStyle name="20% - Accent1 3 2 4 2 3 2 2" xfId="49109"/>
    <cellStyle name="20% - Accent1 3 2 4 2 3 3" xfId="46896"/>
    <cellStyle name="20% - Accent1 3 2 4 2 4" xfId="25227"/>
    <cellStyle name="20% - Accent1 3 2 4 2 4 2" xfId="27532"/>
    <cellStyle name="20% - Accent1 3 2 4 2 4 2 2" xfId="49777"/>
    <cellStyle name="20% - Accent1 3 2 4 2 4 3" xfId="47472"/>
    <cellStyle name="20% - Accent1 3 2 4 2 5" xfId="26193"/>
    <cellStyle name="20% - Accent1 3 2 4 2 5 2" xfId="48438"/>
    <cellStyle name="20% - Accent1 3 2 4 2 6" xfId="24002"/>
    <cellStyle name="20% - Accent1 3 2 4 2 6 2" xfId="46248"/>
    <cellStyle name="20% - Accent1 3 2 4 2 7" xfId="33642"/>
    <cellStyle name="20% - Accent1 3 2 4 3" xfId="13537"/>
    <cellStyle name="20% - Accent1 3 2 4 3 2" xfId="24817"/>
    <cellStyle name="20% - Accent1 3 2 4 3 2 2" xfId="27030"/>
    <cellStyle name="20% - Accent1 3 2 4 3 2 2 2" xfId="49275"/>
    <cellStyle name="20% - Accent1 3 2 4 3 2 3" xfId="47062"/>
    <cellStyle name="20% - Accent1 3 2 4 3 3" xfId="25395"/>
    <cellStyle name="20% - Accent1 3 2 4 3 3 2" xfId="27700"/>
    <cellStyle name="20% - Accent1 3 2 4 3 3 2 2" xfId="49945"/>
    <cellStyle name="20% - Accent1 3 2 4 3 3 3" xfId="47640"/>
    <cellStyle name="20% - Accent1 3 2 4 3 4" xfId="26357"/>
    <cellStyle name="20% - Accent1 3 2 4 3 4 2" xfId="48602"/>
    <cellStyle name="20% - Accent1 3 2 4 3 5" xfId="24153"/>
    <cellStyle name="20% - Accent1 3 2 4 3 5 2" xfId="46399"/>
    <cellStyle name="20% - Accent1 3 2 4 3 6" xfId="36958"/>
    <cellStyle name="20% - Accent1 3 2 4 4" xfId="24485"/>
    <cellStyle name="20% - Accent1 3 2 4 4 2" xfId="26698"/>
    <cellStyle name="20% - Accent1 3 2 4 4 2 2" xfId="48943"/>
    <cellStyle name="20% - Accent1 3 2 4 4 3" xfId="46730"/>
    <cellStyle name="20% - Accent1 3 2 4 5" xfId="25059"/>
    <cellStyle name="20% - Accent1 3 2 4 5 2" xfId="27364"/>
    <cellStyle name="20% - Accent1 3 2 4 5 2 2" xfId="49609"/>
    <cellStyle name="20% - Accent1 3 2 4 5 3" xfId="47304"/>
    <cellStyle name="20% - Accent1 3 2 4 6" xfId="26040"/>
    <cellStyle name="20% - Accent1 3 2 4 6 2" xfId="48285"/>
    <cellStyle name="20% - Accent1 3 2 4 7" xfId="23849"/>
    <cellStyle name="20% - Accent1 3 2 4 7 2" xfId="46095"/>
    <cellStyle name="20% - Accent1 3 2 4 8" xfId="30326"/>
    <cellStyle name="20% - Accent1 3 2 5" xfId="8483"/>
    <cellStyle name="20% - Accent1 3 2 5 2" xfId="15195"/>
    <cellStyle name="20% - Accent1 3 2 5 2 2" xfId="24859"/>
    <cellStyle name="20% - Accent1 3 2 5 2 2 2" xfId="27072"/>
    <cellStyle name="20% - Accent1 3 2 5 2 2 2 2" xfId="49317"/>
    <cellStyle name="20% - Accent1 3 2 5 2 2 3" xfId="47104"/>
    <cellStyle name="20% - Accent1 3 2 5 2 3" xfId="25437"/>
    <cellStyle name="20% - Accent1 3 2 5 2 3 2" xfId="27742"/>
    <cellStyle name="20% - Accent1 3 2 5 2 3 2 2" xfId="49987"/>
    <cellStyle name="20% - Accent1 3 2 5 2 3 3" xfId="47682"/>
    <cellStyle name="20% - Accent1 3 2 5 2 4" xfId="26399"/>
    <cellStyle name="20% - Accent1 3 2 5 2 4 2" xfId="48644"/>
    <cellStyle name="20% - Accent1 3 2 5 2 5" xfId="24195"/>
    <cellStyle name="20% - Accent1 3 2 5 2 5 2" xfId="46441"/>
    <cellStyle name="20% - Accent1 3 2 5 2 6" xfId="38616"/>
    <cellStyle name="20% - Accent1 3 2 5 3" xfId="24527"/>
    <cellStyle name="20% - Accent1 3 2 5 3 2" xfId="26740"/>
    <cellStyle name="20% - Accent1 3 2 5 3 2 2" xfId="48985"/>
    <cellStyle name="20% - Accent1 3 2 5 3 3" xfId="46772"/>
    <cellStyle name="20% - Accent1 3 2 5 4" xfId="25101"/>
    <cellStyle name="20% - Accent1 3 2 5 4 2" xfId="27406"/>
    <cellStyle name="20% - Accent1 3 2 5 4 2 2" xfId="49651"/>
    <cellStyle name="20% - Accent1 3 2 5 4 3" xfId="47346"/>
    <cellStyle name="20% - Accent1 3 2 5 5" xfId="26074"/>
    <cellStyle name="20% - Accent1 3 2 5 5 2" xfId="48319"/>
    <cellStyle name="20% - Accent1 3 2 5 6" xfId="23883"/>
    <cellStyle name="20% - Accent1 3 2 5 6 2" xfId="46129"/>
    <cellStyle name="20% - Accent1 3 2 5 7" xfId="31984"/>
    <cellStyle name="20% - Accent1 3 2 6" xfId="11877"/>
    <cellStyle name="20% - Accent1 3 2 6 2" xfId="24693"/>
    <cellStyle name="20% - Accent1 3 2 6 2 2" xfId="26906"/>
    <cellStyle name="20% - Accent1 3 2 6 2 2 2" xfId="49151"/>
    <cellStyle name="20% - Accent1 3 2 6 2 3" xfId="46938"/>
    <cellStyle name="20% - Accent1 3 2 6 3" xfId="25269"/>
    <cellStyle name="20% - Accent1 3 2 6 3 2" xfId="27574"/>
    <cellStyle name="20% - Accent1 3 2 6 3 2 2" xfId="49819"/>
    <cellStyle name="20% - Accent1 3 2 6 3 3" xfId="47514"/>
    <cellStyle name="20% - Accent1 3 2 6 4" xfId="26234"/>
    <cellStyle name="20% - Accent1 3 2 6 4 2" xfId="48479"/>
    <cellStyle name="20% - Accent1 3 2 6 5" xfId="24032"/>
    <cellStyle name="20% - Accent1 3 2 6 5 2" xfId="46278"/>
    <cellStyle name="20% - Accent1 3 2 6 6" xfId="35300"/>
    <cellStyle name="20% - Accent1 3 2 7" xfId="23422"/>
    <cellStyle name="20% - Accent1 3 2 7 2" xfId="26574"/>
    <cellStyle name="20% - Accent1 3 2 7 2 2" xfId="48819"/>
    <cellStyle name="20% - Accent1 3 2 7 3" xfId="45767"/>
    <cellStyle name="20% - Accent1 3 2 8" xfId="25025"/>
    <cellStyle name="20% - Accent1 3 2 8 2" xfId="27238"/>
    <cellStyle name="20% - Accent1 3 2 8 2 2" xfId="49483"/>
    <cellStyle name="20% - Accent1 3 2 8 3" xfId="47270"/>
    <cellStyle name="20% - Accent1 3 2 9" xfId="25672"/>
    <cellStyle name="20% - Accent1 3 2 9 2" xfId="47917"/>
    <cellStyle name="20% - Accent1 3 3" xfId="3088"/>
    <cellStyle name="20% - Accent1 3 3 2" xfId="6820"/>
    <cellStyle name="20% - Accent1 3 3 2 2" xfId="10152"/>
    <cellStyle name="20% - Accent1 3 3 2 2 2" xfId="16856"/>
    <cellStyle name="20% - Accent1 3 3 2 2 2 2" xfId="27135"/>
    <cellStyle name="20% - Accent1 3 3 2 2 2 2 2" xfId="49380"/>
    <cellStyle name="20% - Accent1 3 3 2 2 2 3" xfId="24922"/>
    <cellStyle name="20% - Accent1 3 3 2 2 2 3 2" xfId="47167"/>
    <cellStyle name="20% - Accent1 3 3 2 2 2 4" xfId="40277"/>
    <cellStyle name="20% - Accent1 3 3 2 2 3" xfId="25500"/>
    <cellStyle name="20% - Accent1 3 3 2 2 3 2" xfId="27805"/>
    <cellStyle name="20% - Accent1 3 3 2 2 3 2 2" xfId="50050"/>
    <cellStyle name="20% - Accent1 3 3 2 2 3 3" xfId="47745"/>
    <cellStyle name="20% - Accent1 3 3 2 2 4" xfId="26461"/>
    <cellStyle name="20% - Accent1 3 3 2 2 4 2" xfId="48706"/>
    <cellStyle name="20% - Accent1 3 3 2 2 5" xfId="24257"/>
    <cellStyle name="20% - Accent1 3 3 2 2 5 2" xfId="46503"/>
    <cellStyle name="20% - Accent1 3 3 2 2 6" xfId="33645"/>
    <cellStyle name="20% - Accent1 3 3 2 3" xfId="13540"/>
    <cellStyle name="20% - Accent1 3 3 2 3 2" xfId="26803"/>
    <cellStyle name="20% - Accent1 3 3 2 3 2 2" xfId="49048"/>
    <cellStyle name="20% - Accent1 3 3 2 3 3" xfId="24590"/>
    <cellStyle name="20% - Accent1 3 3 2 3 3 2" xfId="46835"/>
    <cellStyle name="20% - Accent1 3 3 2 3 4" xfId="36961"/>
    <cellStyle name="20% - Accent1 3 3 2 4" xfId="25164"/>
    <cellStyle name="20% - Accent1 3 3 2 4 2" xfId="27469"/>
    <cellStyle name="20% - Accent1 3 3 2 4 2 2" xfId="49714"/>
    <cellStyle name="20% - Accent1 3 3 2 4 3" xfId="47409"/>
    <cellStyle name="20% - Accent1 3 3 2 5" xfId="26132"/>
    <cellStyle name="20% - Accent1 3 3 2 5 2" xfId="48377"/>
    <cellStyle name="20% - Accent1 3 3 2 6" xfId="23941"/>
    <cellStyle name="20% - Accent1 3 3 2 6 2" xfId="46187"/>
    <cellStyle name="20% - Accent1 3 3 2 7" xfId="30329"/>
    <cellStyle name="20% - Accent1 3 3 3" xfId="8486"/>
    <cellStyle name="20% - Accent1 3 3 3 2" xfId="15198"/>
    <cellStyle name="20% - Accent1 3 3 3 2 2" xfId="26969"/>
    <cellStyle name="20% - Accent1 3 3 3 2 2 2" xfId="49214"/>
    <cellStyle name="20% - Accent1 3 3 3 2 3" xfId="24756"/>
    <cellStyle name="20% - Accent1 3 3 3 2 3 2" xfId="47001"/>
    <cellStyle name="20% - Accent1 3 3 3 2 4" xfId="38619"/>
    <cellStyle name="20% - Accent1 3 3 3 3" xfId="25332"/>
    <cellStyle name="20% - Accent1 3 3 3 3 2" xfId="27637"/>
    <cellStyle name="20% - Accent1 3 3 3 3 2 2" xfId="49882"/>
    <cellStyle name="20% - Accent1 3 3 3 3 3" xfId="47577"/>
    <cellStyle name="20% - Accent1 3 3 3 4" xfId="26296"/>
    <cellStyle name="20% - Accent1 3 3 3 4 2" xfId="48541"/>
    <cellStyle name="20% - Accent1 3 3 3 5" xfId="24092"/>
    <cellStyle name="20% - Accent1 3 3 3 5 2" xfId="46338"/>
    <cellStyle name="20% - Accent1 3 3 3 6" xfId="31987"/>
    <cellStyle name="20% - Accent1 3 3 4" xfId="11880"/>
    <cellStyle name="20% - Accent1 3 3 4 2" xfId="26637"/>
    <cellStyle name="20% - Accent1 3 3 4 2 2" xfId="48882"/>
    <cellStyle name="20% - Accent1 3 3 4 3" xfId="24424"/>
    <cellStyle name="20% - Accent1 3 3 4 3 2" xfId="46669"/>
    <cellStyle name="20% - Accent1 3 3 4 4" xfId="35303"/>
    <cellStyle name="20% - Accent1 3 3 5" xfId="23420"/>
    <cellStyle name="20% - Accent1 3 3 5 2" xfId="27301"/>
    <cellStyle name="20% - Accent1 3 3 5 2 2" xfId="49546"/>
    <cellStyle name="20% - Accent1 3 3 5 3" xfId="45765"/>
    <cellStyle name="20% - Accent1 3 3 6" xfId="25675"/>
    <cellStyle name="20% - Accent1 3 3 6 2" xfId="47920"/>
    <cellStyle name="20% - Accent1 3 3 7" xfId="28671"/>
    <cellStyle name="20% - Accent1 3 4" xfId="3089"/>
    <cellStyle name="20% - Accent1 3 4 2" xfId="6821"/>
    <cellStyle name="20% - Accent1 3 4 2 2" xfId="10153"/>
    <cellStyle name="20% - Accent1 3 4 2 2 2" xfId="16857"/>
    <cellStyle name="20% - Accent1 3 4 2 2 2 2" xfId="27093"/>
    <cellStyle name="20% - Accent1 3 4 2 2 2 2 2" xfId="49338"/>
    <cellStyle name="20% - Accent1 3 4 2 2 2 3" xfId="24880"/>
    <cellStyle name="20% - Accent1 3 4 2 2 2 3 2" xfId="47125"/>
    <cellStyle name="20% - Accent1 3 4 2 2 2 4" xfId="40278"/>
    <cellStyle name="20% - Accent1 3 4 2 2 3" xfId="25458"/>
    <cellStyle name="20% - Accent1 3 4 2 2 3 2" xfId="27763"/>
    <cellStyle name="20% - Accent1 3 4 2 2 3 2 2" xfId="50008"/>
    <cellStyle name="20% - Accent1 3 4 2 2 3 3" xfId="47703"/>
    <cellStyle name="20% - Accent1 3 4 2 2 4" xfId="26420"/>
    <cellStyle name="20% - Accent1 3 4 2 2 4 2" xfId="48665"/>
    <cellStyle name="20% - Accent1 3 4 2 2 5" xfId="24216"/>
    <cellStyle name="20% - Accent1 3 4 2 2 5 2" xfId="46462"/>
    <cellStyle name="20% - Accent1 3 4 2 2 6" xfId="33646"/>
    <cellStyle name="20% - Accent1 3 4 2 3" xfId="13541"/>
    <cellStyle name="20% - Accent1 3 4 2 3 2" xfId="26761"/>
    <cellStyle name="20% - Accent1 3 4 2 3 2 2" xfId="49006"/>
    <cellStyle name="20% - Accent1 3 4 2 3 3" xfId="24548"/>
    <cellStyle name="20% - Accent1 3 4 2 3 3 2" xfId="46793"/>
    <cellStyle name="20% - Accent1 3 4 2 3 4" xfId="36962"/>
    <cellStyle name="20% - Accent1 3 4 2 4" xfId="25122"/>
    <cellStyle name="20% - Accent1 3 4 2 4 2" xfId="27427"/>
    <cellStyle name="20% - Accent1 3 4 2 4 2 2" xfId="49672"/>
    <cellStyle name="20% - Accent1 3 4 2 4 3" xfId="47367"/>
    <cellStyle name="20% - Accent1 3 4 2 5" xfId="26092"/>
    <cellStyle name="20% - Accent1 3 4 2 5 2" xfId="48337"/>
    <cellStyle name="20% - Accent1 3 4 2 6" xfId="23901"/>
    <cellStyle name="20% - Accent1 3 4 2 6 2" xfId="46147"/>
    <cellStyle name="20% - Accent1 3 4 2 7" xfId="30330"/>
    <cellStyle name="20% - Accent1 3 4 3" xfId="8487"/>
    <cellStyle name="20% - Accent1 3 4 3 2" xfId="15199"/>
    <cellStyle name="20% - Accent1 3 4 3 2 2" xfId="26927"/>
    <cellStyle name="20% - Accent1 3 4 3 2 2 2" xfId="49172"/>
    <cellStyle name="20% - Accent1 3 4 3 2 3" xfId="24714"/>
    <cellStyle name="20% - Accent1 3 4 3 2 3 2" xfId="46959"/>
    <cellStyle name="20% - Accent1 3 4 3 2 4" xfId="38620"/>
    <cellStyle name="20% - Accent1 3 4 3 3" xfId="25290"/>
    <cellStyle name="20% - Accent1 3 4 3 3 2" xfId="27595"/>
    <cellStyle name="20% - Accent1 3 4 3 3 2 2" xfId="49840"/>
    <cellStyle name="20% - Accent1 3 4 3 3 3" xfId="47535"/>
    <cellStyle name="20% - Accent1 3 4 3 4" xfId="26255"/>
    <cellStyle name="20% - Accent1 3 4 3 4 2" xfId="48500"/>
    <cellStyle name="20% - Accent1 3 4 3 5" xfId="24051"/>
    <cellStyle name="20% - Accent1 3 4 3 5 2" xfId="46297"/>
    <cellStyle name="20% - Accent1 3 4 3 6" xfId="31988"/>
    <cellStyle name="20% - Accent1 3 4 4" xfId="11881"/>
    <cellStyle name="20% - Accent1 3 4 4 2" xfId="26595"/>
    <cellStyle name="20% - Accent1 3 4 4 2 2" xfId="48840"/>
    <cellStyle name="20% - Accent1 3 4 4 3" xfId="24382"/>
    <cellStyle name="20% - Accent1 3 4 4 3 2" xfId="46627"/>
    <cellStyle name="20% - Accent1 3 4 4 4" xfId="35304"/>
    <cellStyle name="20% - Accent1 3 4 5" xfId="23419"/>
    <cellStyle name="20% - Accent1 3 4 5 2" xfId="27259"/>
    <cellStyle name="20% - Accent1 3 4 5 2 2" xfId="49504"/>
    <cellStyle name="20% - Accent1 3 4 5 3" xfId="45764"/>
    <cellStyle name="20% - Accent1 3 4 6" xfId="25676"/>
    <cellStyle name="20% - Accent1 3 4 6 2" xfId="47921"/>
    <cellStyle name="20% - Accent1 3 4 7" xfId="28672"/>
    <cellStyle name="20% - Accent1 3 5" xfId="3090"/>
    <cellStyle name="20% - Accent1 3 5 2" xfId="23981"/>
    <cellStyle name="20% - Accent1 3 5 2 2" xfId="24297"/>
    <cellStyle name="20% - Accent1 3 5 2 2 2" xfId="24962"/>
    <cellStyle name="20% - Accent1 3 5 2 2 2 2" xfId="27175"/>
    <cellStyle name="20% - Accent1 3 5 2 2 2 2 2" xfId="49420"/>
    <cellStyle name="20% - Accent1 3 5 2 2 2 3" xfId="47207"/>
    <cellStyle name="20% - Accent1 3 5 2 2 3" xfId="25542"/>
    <cellStyle name="20% - Accent1 3 5 2 2 3 2" xfId="27847"/>
    <cellStyle name="20% - Accent1 3 5 2 2 3 2 2" xfId="50092"/>
    <cellStyle name="20% - Accent1 3 5 2 2 3 3" xfId="47787"/>
    <cellStyle name="20% - Accent1 3 5 2 2 4" xfId="26501"/>
    <cellStyle name="20% - Accent1 3 5 2 2 4 2" xfId="48746"/>
    <cellStyle name="20% - Accent1 3 5 2 2 5" xfId="46543"/>
    <cellStyle name="20% - Accent1 3 5 2 3" xfId="24630"/>
    <cellStyle name="20% - Accent1 3 5 2 3 2" xfId="26843"/>
    <cellStyle name="20% - Accent1 3 5 2 3 2 2" xfId="49088"/>
    <cellStyle name="20% - Accent1 3 5 2 3 3" xfId="46875"/>
    <cellStyle name="20% - Accent1 3 5 2 4" xfId="25206"/>
    <cellStyle name="20% - Accent1 3 5 2 4 2" xfId="27511"/>
    <cellStyle name="20% - Accent1 3 5 2 4 2 2" xfId="49756"/>
    <cellStyle name="20% - Accent1 3 5 2 4 3" xfId="47451"/>
    <cellStyle name="20% - Accent1 3 5 2 5" xfId="26172"/>
    <cellStyle name="20% - Accent1 3 5 2 5 2" xfId="48417"/>
    <cellStyle name="20% - Accent1 3 5 2 6" xfId="46227"/>
    <cellStyle name="20% - Accent1 3 5 3" xfId="24132"/>
    <cellStyle name="20% - Accent1 3 5 3 2" xfId="24796"/>
    <cellStyle name="20% - Accent1 3 5 3 2 2" xfId="27009"/>
    <cellStyle name="20% - Accent1 3 5 3 2 2 2" xfId="49254"/>
    <cellStyle name="20% - Accent1 3 5 3 2 3" xfId="47041"/>
    <cellStyle name="20% - Accent1 3 5 3 3" xfId="25374"/>
    <cellStyle name="20% - Accent1 3 5 3 3 2" xfId="27679"/>
    <cellStyle name="20% - Accent1 3 5 3 3 2 2" xfId="49924"/>
    <cellStyle name="20% - Accent1 3 5 3 3 3" xfId="47619"/>
    <cellStyle name="20% - Accent1 3 5 3 4" xfId="26336"/>
    <cellStyle name="20% - Accent1 3 5 3 4 2" xfId="48581"/>
    <cellStyle name="20% - Accent1 3 5 3 5" xfId="46378"/>
    <cellStyle name="20% - Accent1 3 5 4" xfId="24464"/>
    <cellStyle name="20% - Accent1 3 5 4 2" xfId="26677"/>
    <cellStyle name="20% - Accent1 3 5 4 2 2" xfId="48922"/>
    <cellStyle name="20% - Accent1 3 5 4 3" xfId="46709"/>
    <cellStyle name="20% - Accent1 3 5 5" xfId="25046"/>
    <cellStyle name="20% - Accent1 3 5 5 2" xfId="27343"/>
    <cellStyle name="20% - Accent1 3 5 5 2 2" xfId="49588"/>
    <cellStyle name="20% - Accent1 3 5 5 3" xfId="47291"/>
    <cellStyle name="20% - Accent1 3 5 6" xfId="23836"/>
    <cellStyle name="20% - Accent1 3 5 6 2" xfId="26027"/>
    <cellStyle name="20% - Accent1 3 5 6 2 2" xfId="48272"/>
    <cellStyle name="20% - Accent1 3 5 6 3" xfId="46082"/>
    <cellStyle name="20% - Accent1 3 6" xfId="3084"/>
    <cellStyle name="20% - Accent1 3 6 2" xfId="6816"/>
    <cellStyle name="20% - Accent1 3 6 2 2" xfId="10148"/>
    <cellStyle name="20% - Accent1 3 6 2 2 2" xfId="16852"/>
    <cellStyle name="20% - Accent1 3 6 2 2 2 2" xfId="27051"/>
    <cellStyle name="20% - Accent1 3 6 2 2 2 2 2" xfId="49296"/>
    <cellStyle name="20% - Accent1 3 6 2 2 2 3" xfId="40273"/>
    <cellStyle name="20% - Accent1 3 6 2 2 3" xfId="24838"/>
    <cellStyle name="20% - Accent1 3 6 2 2 3 2" xfId="47083"/>
    <cellStyle name="20% - Accent1 3 6 2 2 4" xfId="33641"/>
    <cellStyle name="20% - Accent1 3 6 2 3" xfId="13536"/>
    <cellStyle name="20% - Accent1 3 6 2 3 2" xfId="27721"/>
    <cellStyle name="20% - Accent1 3 6 2 3 2 2" xfId="49966"/>
    <cellStyle name="20% - Accent1 3 6 2 3 3" xfId="25416"/>
    <cellStyle name="20% - Accent1 3 6 2 3 3 2" xfId="47661"/>
    <cellStyle name="20% - Accent1 3 6 2 3 4" xfId="36957"/>
    <cellStyle name="20% - Accent1 3 6 2 4" xfId="26378"/>
    <cellStyle name="20% - Accent1 3 6 2 4 2" xfId="48623"/>
    <cellStyle name="20% - Accent1 3 6 2 5" xfId="24174"/>
    <cellStyle name="20% - Accent1 3 6 2 5 2" xfId="46420"/>
    <cellStyle name="20% - Accent1 3 6 2 6" xfId="30325"/>
    <cellStyle name="20% - Accent1 3 6 3" xfId="8482"/>
    <cellStyle name="20% - Accent1 3 6 3 2" xfId="15194"/>
    <cellStyle name="20% - Accent1 3 6 3 2 2" xfId="26719"/>
    <cellStyle name="20% - Accent1 3 6 3 2 2 2" xfId="48964"/>
    <cellStyle name="20% - Accent1 3 6 3 2 3" xfId="38615"/>
    <cellStyle name="20% - Accent1 3 6 3 3" xfId="24506"/>
    <cellStyle name="20% - Accent1 3 6 3 3 2" xfId="46751"/>
    <cellStyle name="20% - Accent1 3 6 3 4" xfId="31983"/>
    <cellStyle name="20% - Accent1 3 6 4" xfId="11876"/>
    <cellStyle name="20% - Accent1 3 6 4 2" xfId="27385"/>
    <cellStyle name="20% - Accent1 3 6 4 2 2" xfId="49630"/>
    <cellStyle name="20% - Accent1 3 6 4 3" xfId="25080"/>
    <cellStyle name="20% - Accent1 3 6 4 3 2" xfId="47325"/>
    <cellStyle name="20% - Accent1 3 6 4 4" xfId="35299"/>
    <cellStyle name="20% - Accent1 3 6 5" xfId="25671"/>
    <cellStyle name="20% - Accent1 3 6 5 2" xfId="47916"/>
    <cellStyle name="20% - Accent1 3 6 6" xfId="23355"/>
    <cellStyle name="20% - Accent1 3 6 6 2" xfId="45700"/>
    <cellStyle name="20% - Accent1 3 6 7" xfId="28667"/>
    <cellStyle name="20% - Accent1 3 7" xfId="23423"/>
    <cellStyle name="20% - Accent1 3 7 2" xfId="24672"/>
    <cellStyle name="20% - Accent1 3 7 2 2" xfId="26885"/>
    <cellStyle name="20% - Accent1 3 7 2 2 2" xfId="49130"/>
    <cellStyle name="20% - Accent1 3 7 2 3" xfId="46917"/>
    <cellStyle name="20% - Accent1 3 7 3" xfId="25248"/>
    <cellStyle name="20% - Accent1 3 7 3 2" xfId="27553"/>
    <cellStyle name="20% - Accent1 3 7 3 2 2" xfId="49798"/>
    <cellStyle name="20% - Accent1 3 7 3 3" xfId="47493"/>
    <cellStyle name="20% - Accent1 3 7 4" xfId="26213"/>
    <cellStyle name="20% - Accent1 3 7 4 2" xfId="48458"/>
    <cellStyle name="20% - Accent1 3 7 5" xfId="45768"/>
    <cellStyle name="20% - Accent1 3 8" xfId="24350"/>
    <cellStyle name="20% - Accent1 3 8 2" xfId="26553"/>
    <cellStyle name="20% - Accent1 3 8 2 2" xfId="48798"/>
    <cellStyle name="20% - Accent1 3 8 3" xfId="46595"/>
    <cellStyle name="20% - Accent1 3 9" xfId="25004"/>
    <cellStyle name="20% - Accent1 3 9 2" xfId="27217"/>
    <cellStyle name="20% - Accent1 3 9 2 2" xfId="49462"/>
    <cellStyle name="20% - Accent1 3 9 3" xfId="47249"/>
    <cellStyle name="20% - Accent1 4" xfId="3082"/>
    <cellStyle name="20% - Accent1 4 2" xfId="25659"/>
    <cellStyle name="20% - Accent1 4 2 2" xfId="47904"/>
    <cellStyle name="20% - Accent1 5" xfId="7717"/>
    <cellStyle name="20% - Accent1 5 2" xfId="11046"/>
    <cellStyle name="20% - Accent1 5 2 2" xfId="17750"/>
    <cellStyle name="20% - Accent1 5 2 2 2" xfId="41171"/>
    <cellStyle name="20% - Accent1 5 2 3" xfId="34539"/>
    <cellStyle name="20% - Accent1 5 3" xfId="14434"/>
    <cellStyle name="20% - Accent1 5 3 2" xfId="37855"/>
    <cellStyle name="20% - Accent1 5 4" xfId="31223"/>
    <cellStyle name="20% - Accent1 6" xfId="9388"/>
    <cellStyle name="20% - Accent1 6 2" xfId="16092"/>
    <cellStyle name="20% - Accent1 6 2 2" xfId="39513"/>
    <cellStyle name="20% - Accent1 6 3" xfId="32881"/>
    <cellStyle name="20% - Accent1 7" xfId="12776"/>
    <cellStyle name="20% - Accent1 7 2" xfId="36197"/>
    <cellStyle name="20% - Accent1 8" xfId="23792"/>
    <cellStyle name="20% - Accent1 8 2" xfId="46058"/>
    <cellStyle name="20% - Accent1 9" xfId="29565"/>
    <cellStyle name="20% - Accent2" xfId="6045" builtinId="34" customBuiltin="1"/>
    <cellStyle name="20% - Accent2 2" xfId="189"/>
    <cellStyle name="20% - Accent2 2 2" xfId="190"/>
    <cellStyle name="20% - Accent2 3" xfId="1029"/>
    <cellStyle name="20% - Accent2 3 10" xfId="23767"/>
    <cellStyle name="20% - Accent2 3 2" xfId="3093"/>
    <cellStyle name="20% - Accent2 3 2 10" xfId="28674"/>
    <cellStyle name="20% - Accent2 3 2 2" xfId="3094"/>
    <cellStyle name="20% - Accent2 3 2 2 2" xfId="6824"/>
    <cellStyle name="20% - Accent2 3 2 2 2 2" xfId="10156"/>
    <cellStyle name="20% - Accent2 3 2 2 2 2 2" xfId="16860"/>
    <cellStyle name="20% - Accent2 3 2 2 2 2 2 2" xfId="27156"/>
    <cellStyle name="20% - Accent2 3 2 2 2 2 2 2 2" xfId="49401"/>
    <cellStyle name="20% - Accent2 3 2 2 2 2 2 3" xfId="24943"/>
    <cellStyle name="20% - Accent2 3 2 2 2 2 2 3 2" xfId="47188"/>
    <cellStyle name="20% - Accent2 3 2 2 2 2 2 4" xfId="40281"/>
    <cellStyle name="20% - Accent2 3 2 2 2 2 3" xfId="25522"/>
    <cellStyle name="20% - Accent2 3 2 2 2 2 3 2" xfId="27827"/>
    <cellStyle name="20% - Accent2 3 2 2 2 2 3 2 2" xfId="50072"/>
    <cellStyle name="20% - Accent2 3 2 2 2 2 3 3" xfId="47767"/>
    <cellStyle name="20% - Accent2 3 2 2 2 2 4" xfId="26482"/>
    <cellStyle name="20% - Accent2 3 2 2 2 2 4 2" xfId="48727"/>
    <cellStyle name="20% - Accent2 3 2 2 2 2 5" xfId="24278"/>
    <cellStyle name="20% - Accent2 3 2 2 2 2 5 2" xfId="46524"/>
    <cellStyle name="20% - Accent2 3 2 2 2 2 6" xfId="33649"/>
    <cellStyle name="20% - Accent2 3 2 2 2 3" xfId="13544"/>
    <cellStyle name="20% - Accent2 3 2 2 2 3 2" xfId="26824"/>
    <cellStyle name="20% - Accent2 3 2 2 2 3 2 2" xfId="49069"/>
    <cellStyle name="20% - Accent2 3 2 2 2 3 3" xfId="24611"/>
    <cellStyle name="20% - Accent2 3 2 2 2 3 3 2" xfId="46856"/>
    <cellStyle name="20% - Accent2 3 2 2 2 3 4" xfId="36965"/>
    <cellStyle name="20% - Accent2 3 2 2 2 4" xfId="25186"/>
    <cellStyle name="20% - Accent2 3 2 2 2 4 2" xfId="27491"/>
    <cellStyle name="20% - Accent2 3 2 2 2 4 2 2" xfId="49736"/>
    <cellStyle name="20% - Accent2 3 2 2 2 4 3" xfId="47431"/>
    <cellStyle name="20% - Accent2 3 2 2 2 5" xfId="26153"/>
    <cellStyle name="20% - Accent2 3 2 2 2 5 2" xfId="48398"/>
    <cellStyle name="20% - Accent2 3 2 2 2 6" xfId="23962"/>
    <cellStyle name="20% - Accent2 3 2 2 2 6 2" xfId="46208"/>
    <cellStyle name="20% - Accent2 3 2 2 2 7" xfId="30333"/>
    <cellStyle name="20% - Accent2 3 2 2 3" xfId="8490"/>
    <cellStyle name="20% - Accent2 3 2 2 3 2" xfId="15202"/>
    <cellStyle name="20% - Accent2 3 2 2 3 2 2" xfId="26990"/>
    <cellStyle name="20% - Accent2 3 2 2 3 2 2 2" xfId="49235"/>
    <cellStyle name="20% - Accent2 3 2 2 3 2 3" xfId="24777"/>
    <cellStyle name="20% - Accent2 3 2 2 3 2 3 2" xfId="47022"/>
    <cellStyle name="20% - Accent2 3 2 2 3 2 4" xfId="38623"/>
    <cellStyle name="20% - Accent2 3 2 2 3 3" xfId="25354"/>
    <cellStyle name="20% - Accent2 3 2 2 3 3 2" xfId="27659"/>
    <cellStyle name="20% - Accent2 3 2 2 3 3 2 2" xfId="49904"/>
    <cellStyle name="20% - Accent2 3 2 2 3 3 3" xfId="47599"/>
    <cellStyle name="20% - Accent2 3 2 2 3 4" xfId="26317"/>
    <cellStyle name="20% - Accent2 3 2 2 3 4 2" xfId="48562"/>
    <cellStyle name="20% - Accent2 3 2 2 3 5" xfId="24113"/>
    <cellStyle name="20% - Accent2 3 2 2 3 5 2" xfId="46359"/>
    <cellStyle name="20% - Accent2 3 2 2 3 6" xfId="31991"/>
    <cellStyle name="20% - Accent2 3 2 2 4" xfId="11884"/>
    <cellStyle name="20% - Accent2 3 2 2 4 2" xfId="26658"/>
    <cellStyle name="20% - Accent2 3 2 2 4 2 2" xfId="48903"/>
    <cellStyle name="20% - Accent2 3 2 2 4 3" xfId="24445"/>
    <cellStyle name="20% - Accent2 3 2 2 4 3 2" xfId="46690"/>
    <cellStyle name="20% - Accent2 3 2 2 4 4" xfId="35307"/>
    <cellStyle name="20% - Accent2 3 2 2 5" xfId="23237"/>
    <cellStyle name="20% - Accent2 3 2 2 5 2" xfId="27323"/>
    <cellStyle name="20% - Accent2 3 2 2 5 2 2" xfId="49568"/>
    <cellStyle name="20% - Accent2 3 2 2 5 3" xfId="45637"/>
    <cellStyle name="20% - Accent2 3 2 2 6" xfId="25679"/>
    <cellStyle name="20% - Accent2 3 2 2 6 2" xfId="47924"/>
    <cellStyle name="20% - Accent2 3 2 2 7" xfId="28675"/>
    <cellStyle name="20% - Accent2 3 2 3" xfId="3095"/>
    <cellStyle name="20% - Accent2 3 2 3 2" xfId="6825"/>
    <cellStyle name="20% - Accent2 3 2 3 2 2" xfId="10157"/>
    <cellStyle name="20% - Accent2 3 2 3 2 2 2" xfId="16861"/>
    <cellStyle name="20% - Accent2 3 2 3 2 2 2 2" xfId="27115"/>
    <cellStyle name="20% - Accent2 3 2 3 2 2 2 2 2" xfId="49360"/>
    <cellStyle name="20% - Accent2 3 2 3 2 2 2 3" xfId="24902"/>
    <cellStyle name="20% - Accent2 3 2 3 2 2 2 3 2" xfId="47147"/>
    <cellStyle name="20% - Accent2 3 2 3 2 2 2 4" xfId="40282"/>
    <cellStyle name="20% - Accent2 3 2 3 2 2 3" xfId="25480"/>
    <cellStyle name="20% - Accent2 3 2 3 2 2 3 2" xfId="27785"/>
    <cellStyle name="20% - Accent2 3 2 3 2 2 3 2 2" xfId="50030"/>
    <cellStyle name="20% - Accent2 3 2 3 2 2 3 3" xfId="47725"/>
    <cellStyle name="20% - Accent2 3 2 3 2 2 4" xfId="26442"/>
    <cellStyle name="20% - Accent2 3 2 3 2 2 4 2" xfId="48687"/>
    <cellStyle name="20% - Accent2 3 2 3 2 2 5" xfId="24238"/>
    <cellStyle name="20% - Accent2 3 2 3 2 2 5 2" xfId="46484"/>
    <cellStyle name="20% - Accent2 3 2 3 2 2 6" xfId="33650"/>
    <cellStyle name="20% - Accent2 3 2 3 2 3" xfId="13545"/>
    <cellStyle name="20% - Accent2 3 2 3 2 3 2" xfId="26783"/>
    <cellStyle name="20% - Accent2 3 2 3 2 3 2 2" xfId="49028"/>
    <cellStyle name="20% - Accent2 3 2 3 2 3 3" xfId="24570"/>
    <cellStyle name="20% - Accent2 3 2 3 2 3 3 2" xfId="46815"/>
    <cellStyle name="20% - Accent2 3 2 3 2 3 4" xfId="36966"/>
    <cellStyle name="20% - Accent2 3 2 3 2 4" xfId="25144"/>
    <cellStyle name="20% - Accent2 3 2 3 2 4 2" xfId="27449"/>
    <cellStyle name="20% - Accent2 3 2 3 2 4 2 2" xfId="49694"/>
    <cellStyle name="20% - Accent2 3 2 3 2 4 3" xfId="47389"/>
    <cellStyle name="20% - Accent2 3 2 3 2 5" xfId="26113"/>
    <cellStyle name="20% - Accent2 3 2 3 2 5 2" xfId="48358"/>
    <cellStyle name="20% - Accent2 3 2 3 2 6" xfId="23922"/>
    <cellStyle name="20% - Accent2 3 2 3 2 6 2" xfId="46168"/>
    <cellStyle name="20% - Accent2 3 2 3 2 7" xfId="30334"/>
    <cellStyle name="20% - Accent2 3 2 3 3" xfId="8491"/>
    <cellStyle name="20% - Accent2 3 2 3 3 2" xfId="15203"/>
    <cellStyle name="20% - Accent2 3 2 3 3 2 2" xfId="26949"/>
    <cellStyle name="20% - Accent2 3 2 3 3 2 2 2" xfId="49194"/>
    <cellStyle name="20% - Accent2 3 2 3 3 2 3" xfId="24736"/>
    <cellStyle name="20% - Accent2 3 2 3 3 2 3 2" xfId="46981"/>
    <cellStyle name="20% - Accent2 3 2 3 3 2 4" xfId="38624"/>
    <cellStyle name="20% - Accent2 3 2 3 3 3" xfId="25312"/>
    <cellStyle name="20% - Accent2 3 2 3 3 3 2" xfId="27617"/>
    <cellStyle name="20% - Accent2 3 2 3 3 3 2 2" xfId="49862"/>
    <cellStyle name="20% - Accent2 3 2 3 3 3 3" xfId="47557"/>
    <cellStyle name="20% - Accent2 3 2 3 3 4" xfId="26277"/>
    <cellStyle name="20% - Accent2 3 2 3 3 4 2" xfId="48522"/>
    <cellStyle name="20% - Accent2 3 2 3 3 5" xfId="24073"/>
    <cellStyle name="20% - Accent2 3 2 3 3 5 2" xfId="46319"/>
    <cellStyle name="20% - Accent2 3 2 3 3 6" xfId="31992"/>
    <cellStyle name="20% - Accent2 3 2 3 4" xfId="11885"/>
    <cellStyle name="20% - Accent2 3 2 3 4 2" xfId="26617"/>
    <cellStyle name="20% - Accent2 3 2 3 4 2 2" xfId="48862"/>
    <cellStyle name="20% - Accent2 3 2 3 4 3" xfId="24404"/>
    <cellStyle name="20% - Accent2 3 2 3 4 3 2" xfId="46649"/>
    <cellStyle name="20% - Accent2 3 2 3 4 4" xfId="35308"/>
    <cellStyle name="20% - Accent2 3 2 3 5" xfId="23415"/>
    <cellStyle name="20% - Accent2 3 2 3 5 2" xfId="27281"/>
    <cellStyle name="20% - Accent2 3 2 3 5 2 2" xfId="49526"/>
    <cellStyle name="20% - Accent2 3 2 3 5 3" xfId="45760"/>
    <cellStyle name="20% - Accent2 3 2 3 6" xfId="25680"/>
    <cellStyle name="20% - Accent2 3 2 3 6 2" xfId="47925"/>
    <cellStyle name="20% - Accent2 3 2 3 7" xfId="28676"/>
    <cellStyle name="20% - Accent2 3 2 4" xfId="6823"/>
    <cellStyle name="20% - Accent2 3 2 4 2" xfId="10155"/>
    <cellStyle name="20% - Accent2 3 2 4 2 2" xfId="16859"/>
    <cellStyle name="20% - Accent2 3 2 4 2 2 2" xfId="24984"/>
    <cellStyle name="20% - Accent2 3 2 4 2 2 2 2" xfId="27197"/>
    <cellStyle name="20% - Accent2 3 2 4 2 2 2 2 2" xfId="49442"/>
    <cellStyle name="20% - Accent2 3 2 4 2 2 2 3" xfId="47229"/>
    <cellStyle name="20% - Accent2 3 2 4 2 2 3" xfId="25564"/>
    <cellStyle name="20% - Accent2 3 2 4 2 2 3 2" xfId="27869"/>
    <cellStyle name="20% - Accent2 3 2 4 2 2 3 2 2" xfId="50114"/>
    <cellStyle name="20% - Accent2 3 2 4 2 2 3 3" xfId="47809"/>
    <cellStyle name="20% - Accent2 3 2 4 2 2 4" xfId="26523"/>
    <cellStyle name="20% - Accent2 3 2 4 2 2 4 2" xfId="48768"/>
    <cellStyle name="20% - Accent2 3 2 4 2 2 5" xfId="24319"/>
    <cellStyle name="20% - Accent2 3 2 4 2 2 5 2" xfId="46565"/>
    <cellStyle name="20% - Accent2 3 2 4 2 2 6" xfId="40280"/>
    <cellStyle name="20% - Accent2 3 2 4 2 3" xfId="24652"/>
    <cellStyle name="20% - Accent2 3 2 4 2 3 2" xfId="26865"/>
    <cellStyle name="20% - Accent2 3 2 4 2 3 2 2" xfId="49110"/>
    <cellStyle name="20% - Accent2 3 2 4 2 3 3" xfId="46897"/>
    <cellStyle name="20% - Accent2 3 2 4 2 4" xfId="25228"/>
    <cellStyle name="20% - Accent2 3 2 4 2 4 2" xfId="27533"/>
    <cellStyle name="20% - Accent2 3 2 4 2 4 2 2" xfId="49778"/>
    <cellStyle name="20% - Accent2 3 2 4 2 4 3" xfId="47473"/>
    <cellStyle name="20% - Accent2 3 2 4 2 5" xfId="26194"/>
    <cellStyle name="20% - Accent2 3 2 4 2 5 2" xfId="48439"/>
    <cellStyle name="20% - Accent2 3 2 4 2 6" xfId="24003"/>
    <cellStyle name="20% - Accent2 3 2 4 2 6 2" xfId="46249"/>
    <cellStyle name="20% - Accent2 3 2 4 2 7" xfId="33648"/>
    <cellStyle name="20% - Accent2 3 2 4 3" xfId="13543"/>
    <cellStyle name="20% - Accent2 3 2 4 3 2" xfId="24818"/>
    <cellStyle name="20% - Accent2 3 2 4 3 2 2" xfId="27031"/>
    <cellStyle name="20% - Accent2 3 2 4 3 2 2 2" xfId="49276"/>
    <cellStyle name="20% - Accent2 3 2 4 3 2 3" xfId="47063"/>
    <cellStyle name="20% - Accent2 3 2 4 3 3" xfId="25396"/>
    <cellStyle name="20% - Accent2 3 2 4 3 3 2" xfId="27701"/>
    <cellStyle name="20% - Accent2 3 2 4 3 3 2 2" xfId="49946"/>
    <cellStyle name="20% - Accent2 3 2 4 3 3 3" xfId="47641"/>
    <cellStyle name="20% - Accent2 3 2 4 3 4" xfId="26358"/>
    <cellStyle name="20% - Accent2 3 2 4 3 4 2" xfId="48603"/>
    <cellStyle name="20% - Accent2 3 2 4 3 5" xfId="24154"/>
    <cellStyle name="20% - Accent2 3 2 4 3 5 2" xfId="46400"/>
    <cellStyle name="20% - Accent2 3 2 4 3 6" xfId="36964"/>
    <cellStyle name="20% - Accent2 3 2 4 4" xfId="24486"/>
    <cellStyle name="20% - Accent2 3 2 4 4 2" xfId="26699"/>
    <cellStyle name="20% - Accent2 3 2 4 4 2 2" xfId="48944"/>
    <cellStyle name="20% - Accent2 3 2 4 4 3" xfId="46731"/>
    <cellStyle name="20% - Accent2 3 2 4 5" xfId="25060"/>
    <cellStyle name="20% - Accent2 3 2 4 5 2" xfId="27365"/>
    <cellStyle name="20% - Accent2 3 2 4 5 2 2" xfId="49610"/>
    <cellStyle name="20% - Accent2 3 2 4 5 3" xfId="47305"/>
    <cellStyle name="20% - Accent2 3 2 4 6" xfId="26041"/>
    <cellStyle name="20% - Accent2 3 2 4 6 2" xfId="48286"/>
    <cellStyle name="20% - Accent2 3 2 4 7" xfId="23850"/>
    <cellStyle name="20% - Accent2 3 2 4 7 2" xfId="46096"/>
    <cellStyle name="20% - Accent2 3 2 4 8" xfId="30332"/>
    <cellStyle name="20% - Accent2 3 2 5" xfId="8489"/>
    <cellStyle name="20% - Accent2 3 2 5 2" xfId="15201"/>
    <cellStyle name="20% - Accent2 3 2 5 2 2" xfId="24860"/>
    <cellStyle name="20% - Accent2 3 2 5 2 2 2" xfId="27073"/>
    <cellStyle name="20% - Accent2 3 2 5 2 2 2 2" xfId="49318"/>
    <cellStyle name="20% - Accent2 3 2 5 2 2 3" xfId="47105"/>
    <cellStyle name="20% - Accent2 3 2 5 2 3" xfId="25438"/>
    <cellStyle name="20% - Accent2 3 2 5 2 3 2" xfId="27743"/>
    <cellStyle name="20% - Accent2 3 2 5 2 3 2 2" xfId="49988"/>
    <cellStyle name="20% - Accent2 3 2 5 2 3 3" xfId="47683"/>
    <cellStyle name="20% - Accent2 3 2 5 2 4" xfId="26400"/>
    <cellStyle name="20% - Accent2 3 2 5 2 4 2" xfId="48645"/>
    <cellStyle name="20% - Accent2 3 2 5 2 5" xfId="24196"/>
    <cellStyle name="20% - Accent2 3 2 5 2 5 2" xfId="46442"/>
    <cellStyle name="20% - Accent2 3 2 5 2 6" xfId="38622"/>
    <cellStyle name="20% - Accent2 3 2 5 3" xfId="24528"/>
    <cellStyle name="20% - Accent2 3 2 5 3 2" xfId="26741"/>
    <cellStyle name="20% - Accent2 3 2 5 3 2 2" xfId="48986"/>
    <cellStyle name="20% - Accent2 3 2 5 3 3" xfId="46773"/>
    <cellStyle name="20% - Accent2 3 2 5 4" xfId="25102"/>
    <cellStyle name="20% - Accent2 3 2 5 4 2" xfId="27407"/>
    <cellStyle name="20% - Accent2 3 2 5 4 2 2" xfId="49652"/>
    <cellStyle name="20% - Accent2 3 2 5 4 3" xfId="47347"/>
    <cellStyle name="20% - Accent2 3 2 5 5" xfId="26075"/>
    <cellStyle name="20% - Accent2 3 2 5 5 2" xfId="48320"/>
    <cellStyle name="20% - Accent2 3 2 5 6" xfId="23884"/>
    <cellStyle name="20% - Accent2 3 2 5 6 2" xfId="46130"/>
    <cellStyle name="20% - Accent2 3 2 5 7" xfId="31990"/>
    <cellStyle name="20% - Accent2 3 2 6" xfId="11883"/>
    <cellStyle name="20% - Accent2 3 2 6 2" xfId="24694"/>
    <cellStyle name="20% - Accent2 3 2 6 2 2" xfId="26907"/>
    <cellStyle name="20% - Accent2 3 2 6 2 2 2" xfId="49152"/>
    <cellStyle name="20% - Accent2 3 2 6 2 3" xfId="46939"/>
    <cellStyle name="20% - Accent2 3 2 6 3" xfId="25270"/>
    <cellStyle name="20% - Accent2 3 2 6 3 2" xfId="27575"/>
    <cellStyle name="20% - Accent2 3 2 6 3 2 2" xfId="49820"/>
    <cellStyle name="20% - Accent2 3 2 6 3 3" xfId="47515"/>
    <cellStyle name="20% - Accent2 3 2 6 4" xfId="26235"/>
    <cellStyle name="20% - Accent2 3 2 6 4 2" xfId="48480"/>
    <cellStyle name="20% - Accent2 3 2 6 5" xfId="24033"/>
    <cellStyle name="20% - Accent2 3 2 6 5 2" xfId="46279"/>
    <cellStyle name="20% - Accent2 3 2 6 6" xfId="35306"/>
    <cellStyle name="20% - Accent2 3 2 7" xfId="23417"/>
    <cellStyle name="20% - Accent2 3 2 7 2" xfId="26575"/>
    <cellStyle name="20% - Accent2 3 2 7 2 2" xfId="48820"/>
    <cellStyle name="20% - Accent2 3 2 7 3" xfId="45762"/>
    <cellStyle name="20% - Accent2 3 2 8" xfId="25026"/>
    <cellStyle name="20% - Accent2 3 2 8 2" xfId="27239"/>
    <cellStyle name="20% - Accent2 3 2 8 2 2" xfId="49484"/>
    <cellStyle name="20% - Accent2 3 2 8 3" xfId="47271"/>
    <cellStyle name="20% - Accent2 3 2 9" xfId="25678"/>
    <cellStyle name="20% - Accent2 3 2 9 2" xfId="47923"/>
    <cellStyle name="20% - Accent2 3 3" xfId="3096"/>
    <cellStyle name="20% - Accent2 3 3 2" xfId="6826"/>
    <cellStyle name="20% - Accent2 3 3 2 2" xfId="10158"/>
    <cellStyle name="20% - Accent2 3 3 2 2 2" xfId="16862"/>
    <cellStyle name="20% - Accent2 3 3 2 2 2 2" xfId="27136"/>
    <cellStyle name="20% - Accent2 3 3 2 2 2 2 2" xfId="49381"/>
    <cellStyle name="20% - Accent2 3 3 2 2 2 3" xfId="24923"/>
    <cellStyle name="20% - Accent2 3 3 2 2 2 3 2" xfId="47168"/>
    <cellStyle name="20% - Accent2 3 3 2 2 2 4" xfId="40283"/>
    <cellStyle name="20% - Accent2 3 3 2 2 3" xfId="25501"/>
    <cellStyle name="20% - Accent2 3 3 2 2 3 2" xfId="27806"/>
    <cellStyle name="20% - Accent2 3 3 2 2 3 2 2" xfId="50051"/>
    <cellStyle name="20% - Accent2 3 3 2 2 3 3" xfId="47746"/>
    <cellStyle name="20% - Accent2 3 3 2 2 4" xfId="26462"/>
    <cellStyle name="20% - Accent2 3 3 2 2 4 2" xfId="48707"/>
    <cellStyle name="20% - Accent2 3 3 2 2 5" xfId="24258"/>
    <cellStyle name="20% - Accent2 3 3 2 2 5 2" xfId="46504"/>
    <cellStyle name="20% - Accent2 3 3 2 2 6" xfId="33651"/>
    <cellStyle name="20% - Accent2 3 3 2 3" xfId="13546"/>
    <cellStyle name="20% - Accent2 3 3 2 3 2" xfId="26804"/>
    <cellStyle name="20% - Accent2 3 3 2 3 2 2" xfId="49049"/>
    <cellStyle name="20% - Accent2 3 3 2 3 3" xfId="24591"/>
    <cellStyle name="20% - Accent2 3 3 2 3 3 2" xfId="46836"/>
    <cellStyle name="20% - Accent2 3 3 2 3 4" xfId="36967"/>
    <cellStyle name="20% - Accent2 3 3 2 4" xfId="25165"/>
    <cellStyle name="20% - Accent2 3 3 2 4 2" xfId="27470"/>
    <cellStyle name="20% - Accent2 3 3 2 4 2 2" xfId="49715"/>
    <cellStyle name="20% - Accent2 3 3 2 4 3" xfId="47410"/>
    <cellStyle name="20% - Accent2 3 3 2 5" xfId="26133"/>
    <cellStyle name="20% - Accent2 3 3 2 5 2" xfId="48378"/>
    <cellStyle name="20% - Accent2 3 3 2 6" xfId="23942"/>
    <cellStyle name="20% - Accent2 3 3 2 6 2" xfId="46188"/>
    <cellStyle name="20% - Accent2 3 3 2 7" xfId="30335"/>
    <cellStyle name="20% - Accent2 3 3 3" xfId="8492"/>
    <cellStyle name="20% - Accent2 3 3 3 2" xfId="15204"/>
    <cellStyle name="20% - Accent2 3 3 3 2 2" xfId="26970"/>
    <cellStyle name="20% - Accent2 3 3 3 2 2 2" xfId="49215"/>
    <cellStyle name="20% - Accent2 3 3 3 2 3" xfId="24757"/>
    <cellStyle name="20% - Accent2 3 3 3 2 3 2" xfId="47002"/>
    <cellStyle name="20% - Accent2 3 3 3 2 4" xfId="38625"/>
    <cellStyle name="20% - Accent2 3 3 3 3" xfId="25333"/>
    <cellStyle name="20% - Accent2 3 3 3 3 2" xfId="27638"/>
    <cellStyle name="20% - Accent2 3 3 3 3 2 2" xfId="49883"/>
    <cellStyle name="20% - Accent2 3 3 3 3 3" xfId="47578"/>
    <cellStyle name="20% - Accent2 3 3 3 4" xfId="26297"/>
    <cellStyle name="20% - Accent2 3 3 3 4 2" xfId="48542"/>
    <cellStyle name="20% - Accent2 3 3 3 5" xfId="24093"/>
    <cellStyle name="20% - Accent2 3 3 3 5 2" xfId="46339"/>
    <cellStyle name="20% - Accent2 3 3 3 6" xfId="31993"/>
    <cellStyle name="20% - Accent2 3 3 4" xfId="11886"/>
    <cellStyle name="20% - Accent2 3 3 4 2" xfId="26638"/>
    <cellStyle name="20% - Accent2 3 3 4 2 2" xfId="48883"/>
    <cellStyle name="20% - Accent2 3 3 4 3" xfId="24425"/>
    <cellStyle name="20% - Accent2 3 3 4 3 2" xfId="46670"/>
    <cellStyle name="20% - Accent2 3 3 4 4" xfId="35309"/>
    <cellStyle name="20% - Accent2 3 3 5" xfId="23414"/>
    <cellStyle name="20% - Accent2 3 3 5 2" xfId="27302"/>
    <cellStyle name="20% - Accent2 3 3 5 2 2" xfId="49547"/>
    <cellStyle name="20% - Accent2 3 3 5 3" xfId="45759"/>
    <cellStyle name="20% - Accent2 3 3 6" xfId="25681"/>
    <cellStyle name="20% - Accent2 3 3 6 2" xfId="47926"/>
    <cellStyle name="20% - Accent2 3 3 7" xfId="28677"/>
    <cellStyle name="20% - Accent2 3 4" xfId="3097"/>
    <cellStyle name="20% - Accent2 3 4 2" xfId="6827"/>
    <cellStyle name="20% - Accent2 3 4 2 2" xfId="10159"/>
    <cellStyle name="20% - Accent2 3 4 2 2 2" xfId="16863"/>
    <cellStyle name="20% - Accent2 3 4 2 2 2 2" xfId="27094"/>
    <cellStyle name="20% - Accent2 3 4 2 2 2 2 2" xfId="49339"/>
    <cellStyle name="20% - Accent2 3 4 2 2 2 3" xfId="24881"/>
    <cellStyle name="20% - Accent2 3 4 2 2 2 3 2" xfId="47126"/>
    <cellStyle name="20% - Accent2 3 4 2 2 2 4" xfId="40284"/>
    <cellStyle name="20% - Accent2 3 4 2 2 3" xfId="25459"/>
    <cellStyle name="20% - Accent2 3 4 2 2 3 2" xfId="27764"/>
    <cellStyle name="20% - Accent2 3 4 2 2 3 2 2" xfId="50009"/>
    <cellStyle name="20% - Accent2 3 4 2 2 3 3" xfId="47704"/>
    <cellStyle name="20% - Accent2 3 4 2 2 4" xfId="26421"/>
    <cellStyle name="20% - Accent2 3 4 2 2 4 2" xfId="48666"/>
    <cellStyle name="20% - Accent2 3 4 2 2 5" xfId="24217"/>
    <cellStyle name="20% - Accent2 3 4 2 2 5 2" xfId="46463"/>
    <cellStyle name="20% - Accent2 3 4 2 2 6" xfId="33652"/>
    <cellStyle name="20% - Accent2 3 4 2 3" xfId="13547"/>
    <cellStyle name="20% - Accent2 3 4 2 3 2" xfId="26762"/>
    <cellStyle name="20% - Accent2 3 4 2 3 2 2" xfId="49007"/>
    <cellStyle name="20% - Accent2 3 4 2 3 3" xfId="24549"/>
    <cellStyle name="20% - Accent2 3 4 2 3 3 2" xfId="46794"/>
    <cellStyle name="20% - Accent2 3 4 2 3 4" xfId="36968"/>
    <cellStyle name="20% - Accent2 3 4 2 4" xfId="25123"/>
    <cellStyle name="20% - Accent2 3 4 2 4 2" xfId="27428"/>
    <cellStyle name="20% - Accent2 3 4 2 4 2 2" xfId="49673"/>
    <cellStyle name="20% - Accent2 3 4 2 4 3" xfId="47368"/>
    <cellStyle name="20% - Accent2 3 4 2 5" xfId="26093"/>
    <cellStyle name="20% - Accent2 3 4 2 5 2" xfId="48338"/>
    <cellStyle name="20% - Accent2 3 4 2 6" xfId="23902"/>
    <cellStyle name="20% - Accent2 3 4 2 6 2" xfId="46148"/>
    <cellStyle name="20% - Accent2 3 4 2 7" xfId="30336"/>
    <cellStyle name="20% - Accent2 3 4 3" xfId="8493"/>
    <cellStyle name="20% - Accent2 3 4 3 2" xfId="15205"/>
    <cellStyle name="20% - Accent2 3 4 3 2 2" xfId="26928"/>
    <cellStyle name="20% - Accent2 3 4 3 2 2 2" xfId="49173"/>
    <cellStyle name="20% - Accent2 3 4 3 2 3" xfId="24715"/>
    <cellStyle name="20% - Accent2 3 4 3 2 3 2" xfId="46960"/>
    <cellStyle name="20% - Accent2 3 4 3 2 4" xfId="38626"/>
    <cellStyle name="20% - Accent2 3 4 3 3" xfId="25291"/>
    <cellStyle name="20% - Accent2 3 4 3 3 2" xfId="27596"/>
    <cellStyle name="20% - Accent2 3 4 3 3 2 2" xfId="49841"/>
    <cellStyle name="20% - Accent2 3 4 3 3 3" xfId="47536"/>
    <cellStyle name="20% - Accent2 3 4 3 4" xfId="26256"/>
    <cellStyle name="20% - Accent2 3 4 3 4 2" xfId="48501"/>
    <cellStyle name="20% - Accent2 3 4 3 5" xfId="24052"/>
    <cellStyle name="20% - Accent2 3 4 3 5 2" xfId="46298"/>
    <cellStyle name="20% - Accent2 3 4 3 6" xfId="31994"/>
    <cellStyle name="20% - Accent2 3 4 4" xfId="11887"/>
    <cellStyle name="20% - Accent2 3 4 4 2" xfId="26596"/>
    <cellStyle name="20% - Accent2 3 4 4 2 2" xfId="48841"/>
    <cellStyle name="20% - Accent2 3 4 4 3" xfId="24383"/>
    <cellStyle name="20% - Accent2 3 4 4 3 2" xfId="46628"/>
    <cellStyle name="20% - Accent2 3 4 4 4" xfId="35310"/>
    <cellStyle name="20% - Accent2 3 4 5" xfId="23413"/>
    <cellStyle name="20% - Accent2 3 4 5 2" xfId="27260"/>
    <cellStyle name="20% - Accent2 3 4 5 2 2" xfId="49505"/>
    <cellStyle name="20% - Accent2 3 4 5 3" xfId="45758"/>
    <cellStyle name="20% - Accent2 3 4 6" xfId="25682"/>
    <cellStyle name="20% - Accent2 3 4 6 2" xfId="47927"/>
    <cellStyle name="20% - Accent2 3 4 7" xfId="28678"/>
    <cellStyle name="20% - Accent2 3 5" xfId="3098"/>
    <cellStyle name="20% - Accent2 3 5 2" xfId="23982"/>
    <cellStyle name="20% - Accent2 3 5 2 2" xfId="24298"/>
    <cellStyle name="20% - Accent2 3 5 2 2 2" xfId="24963"/>
    <cellStyle name="20% - Accent2 3 5 2 2 2 2" xfId="27176"/>
    <cellStyle name="20% - Accent2 3 5 2 2 2 2 2" xfId="49421"/>
    <cellStyle name="20% - Accent2 3 5 2 2 2 3" xfId="47208"/>
    <cellStyle name="20% - Accent2 3 5 2 2 3" xfId="25543"/>
    <cellStyle name="20% - Accent2 3 5 2 2 3 2" xfId="27848"/>
    <cellStyle name="20% - Accent2 3 5 2 2 3 2 2" xfId="50093"/>
    <cellStyle name="20% - Accent2 3 5 2 2 3 3" xfId="47788"/>
    <cellStyle name="20% - Accent2 3 5 2 2 4" xfId="26502"/>
    <cellStyle name="20% - Accent2 3 5 2 2 4 2" xfId="48747"/>
    <cellStyle name="20% - Accent2 3 5 2 2 5" xfId="46544"/>
    <cellStyle name="20% - Accent2 3 5 2 3" xfId="24631"/>
    <cellStyle name="20% - Accent2 3 5 2 3 2" xfId="26844"/>
    <cellStyle name="20% - Accent2 3 5 2 3 2 2" xfId="49089"/>
    <cellStyle name="20% - Accent2 3 5 2 3 3" xfId="46876"/>
    <cellStyle name="20% - Accent2 3 5 2 4" xfId="25207"/>
    <cellStyle name="20% - Accent2 3 5 2 4 2" xfId="27512"/>
    <cellStyle name="20% - Accent2 3 5 2 4 2 2" xfId="49757"/>
    <cellStyle name="20% - Accent2 3 5 2 4 3" xfId="47452"/>
    <cellStyle name="20% - Accent2 3 5 2 5" xfId="26173"/>
    <cellStyle name="20% - Accent2 3 5 2 5 2" xfId="48418"/>
    <cellStyle name="20% - Accent2 3 5 2 6" xfId="46228"/>
    <cellStyle name="20% - Accent2 3 5 3" xfId="24133"/>
    <cellStyle name="20% - Accent2 3 5 3 2" xfId="24797"/>
    <cellStyle name="20% - Accent2 3 5 3 2 2" xfId="27010"/>
    <cellStyle name="20% - Accent2 3 5 3 2 2 2" xfId="49255"/>
    <cellStyle name="20% - Accent2 3 5 3 2 3" xfId="47042"/>
    <cellStyle name="20% - Accent2 3 5 3 3" xfId="25375"/>
    <cellStyle name="20% - Accent2 3 5 3 3 2" xfId="27680"/>
    <cellStyle name="20% - Accent2 3 5 3 3 2 2" xfId="49925"/>
    <cellStyle name="20% - Accent2 3 5 3 3 3" xfId="47620"/>
    <cellStyle name="20% - Accent2 3 5 3 4" xfId="26337"/>
    <cellStyle name="20% - Accent2 3 5 3 4 2" xfId="48582"/>
    <cellStyle name="20% - Accent2 3 5 3 5" xfId="46379"/>
    <cellStyle name="20% - Accent2 3 5 4" xfId="24465"/>
    <cellStyle name="20% - Accent2 3 5 4 2" xfId="26678"/>
    <cellStyle name="20% - Accent2 3 5 4 2 2" xfId="48923"/>
    <cellStyle name="20% - Accent2 3 5 4 3" xfId="46710"/>
    <cellStyle name="20% - Accent2 3 5 5" xfId="25047"/>
    <cellStyle name="20% - Accent2 3 5 5 2" xfId="27344"/>
    <cellStyle name="20% - Accent2 3 5 5 2 2" xfId="49589"/>
    <cellStyle name="20% - Accent2 3 5 5 3" xfId="47292"/>
    <cellStyle name="20% - Accent2 3 5 6" xfId="23837"/>
    <cellStyle name="20% - Accent2 3 5 6 2" xfId="26028"/>
    <cellStyle name="20% - Accent2 3 5 6 2 2" xfId="48273"/>
    <cellStyle name="20% - Accent2 3 5 6 3" xfId="46083"/>
    <cellStyle name="20% - Accent2 3 6" xfId="3092"/>
    <cellStyle name="20% - Accent2 3 6 2" xfId="6822"/>
    <cellStyle name="20% - Accent2 3 6 2 2" xfId="10154"/>
    <cellStyle name="20% - Accent2 3 6 2 2 2" xfId="16858"/>
    <cellStyle name="20% - Accent2 3 6 2 2 2 2" xfId="27052"/>
    <cellStyle name="20% - Accent2 3 6 2 2 2 2 2" xfId="49297"/>
    <cellStyle name="20% - Accent2 3 6 2 2 2 3" xfId="40279"/>
    <cellStyle name="20% - Accent2 3 6 2 2 3" xfId="24839"/>
    <cellStyle name="20% - Accent2 3 6 2 2 3 2" xfId="47084"/>
    <cellStyle name="20% - Accent2 3 6 2 2 4" xfId="33647"/>
    <cellStyle name="20% - Accent2 3 6 2 3" xfId="13542"/>
    <cellStyle name="20% - Accent2 3 6 2 3 2" xfId="27722"/>
    <cellStyle name="20% - Accent2 3 6 2 3 2 2" xfId="49967"/>
    <cellStyle name="20% - Accent2 3 6 2 3 3" xfId="25417"/>
    <cellStyle name="20% - Accent2 3 6 2 3 3 2" xfId="47662"/>
    <cellStyle name="20% - Accent2 3 6 2 3 4" xfId="36963"/>
    <cellStyle name="20% - Accent2 3 6 2 4" xfId="26379"/>
    <cellStyle name="20% - Accent2 3 6 2 4 2" xfId="48624"/>
    <cellStyle name="20% - Accent2 3 6 2 5" xfId="24175"/>
    <cellStyle name="20% - Accent2 3 6 2 5 2" xfId="46421"/>
    <cellStyle name="20% - Accent2 3 6 2 6" xfId="30331"/>
    <cellStyle name="20% - Accent2 3 6 3" xfId="8488"/>
    <cellStyle name="20% - Accent2 3 6 3 2" xfId="15200"/>
    <cellStyle name="20% - Accent2 3 6 3 2 2" xfId="26720"/>
    <cellStyle name="20% - Accent2 3 6 3 2 2 2" xfId="48965"/>
    <cellStyle name="20% - Accent2 3 6 3 2 3" xfId="38621"/>
    <cellStyle name="20% - Accent2 3 6 3 3" xfId="24507"/>
    <cellStyle name="20% - Accent2 3 6 3 3 2" xfId="46752"/>
    <cellStyle name="20% - Accent2 3 6 3 4" xfId="31989"/>
    <cellStyle name="20% - Accent2 3 6 4" xfId="11882"/>
    <cellStyle name="20% - Accent2 3 6 4 2" xfId="27386"/>
    <cellStyle name="20% - Accent2 3 6 4 2 2" xfId="49631"/>
    <cellStyle name="20% - Accent2 3 6 4 3" xfId="25081"/>
    <cellStyle name="20% - Accent2 3 6 4 3 2" xfId="47326"/>
    <cellStyle name="20% - Accent2 3 6 4 4" xfId="35305"/>
    <cellStyle name="20% - Accent2 3 6 5" xfId="25677"/>
    <cellStyle name="20% - Accent2 3 6 5 2" xfId="47922"/>
    <cellStyle name="20% - Accent2 3 6 6" xfId="23356"/>
    <cellStyle name="20% - Accent2 3 6 6 2" xfId="45701"/>
    <cellStyle name="20% - Accent2 3 6 7" xfId="28673"/>
    <cellStyle name="20% - Accent2 3 7" xfId="23418"/>
    <cellStyle name="20% - Accent2 3 7 2" xfId="24673"/>
    <cellStyle name="20% - Accent2 3 7 2 2" xfId="26886"/>
    <cellStyle name="20% - Accent2 3 7 2 2 2" xfId="49131"/>
    <cellStyle name="20% - Accent2 3 7 2 3" xfId="46918"/>
    <cellStyle name="20% - Accent2 3 7 3" xfId="25249"/>
    <cellStyle name="20% - Accent2 3 7 3 2" xfId="27554"/>
    <cellStyle name="20% - Accent2 3 7 3 2 2" xfId="49799"/>
    <cellStyle name="20% - Accent2 3 7 3 3" xfId="47494"/>
    <cellStyle name="20% - Accent2 3 7 4" xfId="26214"/>
    <cellStyle name="20% - Accent2 3 7 4 2" xfId="48459"/>
    <cellStyle name="20% - Accent2 3 7 5" xfId="45763"/>
    <cellStyle name="20% - Accent2 3 8" xfId="24351"/>
    <cellStyle name="20% - Accent2 3 8 2" xfId="26554"/>
    <cellStyle name="20% - Accent2 3 8 2 2" xfId="48799"/>
    <cellStyle name="20% - Accent2 3 8 3" xfId="46596"/>
    <cellStyle name="20% - Accent2 3 9" xfId="25005"/>
    <cellStyle name="20% - Accent2 3 9 2" xfId="27218"/>
    <cellStyle name="20% - Accent2 3 9 2 2" xfId="49463"/>
    <cellStyle name="20% - Accent2 3 9 3" xfId="47250"/>
    <cellStyle name="20% - Accent2 4" xfId="3091"/>
    <cellStyle name="20% - Accent2 4 2" xfId="25661"/>
    <cellStyle name="20% - Accent2 4 2 2" xfId="47906"/>
    <cellStyle name="20% - Accent2 5" xfId="7719"/>
    <cellStyle name="20% - Accent2 5 2" xfId="11048"/>
    <cellStyle name="20% - Accent2 5 2 2" xfId="17752"/>
    <cellStyle name="20% - Accent2 5 2 2 2" xfId="41173"/>
    <cellStyle name="20% - Accent2 5 2 3" xfId="34541"/>
    <cellStyle name="20% - Accent2 5 3" xfId="14436"/>
    <cellStyle name="20% - Accent2 5 3 2" xfId="37857"/>
    <cellStyle name="20% - Accent2 5 4" xfId="31225"/>
    <cellStyle name="20% - Accent2 6" xfId="9390"/>
    <cellStyle name="20% - Accent2 6 2" xfId="16094"/>
    <cellStyle name="20% - Accent2 6 2 2" xfId="39515"/>
    <cellStyle name="20% - Accent2 6 3" xfId="32883"/>
    <cellStyle name="20% - Accent2 7" xfId="12778"/>
    <cellStyle name="20% - Accent2 7 2" xfId="36199"/>
    <cellStyle name="20% - Accent2 8" xfId="23288"/>
    <cellStyle name="20% - Accent2 8 2" xfId="45660"/>
    <cellStyle name="20% - Accent2 9" xfId="29567"/>
    <cellStyle name="20% - Accent3" xfId="2838" builtinId="38" customBuiltin="1"/>
    <cellStyle name="20% - Accent3 10" xfId="8476"/>
    <cellStyle name="20% - Accent3 10 2" xfId="15188"/>
    <cellStyle name="20% - Accent3 10 2 2" xfId="26555"/>
    <cellStyle name="20% - Accent3 10 2 2 2" xfId="48800"/>
    <cellStyle name="20% - Accent3 10 2 3" xfId="38609"/>
    <cellStyle name="20% - Accent3 10 3" xfId="24352"/>
    <cellStyle name="20% - Accent3 10 3 2" xfId="46597"/>
    <cellStyle name="20% - Accent3 10 4" xfId="31977"/>
    <cellStyle name="20% - Accent3 11" xfId="11870"/>
    <cellStyle name="20% - Accent3 11 2" xfId="27219"/>
    <cellStyle name="20% - Accent3 11 2 2" xfId="49464"/>
    <cellStyle name="20% - Accent3 11 3" xfId="25006"/>
    <cellStyle name="20% - Accent3 11 3 2" xfId="47251"/>
    <cellStyle name="20% - Accent3 11 4" xfId="35293"/>
    <cellStyle name="20% - Accent3 12" xfId="25663"/>
    <cellStyle name="20% - Accent3 12 2" xfId="47908"/>
    <cellStyle name="20% - Accent3 13" xfId="28661"/>
    <cellStyle name="20% - Accent3 2" xfId="191"/>
    <cellStyle name="20% - Accent3 2 2" xfId="192"/>
    <cellStyle name="20% - Accent3 2 3" xfId="5071"/>
    <cellStyle name="20% - Accent3 2 4" xfId="3100"/>
    <cellStyle name="20% - Accent3 3" xfId="1030"/>
    <cellStyle name="20% - Accent3 3 2" xfId="3102"/>
    <cellStyle name="20% - Accent3 3 2 2" xfId="6829"/>
    <cellStyle name="20% - Accent3 3 2 2 2" xfId="10161"/>
    <cellStyle name="20% - Accent3 3 2 2 2 2" xfId="16865"/>
    <cellStyle name="20% - Accent3 3 2 2 2 2 2" xfId="27157"/>
    <cellStyle name="20% - Accent3 3 2 2 2 2 2 2" xfId="49402"/>
    <cellStyle name="20% - Accent3 3 2 2 2 2 3" xfId="24944"/>
    <cellStyle name="20% - Accent3 3 2 2 2 2 3 2" xfId="47189"/>
    <cellStyle name="20% - Accent3 3 2 2 2 2 4" xfId="40286"/>
    <cellStyle name="20% - Accent3 3 2 2 2 3" xfId="25523"/>
    <cellStyle name="20% - Accent3 3 2 2 2 3 2" xfId="27828"/>
    <cellStyle name="20% - Accent3 3 2 2 2 3 2 2" xfId="50073"/>
    <cellStyle name="20% - Accent3 3 2 2 2 3 3" xfId="47768"/>
    <cellStyle name="20% - Accent3 3 2 2 2 4" xfId="26483"/>
    <cellStyle name="20% - Accent3 3 2 2 2 4 2" xfId="48728"/>
    <cellStyle name="20% - Accent3 3 2 2 2 5" xfId="24279"/>
    <cellStyle name="20% - Accent3 3 2 2 2 5 2" xfId="46525"/>
    <cellStyle name="20% - Accent3 3 2 2 2 6" xfId="33654"/>
    <cellStyle name="20% - Accent3 3 2 2 3" xfId="13549"/>
    <cellStyle name="20% - Accent3 3 2 2 3 2" xfId="26825"/>
    <cellStyle name="20% - Accent3 3 2 2 3 2 2" xfId="49070"/>
    <cellStyle name="20% - Accent3 3 2 2 3 3" xfId="24612"/>
    <cellStyle name="20% - Accent3 3 2 2 3 3 2" xfId="46857"/>
    <cellStyle name="20% - Accent3 3 2 2 3 4" xfId="36970"/>
    <cellStyle name="20% - Accent3 3 2 2 4" xfId="25187"/>
    <cellStyle name="20% - Accent3 3 2 2 4 2" xfId="27492"/>
    <cellStyle name="20% - Accent3 3 2 2 4 2 2" xfId="49737"/>
    <cellStyle name="20% - Accent3 3 2 2 4 3" xfId="47432"/>
    <cellStyle name="20% - Accent3 3 2 2 5" xfId="26154"/>
    <cellStyle name="20% - Accent3 3 2 2 5 2" xfId="48399"/>
    <cellStyle name="20% - Accent3 3 2 2 6" xfId="23963"/>
    <cellStyle name="20% - Accent3 3 2 2 6 2" xfId="46209"/>
    <cellStyle name="20% - Accent3 3 2 2 7" xfId="30338"/>
    <cellStyle name="20% - Accent3 3 2 3" xfId="8495"/>
    <cellStyle name="20% - Accent3 3 2 3 2" xfId="15207"/>
    <cellStyle name="20% - Accent3 3 2 3 2 2" xfId="26991"/>
    <cellStyle name="20% - Accent3 3 2 3 2 2 2" xfId="49236"/>
    <cellStyle name="20% - Accent3 3 2 3 2 3" xfId="24778"/>
    <cellStyle name="20% - Accent3 3 2 3 2 3 2" xfId="47023"/>
    <cellStyle name="20% - Accent3 3 2 3 2 4" xfId="38628"/>
    <cellStyle name="20% - Accent3 3 2 3 3" xfId="25355"/>
    <cellStyle name="20% - Accent3 3 2 3 3 2" xfId="27660"/>
    <cellStyle name="20% - Accent3 3 2 3 3 2 2" xfId="49905"/>
    <cellStyle name="20% - Accent3 3 2 3 3 3" xfId="47600"/>
    <cellStyle name="20% - Accent3 3 2 3 4" xfId="26318"/>
    <cellStyle name="20% - Accent3 3 2 3 4 2" xfId="48563"/>
    <cellStyle name="20% - Accent3 3 2 3 5" xfId="24114"/>
    <cellStyle name="20% - Accent3 3 2 3 5 2" xfId="46360"/>
    <cellStyle name="20% - Accent3 3 2 3 6" xfId="31996"/>
    <cellStyle name="20% - Accent3 3 2 4" xfId="11889"/>
    <cellStyle name="20% - Accent3 3 2 4 2" xfId="26659"/>
    <cellStyle name="20% - Accent3 3 2 4 2 2" xfId="48904"/>
    <cellStyle name="20% - Accent3 3 2 4 3" xfId="24446"/>
    <cellStyle name="20% - Accent3 3 2 4 3 2" xfId="46691"/>
    <cellStyle name="20% - Accent3 3 2 4 4" xfId="35312"/>
    <cellStyle name="20% - Accent3 3 2 5" xfId="23411"/>
    <cellStyle name="20% - Accent3 3 2 5 2" xfId="27324"/>
    <cellStyle name="20% - Accent3 3 2 5 2 2" xfId="49569"/>
    <cellStyle name="20% - Accent3 3 2 5 3" xfId="45756"/>
    <cellStyle name="20% - Accent3 3 2 6" xfId="25684"/>
    <cellStyle name="20% - Accent3 3 2 6 2" xfId="47929"/>
    <cellStyle name="20% - Accent3 3 2 7" xfId="28680"/>
    <cellStyle name="20% - Accent3 3 3" xfId="3103"/>
    <cellStyle name="20% - Accent3 3 3 2" xfId="6830"/>
    <cellStyle name="20% - Accent3 3 3 2 2" xfId="10162"/>
    <cellStyle name="20% - Accent3 3 3 2 2 2" xfId="16866"/>
    <cellStyle name="20% - Accent3 3 3 2 2 2 2" xfId="27116"/>
    <cellStyle name="20% - Accent3 3 3 2 2 2 2 2" xfId="49361"/>
    <cellStyle name="20% - Accent3 3 3 2 2 2 3" xfId="24903"/>
    <cellStyle name="20% - Accent3 3 3 2 2 2 3 2" xfId="47148"/>
    <cellStyle name="20% - Accent3 3 3 2 2 2 4" xfId="40287"/>
    <cellStyle name="20% - Accent3 3 3 2 2 3" xfId="25481"/>
    <cellStyle name="20% - Accent3 3 3 2 2 3 2" xfId="27786"/>
    <cellStyle name="20% - Accent3 3 3 2 2 3 2 2" xfId="50031"/>
    <cellStyle name="20% - Accent3 3 3 2 2 3 3" xfId="47726"/>
    <cellStyle name="20% - Accent3 3 3 2 2 4" xfId="26443"/>
    <cellStyle name="20% - Accent3 3 3 2 2 4 2" xfId="48688"/>
    <cellStyle name="20% - Accent3 3 3 2 2 5" xfId="24239"/>
    <cellStyle name="20% - Accent3 3 3 2 2 5 2" xfId="46485"/>
    <cellStyle name="20% - Accent3 3 3 2 2 6" xfId="33655"/>
    <cellStyle name="20% - Accent3 3 3 2 3" xfId="13550"/>
    <cellStyle name="20% - Accent3 3 3 2 3 2" xfId="26784"/>
    <cellStyle name="20% - Accent3 3 3 2 3 2 2" xfId="49029"/>
    <cellStyle name="20% - Accent3 3 3 2 3 3" xfId="24571"/>
    <cellStyle name="20% - Accent3 3 3 2 3 3 2" xfId="46816"/>
    <cellStyle name="20% - Accent3 3 3 2 3 4" xfId="36971"/>
    <cellStyle name="20% - Accent3 3 3 2 4" xfId="25145"/>
    <cellStyle name="20% - Accent3 3 3 2 4 2" xfId="27450"/>
    <cellStyle name="20% - Accent3 3 3 2 4 2 2" xfId="49695"/>
    <cellStyle name="20% - Accent3 3 3 2 4 3" xfId="47390"/>
    <cellStyle name="20% - Accent3 3 3 2 5" xfId="26114"/>
    <cellStyle name="20% - Accent3 3 3 2 5 2" xfId="48359"/>
    <cellStyle name="20% - Accent3 3 3 2 6" xfId="23923"/>
    <cellStyle name="20% - Accent3 3 3 2 6 2" xfId="46169"/>
    <cellStyle name="20% - Accent3 3 3 2 7" xfId="30339"/>
    <cellStyle name="20% - Accent3 3 3 3" xfId="8496"/>
    <cellStyle name="20% - Accent3 3 3 3 2" xfId="15208"/>
    <cellStyle name="20% - Accent3 3 3 3 2 2" xfId="26950"/>
    <cellStyle name="20% - Accent3 3 3 3 2 2 2" xfId="49195"/>
    <cellStyle name="20% - Accent3 3 3 3 2 3" xfId="24737"/>
    <cellStyle name="20% - Accent3 3 3 3 2 3 2" xfId="46982"/>
    <cellStyle name="20% - Accent3 3 3 3 2 4" xfId="38629"/>
    <cellStyle name="20% - Accent3 3 3 3 3" xfId="25313"/>
    <cellStyle name="20% - Accent3 3 3 3 3 2" xfId="27618"/>
    <cellStyle name="20% - Accent3 3 3 3 3 2 2" xfId="49863"/>
    <cellStyle name="20% - Accent3 3 3 3 3 3" xfId="47558"/>
    <cellStyle name="20% - Accent3 3 3 3 4" xfId="26278"/>
    <cellStyle name="20% - Accent3 3 3 3 4 2" xfId="48523"/>
    <cellStyle name="20% - Accent3 3 3 3 5" xfId="24074"/>
    <cellStyle name="20% - Accent3 3 3 3 5 2" xfId="46320"/>
    <cellStyle name="20% - Accent3 3 3 3 6" xfId="31997"/>
    <cellStyle name="20% - Accent3 3 3 4" xfId="11890"/>
    <cellStyle name="20% - Accent3 3 3 4 2" xfId="26618"/>
    <cellStyle name="20% - Accent3 3 3 4 2 2" xfId="48863"/>
    <cellStyle name="20% - Accent3 3 3 4 3" xfId="24405"/>
    <cellStyle name="20% - Accent3 3 3 4 3 2" xfId="46650"/>
    <cellStyle name="20% - Accent3 3 3 4 4" xfId="35313"/>
    <cellStyle name="20% - Accent3 3 3 5" xfId="23410"/>
    <cellStyle name="20% - Accent3 3 3 5 2" xfId="27282"/>
    <cellStyle name="20% - Accent3 3 3 5 2 2" xfId="49527"/>
    <cellStyle name="20% - Accent3 3 3 5 3" xfId="45755"/>
    <cellStyle name="20% - Accent3 3 3 6" xfId="25685"/>
    <cellStyle name="20% - Accent3 3 3 6 2" xfId="47930"/>
    <cellStyle name="20% - Accent3 3 3 7" xfId="28681"/>
    <cellStyle name="20% - Accent3 3 4" xfId="3104"/>
    <cellStyle name="20% - Accent3 3 4 2" xfId="24004"/>
    <cellStyle name="20% - Accent3 3 4 2 2" xfId="24320"/>
    <cellStyle name="20% - Accent3 3 4 2 2 2" xfId="24985"/>
    <cellStyle name="20% - Accent3 3 4 2 2 2 2" xfId="27198"/>
    <cellStyle name="20% - Accent3 3 4 2 2 2 2 2" xfId="49443"/>
    <cellStyle name="20% - Accent3 3 4 2 2 2 3" xfId="47230"/>
    <cellStyle name="20% - Accent3 3 4 2 2 3" xfId="25565"/>
    <cellStyle name="20% - Accent3 3 4 2 2 3 2" xfId="27870"/>
    <cellStyle name="20% - Accent3 3 4 2 2 3 2 2" xfId="50115"/>
    <cellStyle name="20% - Accent3 3 4 2 2 3 3" xfId="47810"/>
    <cellStyle name="20% - Accent3 3 4 2 2 4" xfId="26524"/>
    <cellStyle name="20% - Accent3 3 4 2 2 4 2" xfId="48769"/>
    <cellStyle name="20% - Accent3 3 4 2 2 5" xfId="46566"/>
    <cellStyle name="20% - Accent3 3 4 2 3" xfId="24653"/>
    <cellStyle name="20% - Accent3 3 4 2 3 2" xfId="26866"/>
    <cellStyle name="20% - Accent3 3 4 2 3 2 2" xfId="49111"/>
    <cellStyle name="20% - Accent3 3 4 2 3 3" xfId="46898"/>
    <cellStyle name="20% - Accent3 3 4 2 4" xfId="25229"/>
    <cellStyle name="20% - Accent3 3 4 2 4 2" xfId="27534"/>
    <cellStyle name="20% - Accent3 3 4 2 4 2 2" xfId="49779"/>
    <cellStyle name="20% - Accent3 3 4 2 4 3" xfId="47474"/>
    <cellStyle name="20% - Accent3 3 4 2 5" xfId="26195"/>
    <cellStyle name="20% - Accent3 3 4 2 5 2" xfId="48440"/>
    <cellStyle name="20% - Accent3 3 4 2 6" xfId="46250"/>
    <cellStyle name="20% - Accent3 3 4 3" xfId="24155"/>
    <cellStyle name="20% - Accent3 3 4 3 2" xfId="24819"/>
    <cellStyle name="20% - Accent3 3 4 3 2 2" xfId="27032"/>
    <cellStyle name="20% - Accent3 3 4 3 2 2 2" xfId="49277"/>
    <cellStyle name="20% - Accent3 3 4 3 2 3" xfId="47064"/>
    <cellStyle name="20% - Accent3 3 4 3 3" xfId="25397"/>
    <cellStyle name="20% - Accent3 3 4 3 3 2" xfId="27702"/>
    <cellStyle name="20% - Accent3 3 4 3 3 2 2" xfId="49947"/>
    <cellStyle name="20% - Accent3 3 4 3 3 3" xfId="47642"/>
    <cellStyle name="20% - Accent3 3 4 3 4" xfId="26359"/>
    <cellStyle name="20% - Accent3 3 4 3 4 2" xfId="48604"/>
    <cellStyle name="20% - Accent3 3 4 3 5" xfId="46401"/>
    <cellStyle name="20% - Accent3 3 4 4" xfId="24487"/>
    <cellStyle name="20% - Accent3 3 4 4 2" xfId="26700"/>
    <cellStyle name="20% - Accent3 3 4 4 2 2" xfId="48945"/>
    <cellStyle name="20% - Accent3 3 4 4 3" xfId="46732"/>
    <cellStyle name="20% - Accent3 3 4 5" xfId="25061"/>
    <cellStyle name="20% - Accent3 3 4 5 2" xfId="27366"/>
    <cellStyle name="20% - Accent3 3 4 5 2 2" xfId="49611"/>
    <cellStyle name="20% - Accent3 3 4 5 3" xfId="47306"/>
    <cellStyle name="20% - Accent3 3 4 6" xfId="23851"/>
    <cellStyle name="20% - Accent3 3 4 6 2" xfId="26042"/>
    <cellStyle name="20% - Accent3 3 4 6 2 2" xfId="48287"/>
    <cellStyle name="20% - Accent3 3 4 6 3" xfId="46097"/>
    <cellStyle name="20% - Accent3 3 5" xfId="3101"/>
    <cellStyle name="20% - Accent3 3 5 2" xfId="6828"/>
    <cellStyle name="20% - Accent3 3 5 2 2" xfId="10160"/>
    <cellStyle name="20% - Accent3 3 5 2 2 2" xfId="16864"/>
    <cellStyle name="20% - Accent3 3 5 2 2 2 2" xfId="27074"/>
    <cellStyle name="20% - Accent3 3 5 2 2 2 2 2" xfId="49319"/>
    <cellStyle name="20% - Accent3 3 5 2 2 2 3" xfId="40285"/>
    <cellStyle name="20% - Accent3 3 5 2 2 3" xfId="24861"/>
    <cellStyle name="20% - Accent3 3 5 2 2 3 2" xfId="47106"/>
    <cellStyle name="20% - Accent3 3 5 2 2 4" xfId="33653"/>
    <cellStyle name="20% - Accent3 3 5 2 3" xfId="13548"/>
    <cellStyle name="20% - Accent3 3 5 2 3 2" xfId="27744"/>
    <cellStyle name="20% - Accent3 3 5 2 3 2 2" xfId="49989"/>
    <cellStyle name="20% - Accent3 3 5 2 3 3" xfId="25439"/>
    <cellStyle name="20% - Accent3 3 5 2 3 3 2" xfId="47684"/>
    <cellStyle name="20% - Accent3 3 5 2 3 4" xfId="36969"/>
    <cellStyle name="20% - Accent3 3 5 2 4" xfId="26401"/>
    <cellStyle name="20% - Accent3 3 5 2 4 2" xfId="48646"/>
    <cellStyle name="20% - Accent3 3 5 2 5" xfId="24197"/>
    <cellStyle name="20% - Accent3 3 5 2 5 2" xfId="46443"/>
    <cellStyle name="20% - Accent3 3 5 2 6" xfId="30337"/>
    <cellStyle name="20% - Accent3 3 5 3" xfId="8494"/>
    <cellStyle name="20% - Accent3 3 5 3 2" xfId="15206"/>
    <cellStyle name="20% - Accent3 3 5 3 2 2" xfId="26742"/>
    <cellStyle name="20% - Accent3 3 5 3 2 2 2" xfId="48987"/>
    <cellStyle name="20% - Accent3 3 5 3 2 3" xfId="38627"/>
    <cellStyle name="20% - Accent3 3 5 3 3" xfId="24529"/>
    <cellStyle name="20% - Accent3 3 5 3 3 2" xfId="46774"/>
    <cellStyle name="20% - Accent3 3 5 3 4" xfId="31995"/>
    <cellStyle name="20% - Accent3 3 5 4" xfId="11888"/>
    <cellStyle name="20% - Accent3 3 5 4 2" xfId="27408"/>
    <cellStyle name="20% - Accent3 3 5 4 2 2" xfId="49653"/>
    <cellStyle name="20% - Accent3 3 5 4 3" xfId="25103"/>
    <cellStyle name="20% - Accent3 3 5 4 3 2" xfId="47348"/>
    <cellStyle name="20% - Accent3 3 5 4 4" xfId="35311"/>
    <cellStyle name="20% - Accent3 3 5 5" xfId="25683"/>
    <cellStyle name="20% - Accent3 3 5 5 2" xfId="47928"/>
    <cellStyle name="20% - Accent3 3 5 6" xfId="23357"/>
    <cellStyle name="20% - Accent3 3 5 6 2" xfId="45702"/>
    <cellStyle name="20% - Accent3 3 5 7" xfId="28679"/>
    <cellStyle name="20% - Accent3 3 6" xfId="23412"/>
    <cellStyle name="20% - Accent3 3 6 2" xfId="24695"/>
    <cellStyle name="20% - Accent3 3 6 2 2" xfId="26908"/>
    <cellStyle name="20% - Accent3 3 6 2 2 2" xfId="49153"/>
    <cellStyle name="20% - Accent3 3 6 2 3" xfId="46940"/>
    <cellStyle name="20% - Accent3 3 6 3" xfId="25271"/>
    <cellStyle name="20% - Accent3 3 6 3 2" xfId="27576"/>
    <cellStyle name="20% - Accent3 3 6 3 2 2" xfId="49821"/>
    <cellStyle name="20% - Accent3 3 6 3 3" xfId="47516"/>
    <cellStyle name="20% - Accent3 3 6 4" xfId="26236"/>
    <cellStyle name="20% - Accent3 3 6 4 2" xfId="48481"/>
    <cellStyle name="20% - Accent3 3 6 5" xfId="45757"/>
    <cellStyle name="20% - Accent3 3 7" xfId="24371"/>
    <cellStyle name="20% - Accent3 3 7 2" xfId="26576"/>
    <cellStyle name="20% - Accent3 3 7 2 2" xfId="48821"/>
    <cellStyle name="20% - Accent3 3 7 3" xfId="46616"/>
    <cellStyle name="20% - Accent3 3 8" xfId="25027"/>
    <cellStyle name="20% - Accent3 3 8 2" xfId="27240"/>
    <cellStyle name="20% - Accent3 3 8 2 2" xfId="49485"/>
    <cellStyle name="20% - Accent3 3 8 3" xfId="47272"/>
    <cellStyle name="20% - Accent3 3 9" xfId="23598"/>
    <cellStyle name="20% - Accent3 4" xfId="3105"/>
    <cellStyle name="20% - Accent3 4 2" xfId="6831"/>
    <cellStyle name="20% - Accent3 4 2 2" xfId="10163"/>
    <cellStyle name="20% - Accent3 4 2 2 2" xfId="16867"/>
    <cellStyle name="20% - Accent3 4 2 2 2 2" xfId="27137"/>
    <cellStyle name="20% - Accent3 4 2 2 2 2 2" xfId="49382"/>
    <cellStyle name="20% - Accent3 4 2 2 2 3" xfId="24924"/>
    <cellStyle name="20% - Accent3 4 2 2 2 3 2" xfId="47169"/>
    <cellStyle name="20% - Accent3 4 2 2 2 4" xfId="40288"/>
    <cellStyle name="20% - Accent3 4 2 2 3" xfId="25502"/>
    <cellStyle name="20% - Accent3 4 2 2 3 2" xfId="27807"/>
    <cellStyle name="20% - Accent3 4 2 2 3 2 2" xfId="50052"/>
    <cellStyle name="20% - Accent3 4 2 2 3 3" xfId="47747"/>
    <cellStyle name="20% - Accent3 4 2 2 4" xfId="26463"/>
    <cellStyle name="20% - Accent3 4 2 2 4 2" xfId="48708"/>
    <cellStyle name="20% - Accent3 4 2 2 5" xfId="24259"/>
    <cellStyle name="20% - Accent3 4 2 2 5 2" xfId="46505"/>
    <cellStyle name="20% - Accent3 4 2 2 6" xfId="33656"/>
    <cellStyle name="20% - Accent3 4 2 3" xfId="13551"/>
    <cellStyle name="20% - Accent3 4 2 3 2" xfId="26805"/>
    <cellStyle name="20% - Accent3 4 2 3 2 2" xfId="49050"/>
    <cellStyle name="20% - Accent3 4 2 3 3" xfId="24592"/>
    <cellStyle name="20% - Accent3 4 2 3 3 2" xfId="46837"/>
    <cellStyle name="20% - Accent3 4 2 3 4" xfId="36972"/>
    <cellStyle name="20% - Accent3 4 2 4" xfId="25166"/>
    <cellStyle name="20% - Accent3 4 2 4 2" xfId="27471"/>
    <cellStyle name="20% - Accent3 4 2 4 2 2" xfId="49716"/>
    <cellStyle name="20% - Accent3 4 2 4 3" xfId="47411"/>
    <cellStyle name="20% - Accent3 4 2 5" xfId="26134"/>
    <cellStyle name="20% - Accent3 4 2 5 2" xfId="48379"/>
    <cellStyle name="20% - Accent3 4 2 6" xfId="23943"/>
    <cellStyle name="20% - Accent3 4 2 6 2" xfId="46189"/>
    <cellStyle name="20% - Accent3 4 2 7" xfId="30340"/>
    <cellStyle name="20% - Accent3 4 3" xfId="8497"/>
    <cellStyle name="20% - Accent3 4 3 2" xfId="15209"/>
    <cellStyle name="20% - Accent3 4 3 2 2" xfId="26971"/>
    <cellStyle name="20% - Accent3 4 3 2 2 2" xfId="49216"/>
    <cellStyle name="20% - Accent3 4 3 2 3" xfId="24758"/>
    <cellStyle name="20% - Accent3 4 3 2 3 2" xfId="47003"/>
    <cellStyle name="20% - Accent3 4 3 2 4" xfId="38630"/>
    <cellStyle name="20% - Accent3 4 3 3" xfId="25334"/>
    <cellStyle name="20% - Accent3 4 3 3 2" xfId="27639"/>
    <cellStyle name="20% - Accent3 4 3 3 2 2" xfId="49884"/>
    <cellStyle name="20% - Accent3 4 3 3 3" xfId="47579"/>
    <cellStyle name="20% - Accent3 4 3 4" xfId="26298"/>
    <cellStyle name="20% - Accent3 4 3 4 2" xfId="48543"/>
    <cellStyle name="20% - Accent3 4 3 5" xfId="24094"/>
    <cellStyle name="20% - Accent3 4 3 5 2" xfId="46340"/>
    <cellStyle name="20% - Accent3 4 3 6" xfId="31998"/>
    <cellStyle name="20% - Accent3 4 4" xfId="11891"/>
    <cellStyle name="20% - Accent3 4 4 2" xfId="26639"/>
    <cellStyle name="20% - Accent3 4 4 2 2" xfId="48884"/>
    <cellStyle name="20% - Accent3 4 4 3" xfId="24426"/>
    <cellStyle name="20% - Accent3 4 4 3 2" xfId="46671"/>
    <cellStyle name="20% - Accent3 4 4 4" xfId="35314"/>
    <cellStyle name="20% - Accent3 4 5" xfId="23409"/>
    <cellStyle name="20% - Accent3 4 5 2" xfId="27303"/>
    <cellStyle name="20% - Accent3 4 5 2 2" xfId="49548"/>
    <cellStyle name="20% - Accent3 4 5 3" xfId="45754"/>
    <cellStyle name="20% - Accent3 4 6" xfId="25686"/>
    <cellStyle name="20% - Accent3 4 6 2" xfId="47931"/>
    <cellStyle name="20% - Accent3 4 7" xfId="28682"/>
    <cellStyle name="20% - Accent3 5" xfId="3106"/>
    <cellStyle name="20% - Accent3 5 2" xfId="6832"/>
    <cellStyle name="20% - Accent3 5 2 2" xfId="10164"/>
    <cellStyle name="20% - Accent3 5 2 2 2" xfId="16868"/>
    <cellStyle name="20% - Accent3 5 2 2 2 2" xfId="27095"/>
    <cellStyle name="20% - Accent3 5 2 2 2 2 2" xfId="49340"/>
    <cellStyle name="20% - Accent3 5 2 2 2 3" xfId="24882"/>
    <cellStyle name="20% - Accent3 5 2 2 2 3 2" xfId="47127"/>
    <cellStyle name="20% - Accent3 5 2 2 2 4" xfId="40289"/>
    <cellStyle name="20% - Accent3 5 2 2 3" xfId="25460"/>
    <cellStyle name="20% - Accent3 5 2 2 3 2" xfId="27765"/>
    <cellStyle name="20% - Accent3 5 2 2 3 2 2" xfId="50010"/>
    <cellStyle name="20% - Accent3 5 2 2 3 3" xfId="47705"/>
    <cellStyle name="20% - Accent3 5 2 2 4" xfId="26422"/>
    <cellStyle name="20% - Accent3 5 2 2 4 2" xfId="48667"/>
    <cellStyle name="20% - Accent3 5 2 2 5" xfId="24218"/>
    <cellStyle name="20% - Accent3 5 2 2 5 2" xfId="46464"/>
    <cellStyle name="20% - Accent3 5 2 2 6" xfId="33657"/>
    <cellStyle name="20% - Accent3 5 2 3" xfId="13552"/>
    <cellStyle name="20% - Accent3 5 2 3 2" xfId="26763"/>
    <cellStyle name="20% - Accent3 5 2 3 2 2" xfId="49008"/>
    <cellStyle name="20% - Accent3 5 2 3 3" xfId="24550"/>
    <cellStyle name="20% - Accent3 5 2 3 3 2" xfId="46795"/>
    <cellStyle name="20% - Accent3 5 2 3 4" xfId="36973"/>
    <cellStyle name="20% - Accent3 5 2 4" xfId="25124"/>
    <cellStyle name="20% - Accent3 5 2 4 2" xfId="27429"/>
    <cellStyle name="20% - Accent3 5 2 4 2 2" xfId="49674"/>
    <cellStyle name="20% - Accent3 5 2 4 3" xfId="47369"/>
    <cellStyle name="20% - Accent3 5 2 5" xfId="26094"/>
    <cellStyle name="20% - Accent3 5 2 5 2" xfId="48339"/>
    <cellStyle name="20% - Accent3 5 2 6" xfId="23903"/>
    <cellStyle name="20% - Accent3 5 2 6 2" xfId="46149"/>
    <cellStyle name="20% - Accent3 5 2 7" xfId="30341"/>
    <cellStyle name="20% - Accent3 5 3" xfId="8498"/>
    <cellStyle name="20% - Accent3 5 3 2" xfId="15210"/>
    <cellStyle name="20% - Accent3 5 3 2 2" xfId="26929"/>
    <cellStyle name="20% - Accent3 5 3 2 2 2" xfId="49174"/>
    <cellStyle name="20% - Accent3 5 3 2 3" xfId="24716"/>
    <cellStyle name="20% - Accent3 5 3 2 3 2" xfId="46961"/>
    <cellStyle name="20% - Accent3 5 3 2 4" xfId="38631"/>
    <cellStyle name="20% - Accent3 5 3 3" xfId="25292"/>
    <cellStyle name="20% - Accent3 5 3 3 2" xfId="27597"/>
    <cellStyle name="20% - Accent3 5 3 3 2 2" xfId="49842"/>
    <cellStyle name="20% - Accent3 5 3 3 3" xfId="47537"/>
    <cellStyle name="20% - Accent3 5 3 4" xfId="26257"/>
    <cellStyle name="20% - Accent3 5 3 4 2" xfId="48502"/>
    <cellStyle name="20% - Accent3 5 3 5" xfId="24053"/>
    <cellStyle name="20% - Accent3 5 3 5 2" xfId="46299"/>
    <cellStyle name="20% - Accent3 5 3 6" xfId="31999"/>
    <cellStyle name="20% - Accent3 5 4" xfId="11892"/>
    <cellStyle name="20% - Accent3 5 4 2" xfId="26597"/>
    <cellStyle name="20% - Accent3 5 4 2 2" xfId="48842"/>
    <cellStyle name="20% - Accent3 5 4 3" xfId="24384"/>
    <cellStyle name="20% - Accent3 5 4 3 2" xfId="46629"/>
    <cellStyle name="20% - Accent3 5 4 4" xfId="35315"/>
    <cellStyle name="20% - Accent3 5 5" xfId="23408"/>
    <cellStyle name="20% - Accent3 5 5 2" xfId="27261"/>
    <cellStyle name="20% - Accent3 5 5 2 2" xfId="49506"/>
    <cellStyle name="20% - Accent3 5 5 3" xfId="45753"/>
    <cellStyle name="20% - Accent3 5 6" xfId="25687"/>
    <cellStyle name="20% - Accent3 5 6 2" xfId="47932"/>
    <cellStyle name="20% - Accent3 5 7" xfId="28683"/>
    <cellStyle name="20% - Accent3 6" xfId="3107"/>
    <cellStyle name="20% - Accent3 6 2" xfId="6833"/>
    <cellStyle name="20% - Accent3 6 2 2" xfId="10165"/>
    <cellStyle name="20% - Accent3 6 2 2 2" xfId="16869"/>
    <cellStyle name="20% - Accent3 6 2 2 2 2" xfId="27177"/>
    <cellStyle name="20% - Accent3 6 2 2 2 2 2" xfId="49422"/>
    <cellStyle name="20% - Accent3 6 2 2 2 3" xfId="24964"/>
    <cellStyle name="20% - Accent3 6 2 2 2 3 2" xfId="47209"/>
    <cellStyle name="20% - Accent3 6 2 2 2 4" xfId="40290"/>
    <cellStyle name="20% - Accent3 6 2 2 3" xfId="25544"/>
    <cellStyle name="20% - Accent3 6 2 2 3 2" xfId="27849"/>
    <cellStyle name="20% - Accent3 6 2 2 3 2 2" xfId="50094"/>
    <cellStyle name="20% - Accent3 6 2 2 3 3" xfId="47789"/>
    <cellStyle name="20% - Accent3 6 2 2 4" xfId="26503"/>
    <cellStyle name="20% - Accent3 6 2 2 4 2" xfId="48748"/>
    <cellStyle name="20% - Accent3 6 2 2 5" xfId="24299"/>
    <cellStyle name="20% - Accent3 6 2 2 5 2" xfId="46545"/>
    <cellStyle name="20% - Accent3 6 2 2 6" xfId="33658"/>
    <cellStyle name="20% - Accent3 6 2 3" xfId="13553"/>
    <cellStyle name="20% - Accent3 6 2 3 2" xfId="26845"/>
    <cellStyle name="20% - Accent3 6 2 3 2 2" xfId="49090"/>
    <cellStyle name="20% - Accent3 6 2 3 3" xfId="24632"/>
    <cellStyle name="20% - Accent3 6 2 3 3 2" xfId="46877"/>
    <cellStyle name="20% - Accent3 6 2 3 4" xfId="36974"/>
    <cellStyle name="20% - Accent3 6 2 4" xfId="25208"/>
    <cellStyle name="20% - Accent3 6 2 4 2" xfId="27513"/>
    <cellStyle name="20% - Accent3 6 2 4 2 2" xfId="49758"/>
    <cellStyle name="20% - Accent3 6 2 4 3" xfId="47453"/>
    <cellStyle name="20% - Accent3 6 2 5" xfId="26174"/>
    <cellStyle name="20% - Accent3 6 2 5 2" xfId="48419"/>
    <cellStyle name="20% - Accent3 6 2 6" xfId="23983"/>
    <cellStyle name="20% - Accent3 6 2 6 2" xfId="46229"/>
    <cellStyle name="20% - Accent3 6 2 7" xfId="30342"/>
    <cellStyle name="20% - Accent3 6 3" xfId="8499"/>
    <cellStyle name="20% - Accent3 6 3 2" xfId="15211"/>
    <cellStyle name="20% - Accent3 6 3 2 2" xfId="27011"/>
    <cellStyle name="20% - Accent3 6 3 2 2 2" xfId="49256"/>
    <cellStyle name="20% - Accent3 6 3 2 3" xfId="24798"/>
    <cellStyle name="20% - Accent3 6 3 2 3 2" xfId="47043"/>
    <cellStyle name="20% - Accent3 6 3 2 4" xfId="38632"/>
    <cellStyle name="20% - Accent3 6 3 3" xfId="25376"/>
    <cellStyle name="20% - Accent3 6 3 3 2" xfId="27681"/>
    <cellStyle name="20% - Accent3 6 3 3 2 2" xfId="49926"/>
    <cellStyle name="20% - Accent3 6 3 3 3" xfId="47621"/>
    <cellStyle name="20% - Accent3 6 3 4" xfId="26338"/>
    <cellStyle name="20% - Accent3 6 3 4 2" xfId="48583"/>
    <cellStyle name="20% - Accent3 6 3 5" xfId="24134"/>
    <cellStyle name="20% - Accent3 6 3 5 2" xfId="46380"/>
    <cellStyle name="20% - Accent3 6 3 6" xfId="32000"/>
    <cellStyle name="20% - Accent3 6 4" xfId="11893"/>
    <cellStyle name="20% - Accent3 6 4 2" xfId="26679"/>
    <cellStyle name="20% - Accent3 6 4 2 2" xfId="48924"/>
    <cellStyle name="20% - Accent3 6 4 3" xfId="24466"/>
    <cellStyle name="20% - Accent3 6 4 3 2" xfId="46711"/>
    <cellStyle name="20% - Accent3 6 4 4" xfId="35316"/>
    <cellStyle name="20% - Accent3 6 5" xfId="23407"/>
    <cellStyle name="20% - Accent3 6 5 2" xfId="27345"/>
    <cellStyle name="20% - Accent3 6 5 2 2" xfId="49590"/>
    <cellStyle name="20% - Accent3 6 5 3" xfId="45752"/>
    <cellStyle name="20% - Accent3 6 6" xfId="25688"/>
    <cellStyle name="20% - Accent3 6 6 2" xfId="47933"/>
    <cellStyle name="20% - Accent3 6 7" xfId="28684"/>
    <cellStyle name="20% - Accent3 7" xfId="3099"/>
    <cellStyle name="20% - Accent3 7 2" xfId="24176"/>
    <cellStyle name="20% - Accent3 7 2 2" xfId="24840"/>
    <cellStyle name="20% - Accent3 7 2 2 2" xfId="27053"/>
    <cellStyle name="20% - Accent3 7 2 2 2 2" xfId="49298"/>
    <cellStyle name="20% - Accent3 7 2 2 3" xfId="47085"/>
    <cellStyle name="20% - Accent3 7 2 3" xfId="25418"/>
    <cellStyle name="20% - Accent3 7 2 3 2" xfId="27723"/>
    <cellStyle name="20% - Accent3 7 2 3 2 2" xfId="49968"/>
    <cellStyle name="20% - Accent3 7 2 3 3" xfId="47663"/>
    <cellStyle name="20% - Accent3 7 2 4" xfId="26380"/>
    <cellStyle name="20% - Accent3 7 2 4 2" xfId="48625"/>
    <cellStyle name="20% - Accent3 7 2 5" xfId="46422"/>
    <cellStyle name="20% - Accent3 7 3" xfId="24508"/>
    <cellStyle name="20% - Accent3 7 3 2" xfId="26721"/>
    <cellStyle name="20% - Accent3 7 3 2 2" xfId="48966"/>
    <cellStyle name="20% - Accent3 7 3 3" xfId="46753"/>
    <cellStyle name="20% - Accent3 7 4" xfId="25082"/>
    <cellStyle name="20% - Accent3 7 4 2" xfId="27387"/>
    <cellStyle name="20% - Accent3 7 4 2 2" xfId="49632"/>
    <cellStyle name="20% - Accent3 7 4 3" xfId="47327"/>
    <cellStyle name="20% - Accent3 7 5" xfId="26060"/>
    <cellStyle name="20% - Accent3 7 5 2" xfId="48305"/>
    <cellStyle name="20% - Accent3 7 6" xfId="23869"/>
    <cellStyle name="20% - Accent3 7 6 2" xfId="46115"/>
    <cellStyle name="20% - Accent3 8" xfId="6063"/>
    <cellStyle name="20% - Accent3 8 2" xfId="7729"/>
    <cellStyle name="20% - Accent3 8 2 2" xfId="11058"/>
    <cellStyle name="20% - Accent3 8 2 2 2" xfId="17762"/>
    <cellStyle name="20% - Accent3 8 2 2 2 2" xfId="41183"/>
    <cellStyle name="20% - Accent3 8 2 2 3" xfId="26887"/>
    <cellStyle name="20% - Accent3 8 2 2 3 2" xfId="49132"/>
    <cellStyle name="20% - Accent3 8 2 2 4" xfId="34551"/>
    <cellStyle name="20% - Accent3 8 2 3" xfId="14446"/>
    <cellStyle name="20% - Accent3 8 2 3 2" xfId="37867"/>
    <cellStyle name="20% - Accent3 8 2 4" xfId="24674"/>
    <cellStyle name="20% - Accent3 8 2 4 2" xfId="46919"/>
    <cellStyle name="20% - Accent3 8 2 5" xfId="31235"/>
    <cellStyle name="20% - Accent3 8 3" xfId="9400"/>
    <cellStyle name="20% - Accent3 8 3 2" xfId="16104"/>
    <cellStyle name="20% - Accent3 8 3 2 2" xfId="27555"/>
    <cellStyle name="20% - Accent3 8 3 2 2 2" xfId="49800"/>
    <cellStyle name="20% - Accent3 8 3 2 3" xfId="39525"/>
    <cellStyle name="20% - Accent3 8 3 3" xfId="25250"/>
    <cellStyle name="20% - Accent3 8 3 3 2" xfId="47495"/>
    <cellStyle name="20% - Accent3 8 3 4" xfId="32893"/>
    <cellStyle name="20% - Accent3 8 4" xfId="12788"/>
    <cellStyle name="20% - Accent3 8 4 2" xfId="26215"/>
    <cellStyle name="20% - Accent3 8 4 2 2" xfId="48460"/>
    <cellStyle name="20% - Accent3 8 4 3" xfId="36209"/>
    <cellStyle name="20% - Accent3 8 5" xfId="24022"/>
    <cellStyle name="20% - Accent3 8 5 2" xfId="46268"/>
    <cellStyle name="20% - Accent3 8 6" xfId="29577"/>
    <cellStyle name="20% - Accent3 9" xfId="6810"/>
    <cellStyle name="20% - Accent3 9 2" xfId="10142"/>
    <cellStyle name="20% - Accent3 9 2 2" xfId="16846"/>
    <cellStyle name="20% - Accent3 9 2 2 2" xfId="40267"/>
    <cellStyle name="20% - Accent3 9 2 3" xfId="26546"/>
    <cellStyle name="20% - Accent3 9 2 3 2" xfId="48791"/>
    <cellStyle name="20% - Accent3 9 2 4" xfId="33635"/>
    <cellStyle name="20% - Accent3 9 3" xfId="13530"/>
    <cellStyle name="20% - Accent3 9 3 2" xfId="36951"/>
    <cellStyle name="20% - Accent3 9 4" xfId="24343"/>
    <cellStyle name="20% - Accent3 9 4 2" xfId="46588"/>
    <cellStyle name="20% - Accent3 9 5" xfId="30319"/>
    <cellStyle name="20% - Accent4" xfId="6052" builtinId="42" customBuiltin="1"/>
    <cellStyle name="20% - Accent4 2" xfId="193"/>
    <cellStyle name="20% - Accent4 2 2" xfId="194"/>
    <cellStyle name="20% - Accent4 3" xfId="1031"/>
    <cellStyle name="20% - Accent4 3 10" xfId="23597"/>
    <cellStyle name="20% - Accent4 3 2" xfId="3110"/>
    <cellStyle name="20% - Accent4 3 2 10" xfId="28686"/>
    <cellStyle name="20% - Accent4 3 2 2" xfId="3111"/>
    <cellStyle name="20% - Accent4 3 2 2 2" xfId="6836"/>
    <cellStyle name="20% - Accent4 3 2 2 2 2" xfId="10168"/>
    <cellStyle name="20% - Accent4 3 2 2 2 2 2" xfId="16872"/>
    <cellStyle name="20% - Accent4 3 2 2 2 2 2 2" xfId="27158"/>
    <cellStyle name="20% - Accent4 3 2 2 2 2 2 2 2" xfId="49403"/>
    <cellStyle name="20% - Accent4 3 2 2 2 2 2 3" xfId="24945"/>
    <cellStyle name="20% - Accent4 3 2 2 2 2 2 3 2" xfId="47190"/>
    <cellStyle name="20% - Accent4 3 2 2 2 2 2 4" xfId="40293"/>
    <cellStyle name="20% - Accent4 3 2 2 2 2 3" xfId="25524"/>
    <cellStyle name="20% - Accent4 3 2 2 2 2 3 2" xfId="27829"/>
    <cellStyle name="20% - Accent4 3 2 2 2 2 3 2 2" xfId="50074"/>
    <cellStyle name="20% - Accent4 3 2 2 2 2 3 3" xfId="47769"/>
    <cellStyle name="20% - Accent4 3 2 2 2 2 4" xfId="26484"/>
    <cellStyle name="20% - Accent4 3 2 2 2 2 4 2" xfId="48729"/>
    <cellStyle name="20% - Accent4 3 2 2 2 2 5" xfId="24280"/>
    <cellStyle name="20% - Accent4 3 2 2 2 2 5 2" xfId="46526"/>
    <cellStyle name="20% - Accent4 3 2 2 2 2 6" xfId="33661"/>
    <cellStyle name="20% - Accent4 3 2 2 2 3" xfId="13556"/>
    <cellStyle name="20% - Accent4 3 2 2 2 3 2" xfId="26826"/>
    <cellStyle name="20% - Accent4 3 2 2 2 3 2 2" xfId="49071"/>
    <cellStyle name="20% - Accent4 3 2 2 2 3 3" xfId="24613"/>
    <cellStyle name="20% - Accent4 3 2 2 2 3 3 2" xfId="46858"/>
    <cellStyle name="20% - Accent4 3 2 2 2 3 4" xfId="36977"/>
    <cellStyle name="20% - Accent4 3 2 2 2 4" xfId="25188"/>
    <cellStyle name="20% - Accent4 3 2 2 2 4 2" xfId="27493"/>
    <cellStyle name="20% - Accent4 3 2 2 2 4 2 2" xfId="49738"/>
    <cellStyle name="20% - Accent4 3 2 2 2 4 3" xfId="47433"/>
    <cellStyle name="20% - Accent4 3 2 2 2 5" xfId="26155"/>
    <cellStyle name="20% - Accent4 3 2 2 2 5 2" xfId="48400"/>
    <cellStyle name="20% - Accent4 3 2 2 2 6" xfId="23964"/>
    <cellStyle name="20% - Accent4 3 2 2 2 6 2" xfId="46210"/>
    <cellStyle name="20% - Accent4 3 2 2 2 7" xfId="30345"/>
    <cellStyle name="20% - Accent4 3 2 2 3" xfId="8502"/>
    <cellStyle name="20% - Accent4 3 2 2 3 2" xfId="15214"/>
    <cellStyle name="20% - Accent4 3 2 2 3 2 2" xfId="26992"/>
    <cellStyle name="20% - Accent4 3 2 2 3 2 2 2" xfId="49237"/>
    <cellStyle name="20% - Accent4 3 2 2 3 2 3" xfId="24779"/>
    <cellStyle name="20% - Accent4 3 2 2 3 2 3 2" xfId="47024"/>
    <cellStyle name="20% - Accent4 3 2 2 3 2 4" xfId="38635"/>
    <cellStyle name="20% - Accent4 3 2 2 3 3" xfId="25356"/>
    <cellStyle name="20% - Accent4 3 2 2 3 3 2" xfId="27661"/>
    <cellStyle name="20% - Accent4 3 2 2 3 3 2 2" xfId="49906"/>
    <cellStyle name="20% - Accent4 3 2 2 3 3 3" xfId="47601"/>
    <cellStyle name="20% - Accent4 3 2 2 3 4" xfId="26319"/>
    <cellStyle name="20% - Accent4 3 2 2 3 4 2" xfId="48564"/>
    <cellStyle name="20% - Accent4 3 2 2 3 5" xfId="24115"/>
    <cellStyle name="20% - Accent4 3 2 2 3 5 2" xfId="46361"/>
    <cellStyle name="20% - Accent4 3 2 2 3 6" xfId="32003"/>
    <cellStyle name="20% - Accent4 3 2 2 4" xfId="11896"/>
    <cellStyle name="20% - Accent4 3 2 2 4 2" xfId="26660"/>
    <cellStyle name="20% - Accent4 3 2 2 4 2 2" xfId="48905"/>
    <cellStyle name="20% - Accent4 3 2 2 4 3" xfId="24447"/>
    <cellStyle name="20% - Accent4 3 2 2 4 3 2" xfId="46692"/>
    <cellStyle name="20% - Accent4 3 2 2 4 4" xfId="35319"/>
    <cellStyle name="20% - Accent4 3 2 2 5" xfId="23404"/>
    <cellStyle name="20% - Accent4 3 2 2 5 2" xfId="27325"/>
    <cellStyle name="20% - Accent4 3 2 2 5 2 2" xfId="49570"/>
    <cellStyle name="20% - Accent4 3 2 2 5 3" xfId="45749"/>
    <cellStyle name="20% - Accent4 3 2 2 6" xfId="25691"/>
    <cellStyle name="20% - Accent4 3 2 2 6 2" xfId="47936"/>
    <cellStyle name="20% - Accent4 3 2 2 7" xfId="28687"/>
    <cellStyle name="20% - Accent4 3 2 3" xfId="3112"/>
    <cellStyle name="20% - Accent4 3 2 3 2" xfId="6837"/>
    <cellStyle name="20% - Accent4 3 2 3 2 2" xfId="10169"/>
    <cellStyle name="20% - Accent4 3 2 3 2 2 2" xfId="16873"/>
    <cellStyle name="20% - Accent4 3 2 3 2 2 2 2" xfId="27117"/>
    <cellStyle name="20% - Accent4 3 2 3 2 2 2 2 2" xfId="49362"/>
    <cellStyle name="20% - Accent4 3 2 3 2 2 2 3" xfId="24904"/>
    <cellStyle name="20% - Accent4 3 2 3 2 2 2 3 2" xfId="47149"/>
    <cellStyle name="20% - Accent4 3 2 3 2 2 2 4" xfId="40294"/>
    <cellStyle name="20% - Accent4 3 2 3 2 2 3" xfId="25482"/>
    <cellStyle name="20% - Accent4 3 2 3 2 2 3 2" xfId="27787"/>
    <cellStyle name="20% - Accent4 3 2 3 2 2 3 2 2" xfId="50032"/>
    <cellStyle name="20% - Accent4 3 2 3 2 2 3 3" xfId="47727"/>
    <cellStyle name="20% - Accent4 3 2 3 2 2 4" xfId="26444"/>
    <cellStyle name="20% - Accent4 3 2 3 2 2 4 2" xfId="48689"/>
    <cellStyle name="20% - Accent4 3 2 3 2 2 5" xfId="24240"/>
    <cellStyle name="20% - Accent4 3 2 3 2 2 5 2" xfId="46486"/>
    <cellStyle name="20% - Accent4 3 2 3 2 2 6" xfId="33662"/>
    <cellStyle name="20% - Accent4 3 2 3 2 3" xfId="13557"/>
    <cellStyle name="20% - Accent4 3 2 3 2 3 2" xfId="26785"/>
    <cellStyle name="20% - Accent4 3 2 3 2 3 2 2" xfId="49030"/>
    <cellStyle name="20% - Accent4 3 2 3 2 3 3" xfId="24572"/>
    <cellStyle name="20% - Accent4 3 2 3 2 3 3 2" xfId="46817"/>
    <cellStyle name="20% - Accent4 3 2 3 2 3 4" xfId="36978"/>
    <cellStyle name="20% - Accent4 3 2 3 2 4" xfId="25146"/>
    <cellStyle name="20% - Accent4 3 2 3 2 4 2" xfId="27451"/>
    <cellStyle name="20% - Accent4 3 2 3 2 4 2 2" xfId="49696"/>
    <cellStyle name="20% - Accent4 3 2 3 2 4 3" xfId="47391"/>
    <cellStyle name="20% - Accent4 3 2 3 2 5" xfId="26115"/>
    <cellStyle name="20% - Accent4 3 2 3 2 5 2" xfId="48360"/>
    <cellStyle name="20% - Accent4 3 2 3 2 6" xfId="23924"/>
    <cellStyle name="20% - Accent4 3 2 3 2 6 2" xfId="46170"/>
    <cellStyle name="20% - Accent4 3 2 3 2 7" xfId="30346"/>
    <cellStyle name="20% - Accent4 3 2 3 3" xfId="8503"/>
    <cellStyle name="20% - Accent4 3 2 3 3 2" xfId="15215"/>
    <cellStyle name="20% - Accent4 3 2 3 3 2 2" xfId="26951"/>
    <cellStyle name="20% - Accent4 3 2 3 3 2 2 2" xfId="49196"/>
    <cellStyle name="20% - Accent4 3 2 3 3 2 3" xfId="24738"/>
    <cellStyle name="20% - Accent4 3 2 3 3 2 3 2" xfId="46983"/>
    <cellStyle name="20% - Accent4 3 2 3 3 2 4" xfId="38636"/>
    <cellStyle name="20% - Accent4 3 2 3 3 3" xfId="25314"/>
    <cellStyle name="20% - Accent4 3 2 3 3 3 2" xfId="27619"/>
    <cellStyle name="20% - Accent4 3 2 3 3 3 2 2" xfId="49864"/>
    <cellStyle name="20% - Accent4 3 2 3 3 3 3" xfId="47559"/>
    <cellStyle name="20% - Accent4 3 2 3 3 4" xfId="26279"/>
    <cellStyle name="20% - Accent4 3 2 3 3 4 2" xfId="48524"/>
    <cellStyle name="20% - Accent4 3 2 3 3 5" xfId="24075"/>
    <cellStyle name="20% - Accent4 3 2 3 3 5 2" xfId="46321"/>
    <cellStyle name="20% - Accent4 3 2 3 3 6" xfId="32004"/>
    <cellStyle name="20% - Accent4 3 2 3 4" xfId="11897"/>
    <cellStyle name="20% - Accent4 3 2 3 4 2" xfId="26619"/>
    <cellStyle name="20% - Accent4 3 2 3 4 2 2" xfId="48864"/>
    <cellStyle name="20% - Accent4 3 2 3 4 3" xfId="24406"/>
    <cellStyle name="20% - Accent4 3 2 3 4 3 2" xfId="46651"/>
    <cellStyle name="20% - Accent4 3 2 3 4 4" xfId="35320"/>
    <cellStyle name="20% - Accent4 3 2 3 5" xfId="23403"/>
    <cellStyle name="20% - Accent4 3 2 3 5 2" xfId="27283"/>
    <cellStyle name="20% - Accent4 3 2 3 5 2 2" xfId="49528"/>
    <cellStyle name="20% - Accent4 3 2 3 5 3" xfId="45748"/>
    <cellStyle name="20% - Accent4 3 2 3 6" xfId="25692"/>
    <cellStyle name="20% - Accent4 3 2 3 6 2" xfId="47937"/>
    <cellStyle name="20% - Accent4 3 2 3 7" xfId="28688"/>
    <cellStyle name="20% - Accent4 3 2 4" xfId="6835"/>
    <cellStyle name="20% - Accent4 3 2 4 2" xfId="10167"/>
    <cellStyle name="20% - Accent4 3 2 4 2 2" xfId="16871"/>
    <cellStyle name="20% - Accent4 3 2 4 2 2 2" xfId="24986"/>
    <cellStyle name="20% - Accent4 3 2 4 2 2 2 2" xfId="27199"/>
    <cellStyle name="20% - Accent4 3 2 4 2 2 2 2 2" xfId="49444"/>
    <cellStyle name="20% - Accent4 3 2 4 2 2 2 3" xfId="47231"/>
    <cellStyle name="20% - Accent4 3 2 4 2 2 3" xfId="25566"/>
    <cellStyle name="20% - Accent4 3 2 4 2 2 3 2" xfId="27871"/>
    <cellStyle name="20% - Accent4 3 2 4 2 2 3 2 2" xfId="50116"/>
    <cellStyle name="20% - Accent4 3 2 4 2 2 3 3" xfId="47811"/>
    <cellStyle name="20% - Accent4 3 2 4 2 2 4" xfId="26525"/>
    <cellStyle name="20% - Accent4 3 2 4 2 2 4 2" xfId="48770"/>
    <cellStyle name="20% - Accent4 3 2 4 2 2 5" xfId="24321"/>
    <cellStyle name="20% - Accent4 3 2 4 2 2 5 2" xfId="46567"/>
    <cellStyle name="20% - Accent4 3 2 4 2 2 6" xfId="40292"/>
    <cellStyle name="20% - Accent4 3 2 4 2 3" xfId="24654"/>
    <cellStyle name="20% - Accent4 3 2 4 2 3 2" xfId="26867"/>
    <cellStyle name="20% - Accent4 3 2 4 2 3 2 2" xfId="49112"/>
    <cellStyle name="20% - Accent4 3 2 4 2 3 3" xfId="46899"/>
    <cellStyle name="20% - Accent4 3 2 4 2 4" xfId="25230"/>
    <cellStyle name="20% - Accent4 3 2 4 2 4 2" xfId="27535"/>
    <cellStyle name="20% - Accent4 3 2 4 2 4 2 2" xfId="49780"/>
    <cellStyle name="20% - Accent4 3 2 4 2 4 3" xfId="47475"/>
    <cellStyle name="20% - Accent4 3 2 4 2 5" xfId="26196"/>
    <cellStyle name="20% - Accent4 3 2 4 2 5 2" xfId="48441"/>
    <cellStyle name="20% - Accent4 3 2 4 2 6" xfId="24005"/>
    <cellStyle name="20% - Accent4 3 2 4 2 6 2" xfId="46251"/>
    <cellStyle name="20% - Accent4 3 2 4 2 7" xfId="33660"/>
    <cellStyle name="20% - Accent4 3 2 4 3" xfId="13555"/>
    <cellStyle name="20% - Accent4 3 2 4 3 2" xfId="24820"/>
    <cellStyle name="20% - Accent4 3 2 4 3 2 2" xfId="27033"/>
    <cellStyle name="20% - Accent4 3 2 4 3 2 2 2" xfId="49278"/>
    <cellStyle name="20% - Accent4 3 2 4 3 2 3" xfId="47065"/>
    <cellStyle name="20% - Accent4 3 2 4 3 3" xfId="25398"/>
    <cellStyle name="20% - Accent4 3 2 4 3 3 2" xfId="27703"/>
    <cellStyle name="20% - Accent4 3 2 4 3 3 2 2" xfId="49948"/>
    <cellStyle name="20% - Accent4 3 2 4 3 3 3" xfId="47643"/>
    <cellStyle name="20% - Accent4 3 2 4 3 4" xfId="26360"/>
    <cellStyle name="20% - Accent4 3 2 4 3 4 2" xfId="48605"/>
    <cellStyle name="20% - Accent4 3 2 4 3 5" xfId="24156"/>
    <cellStyle name="20% - Accent4 3 2 4 3 5 2" xfId="46402"/>
    <cellStyle name="20% - Accent4 3 2 4 3 6" xfId="36976"/>
    <cellStyle name="20% - Accent4 3 2 4 4" xfId="24488"/>
    <cellStyle name="20% - Accent4 3 2 4 4 2" xfId="26701"/>
    <cellStyle name="20% - Accent4 3 2 4 4 2 2" xfId="48946"/>
    <cellStyle name="20% - Accent4 3 2 4 4 3" xfId="46733"/>
    <cellStyle name="20% - Accent4 3 2 4 5" xfId="25062"/>
    <cellStyle name="20% - Accent4 3 2 4 5 2" xfId="27367"/>
    <cellStyle name="20% - Accent4 3 2 4 5 2 2" xfId="49612"/>
    <cellStyle name="20% - Accent4 3 2 4 5 3" xfId="47307"/>
    <cellStyle name="20% - Accent4 3 2 4 6" xfId="26043"/>
    <cellStyle name="20% - Accent4 3 2 4 6 2" xfId="48288"/>
    <cellStyle name="20% - Accent4 3 2 4 7" xfId="23852"/>
    <cellStyle name="20% - Accent4 3 2 4 7 2" xfId="46098"/>
    <cellStyle name="20% - Accent4 3 2 4 8" xfId="30344"/>
    <cellStyle name="20% - Accent4 3 2 5" xfId="8501"/>
    <cellStyle name="20% - Accent4 3 2 5 2" xfId="15213"/>
    <cellStyle name="20% - Accent4 3 2 5 2 2" xfId="24862"/>
    <cellStyle name="20% - Accent4 3 2 5 2 2 2" xfId="27075"/>
    <cellStyle name="20% - Accent4 3 2 5 2 2 2 2" xfId="49320"/>
    <cellStyle name="20% - Accent4 3 2 5 2 2 3" xfId="47107"/>
    <cellStyle name="20% - Accent4 3 2 5 2 3" xfId="25440"/>
    <cellStyle name="20% - Accent4 3 2 5 2 3 2" xfId="27745"/>
    <cellStyle name="20% - Accent4 3 2 5 2 3 2 2" xfId="49990"/>
    <cellStyle name="20% - Accent4 3 2 5 2 3 3" xfId="47685"/>
    <cellStyle name="20% - Accent4 3 2 5 2 4" xfId="26402"/>
    <cellStyle name="20% - Accent4 3 2 5 2 4 2" xfId="48647"/>
    <cellStyle name="20% - Accent4 3 2 5 2 5" xfId="24198"/>
    <cellStyle name="20% - Accent4 3 2 5 2 5 2" xfId="46444"/>
    <cellStyle name="20% - Accent4 3 2 5 2 6" xfId="38634"/>
    <cellStyle name="20% - Accent4 3 2 5 3" xfId="24530"/>
    <cellStyle name="20% - Accent4 3 2 5 3 2" xfId="26743"/>
    <cellStyle name="20% - Accent4 3 2 5 3 2 2" xfId="48988"/>
    <cellStyle name="20% - Accent4 3 2 5 3 3" xfId="46775"/>
    <cellStyle name="20% - Accent4 3 2 5 4" xfId="25104"/>
    <cellStyle name="20% - Accent4 3 2 5 4 2" xfId="27409"/>
    <cellStyle name="20% - Accent4 3 2 5 4 2 2" xfId="49654"/>
    <cellStyle name="20% - Accent4 3 2 5 4 3" xfId="47349"/>
    <cellStyle name="20% - Accent4 3 2 5 5" xfId="26076"/>
    <cellStyle name="20% - Accent4 3 2 5 5 2" xfId="48321"/>
    <cellStyle name="20% - Accent4 3 2 5 6" xfId="23885"/>
    <cellStyle name="20% - Accent4 3 2 5 6 2" xfId="46131"/>
    <cellStyle name="20% - Accent4 3 2 5 7" xfId="32002"/>
    <cellStyle name="20% - Accent4 3 2 6" xfId="11895"/>
    <cellStyle name="20% - Accent4 3 2 6 2" xfId="24696"/>
    <cellStyle name="20% - Accent4 3 2 6 2 2" xfId="26909"/>
    <cellStyle name="20% - Accent4 3 2 6 2 2 2" xfId="49154"/>
    <cellStyle name="20% - Accent4 3 2 6 2 3" xfId="46941"/>
    <cellStyle name="20% - Accent4 3 2 6 3" xfId="25272"/>
    <cellStyle name="20% - Accent4 3 2 6 3 2" xfId="27577"/>
    <cellStyle name="20% - Accent4 3 2 6 3 2 2" xfId="49822"/>
    <cellStyle name="20% - Accent4 3 2 6 3 3" xfId="47517"/>
    <cellStyle name="20% - Accent4 3 2 6 4" xfId="26237"/>
    <cellStyle name="20% - Accent4 3 2 6 4 2" xfId="48482"/>
    <cellStyle name="20% - Accent4 3 2 6 5" xfId="24034"/>
    <cellStyle name="20% - Accent4 3 2 6 5 2" xfId="46280"/>
    <cellStyle name="20% - Accent4 3 2 6 6" xfId="35318"/>
    <cellStyle name="20% - Accent4 3 2 7" xfId="23405"/>
    <cellStyle name="20% - Accent4 3 2 7 2" xfId="26577"/>
    <cellStyle name="20% - Accent4 3 2 7 2 2" xfId="48822"/>
    <cellStyle name="20% - Accent4 3 2 7 3" xfId="45750"/>
    <cellStyle name="20% - Accent4 3 2 8" xfId="25028"/>
    <cellStyle name="20% - Accent4 3 2 8 2" xfId="27241"/>
    <cellStyle name="20% - Accent4 3 2 8 2 2" xfId="49486"/>
    <cellStyle name="20% - Accent4 3 2 8 3" xfId="47273"/>
    <cellStyle name="20% - Accent4 3 2 9" xfId="25690"/>
    <cellStyle name="20% - Accent4 3 2 9 2" xfId="47935"/>
    <cellStyle name="20% - Accent4 3 3" xfId="3113"/>
    <cellStyle name="20% - Accent4 3 3 2" xfId="6838"/>
    <cellStyle name="20% - Accent4 3 3 2 2" xfId="10170"/>
    <cellStyle name="20% - Accent4 3 3 2 2 2" xfId="16874"/>
    <cellStyle name="20% - Accent4 3 3 2 2 2 2" xfId="27138"/>
    <cellStyle name="20% - Accent4 3 3 2 2 2 2 2" xfId="49383"/>
    <cellStyle name="20% - Accent4 3 3 2 2 2 3" xfId="24925"/>
    <cellStyle name="20% - Accent4 3 3 2 2 2 3 2" xfId="47170"/>
    <cellStyle name="20% - Accent4 3 3 2 2 2 4" xfId="40295"/>
    <cellStyle name="20% - Accent4 3 3 2 2 3" xfId="25503"/>
    <cellStyle name="20% - Accent4 3 3 2 2 3 2" xfId="27808"/>
    <cellStyle name="20% - Accent4 3 3 2 2 3 2 2" xfId="50053"/>
    <cellStyle name="20% - Accent4 3 3 2 2 3 3" xfId="47748"/>
    <cellStyle name="20% - Accent4 3 3 2 2 4" xfId="26464"/>
    <cellStyle name="20% - Accent4 3 3 2 2 4 2" xfId="48709"/>
    <cellStyle name="20% - Accent4 3 3 2 2 5" xfId="24260"/>
    <cellStyle name="20% - Accent4 3 3 2 2 5 2" xfId="46506"/>
    <cellStyle name="20% - Accent4 3 3 2 2 6" xfId="33663"/>
    <cellStyle name="20% - Accent4 3 3 2 3" xfId="13558"/>
    <cellStyle name="20% - Accent4 3 3 2 3 2" xfId="26806"/>
    <cellStyle name="20% - Accent4 3 3 2 3 2 2" xfId="49051"/>
    <cellStyle name="20% - Accent4 3 3 2 3 3" xfId="24593"/>
    <cellStyle name="20% - Accent4 3 3 2 3 3 2" xfId="46838"/>
    <cellStyle name="20% - Accent4 3 3 2 3 4" xfId="36979"/>
    <cellStyle name="20% - Accent4 3 3 2 4" xfId="25167"/>
    <cellStyle name="20% - Accent4 3 3 2 4 2" xfId="27472"/>
    <cellStyle name="20% - Accent4 3 3 2 4 2 2" xfId="49717"/>
    <cellStyle name="20% - Accent4 3 3 2 4 3" xfId="47412"/>
    <cellStyle name="20% - Accent4 3 3 2 5" xfId="26135"/>
    <cellStyle name="20% - Accent4 3 3 2 5 2" xfId="48380"/>
    <cellStyle name="20% - Accent4 3 3 2 6" xfId="23944"/>
    <cellStyle name="20% - Accent4 3 3 2 6 2" xfId="46190"/>
    <cellStyle name="20% - Accent4 3 3 2 7" xfId="30347"/>
    <cellStyle name="20% - Accent4 3 3 3" xfId="8504"/>
    <cellStyle name="20% - Accent4 3 3 3 2" xfId="15216"/>
    <cellStyle name="20% - Accent4 3 3 3 2 2" xfId="26972"/>
    <cellStyle name="20% - Accent4 3 3 3 2 2 2" xfId="49217"/>
    <cellStyle name="20% - Accent4 3 3 3 2 3" xfId="24759"/>
    <cellStyle name="20% - Accent4 3 3 3 2 3 2" xfId="47004"/>
    <cellStyle name="20% - Accent4 3 3 3 2 4" xfId="38637"/>
    <cellStyle name="20% - Accent4 3 3 3 3" xfId="25335"/>
    <cellStyle name="20% - Accent4 3 3 3 3 2" xfId="27640"/>
    <cellStyle name="20% - Accent4 3 3 3 3 2 2" xfId="49885"/>
    <cellStyle name="20% - Accent4 3 3 3 3 3" xfId="47580"/>
    <cellStyle name="20% - Accent4 3 3 3 4" xfId="26299"/>
    <cellStyle name="20% - Accent4 3 3 3 4 2" xfId="48544"/>
    <cellStyle name="20% - Accent4 3 3 3 5" xfId="24095"/>
    <cellStyle name="20% - Accent4 3 3 3 5 2" xfId="46341"/>
    <cellStyle name="20% - Accent4 3 3 3 6" xfId="32005"/>
    <cellStyle name="20% - Accent4 3 3 4" xfId="11898"/>
    <cellStyle name="20% - Accent4 3 3 4 2" xfId="26640"/>
    <cellStyle name="20% - Accent4 3 3 4 2 2" xfId="48885"/>
    <cellStyle name="20% - Accent4 3 3 4 3" xfId="24427"/>
    <cellStyle name="20% - Accent4 3 3 4 3 2" xfId="46672"/>
    <cellStyle name="20% - Accent4 3 3 4 4" xfId="35321"/>
    <cellStyle name="20% - Accent4 3 3 5" xfId="23402"/>
    <cellStyle name="20% - Accent4 3 3 5 2" xfId="27304"/>
    <cellStyle name="20% - Accent4 3 3 5 2 2" xfId="49549"/>
    <cellStyle name="20% - Accent4 3 3 5 3" xfId="45747"/>
    <cellStyle name="20% - Accent4 3 3 6" xfId="25693"/>
    <cellStyle name="20% - Accent4 3 3 6 2" xfId="47938"/>
    <cellStyle name="20% - Accent4 3 3 7" xfId="28689"/>
    <cellStyle name="20% - Accent4 3 4" xfId="3114"/>
    <cellStyle name="20% - Accent4 3 4 2" xfId="6839"/>
    <cellStyle name="20% - Accent4 3 4 2 2" xfId="10171"/>
    <cellStyle name="20% - Accent4 3 4 2 2 2" xfId="16875"/>
    <cellStyle name="20% - Accent4 3 4 2 2 2 2" xfId="27096"/>
    <cellStyle name="20% - Accent4 3 4 2 2 2 2 2" xfId="49341"/>
    <cellStyle name="20% - Accent4 3 4 2 2 2 3" xfId="24883"/>
    <cellStyle name="20% - Accent4 3 4 2 2 2 3 2" xfId="47128"/>
    <cellStyle name="20% - Accent4 3 4 2 2 2 4" xfId="40296"/>
    <cellStyle name="20% - Accent4 3 4 2 2 3" xfId="25461"/>
    <cellStyle name="20% - Accent4 3 4 2 2 3 2" xfId="27766"/>
    <cellStyle name="20% - Accent4 3 4 2 2 3 2 2" xfId="50011"/>
    <cellStyle name="20% - Accent4 3 4 2 2 3 3" xfId="47706"/>
    <cellStyle name="20% - Accent4 3 4 2 2 4" xfId="26423"/>
    <cellStyle name="20% - Accent4 3 4 2 2 4 2" xfId="48668"/>
    <cellStyle name="20% - Accent4 3 4 2 2 5" xfId="24219"/>
    <cellStyle name="20% - Accent4 3 4 2 2 5 2" xfId="46465"/>
    <cellStyle name="20% - Accent4 3 4 2 2 6" xfId="33664"/>
    <cellStyle name="20% - Accent4 3 4 2 3" xfId="13559"/>
    <cellStyle name="20% - Accent4 3 4 2 3 2" xfId="26764"/>
    <cellStyle name="20% - Accent4 3 4 2 3 2 2" xfId="49009"/>
    <cellStyle name="20% - Accent4 3 4 2 3 3" xfId="24551"/>
    <cellStyle name="20% - Accent4 3 4 2 3 3 2" xfId="46796"/>
    <cellStyle name="20% - Accent4 3 4 2 3 4" xfId="36980"/>
    <cellStyle name="20% - Accent4 3 4 2 4" xfId="25125"/>
    <cellStyle name="20% - Accent4 3 4 2 4 2" xfId="27430"/>
    <cellStyle name="20% - Accent4 3 4 2 4 2 2" xfId="49675"/>
    <cellStyle name="20% - Accent4 3 4 2 4 3" xfId="47370"/>
    <cellStyle name="20% - Accent4 3 4 2 5" xfId="26095"/>
    <cellStyle name="20% - Accent4 3 4 2 5 2" xfId="48340"/>
    <cellStyle name="20% - Accent4 3 4 2 6" xfId="23904"/>
    <cellStyle name="20% - Accent4 3 4 2 6 2" xfId="46150"/>
    <cellStyle name="20% - Accent4 3 4 2 7" xfId="30348"/>
    <cellStyle name="20% - Accent4 3 4 3" xfId="8505"/>
    <cellStyle name="20% - Accent4 3 4 3 2" xfId="15217"/>
    <cellStyle name="20% - Accent4 3 4 3 2 2" xfId="26930"/>
    <cellStyle name="20% - Accent4 3 4 3 2 2 2" xfId="49175"/>
    <cellStyle name="20% - Accent4 3 4 3 2 3" xfId="24717"/>
    <cellStyle name="20% - Accent4 3 4 3 2 3 2" xfId="46962"/>
    <cellStyle name="20% - Accent4 3 4 3 2 4" xfId="38638"/>
    <cellStyle name="20% - Accent4 3 4 3 3" xfId="25293"/>
    <cellStyle name="20% - Accent4 3 4 3 3 2" xfId="27598"/>
    <cellStyle name="20% - Accent4 3 4 3 3 2 2" xfId="49843"/>
    <cellStyle name="20% - Accent4 3 4 3 3 3" xfId="47538"/>
    <cellStyle name="20% - Accent4 3 4 3 4" xfId="26258"/>
    <cellStyle name="20% - Accent4 3 4 3 4 2" xfId="48503"/>
    <cellStyle name="20% - Accent4 3 4 3 5" xfId="24054"/>
    <cellStyle name="20% - Accent4 3 4 3 5 2" xfId="46300"/>
    <cellStyle name="20% - Accent4 3 4 3 6" xfId="32006"/>
    <cellStyle name="20% - Accent4 3 4 4" xfId="11899"/>
    <cellStyle name="20% - Accent4 3 4 4 2" xfId="26598"/>
    <cellStyle name="20% - Accent4 3 4 4 2 2" xfId="48843"/>
    <cellStyle name="20% - Accent4 3 4 4 3" xfId="24385"/>
    <cellStyle name="20% - Accent4 3 4 4 3 2" xfId="46630"/>
    <cellStyle name="20% - Accent4 3 4 4 4" xfId="35322"/>
    <cellStyle name="20% - Accent4 3 4 5" xfId="23401"/>
    <cellStyle name="20% - Accent4 3 4 5 2" xfId="27262"/>
    <cellStyle name="20% - Accent4 3 4 5 2 2" xfId="49507"/>
    <cellStyle name="20% - Accent4 3 4 5 3" xfId="45746"/>
    <cellStyle name="20% - Accent4 3 4 6" xfId="25694"/>
    <cellStyle name="20% - Accent4 3 4 6 2" xfId="47939"/>
    <cellStyle name="20% - Accent4 3 4 7" xfId="28690"/>
    <cellStyle name="20% - Accent4 3 5" xfId="3115"/>
    <cellStyle name="20% - Accent4 3 5 2" xfId="23984"/>
    <cellStyle name="20% - Accent4 3 5 2 2" xfId="24300"/>
    <cellStyle name="20% - Accent4 3 5 2 2 2" xfId="24965"/>
    <cellStyle name="20% - Accent4 3 5 2 2 2 2" xfId="27178"/>
    <cellStyle name="20% - Accent4 3 5 2 2 2 2 2" xfId="49423"/>
    <cellStyle name="20% - Accent4 3 5 2 2 2 3" xfId="47210"/>
    <cellStyle name="20% - Accent4 3 5 2 2 3" xfId="25545"/>
    <cellStyle name="20% - Accent4 3 5 2 2 3 2" xfId="27850"/>
    <cellStyle name="20% - Accent4 3 5 2 2 3 2 2" xfId="50095"/>
    <cellStyle name="20% - Accent4 3 5 2 2 3 3" xfId="47790"/>
    <cellStyle name="20% - Accent4 3 5 2 2 4" xfId="26504"/>
    <cellStyle name="20% - Accent4 3 5 2 2 4 2" xfId="48749"/>
    <cellStyle name="20% - Accent4 3 5 2 2 5" xfId="46546"/>
    <cellStyle name="20% - Accent4 3 5 2 3" xfId="24633"/>
    <cellStyle name="20% - Accent4 3 5 2 3 2" xfId="26846"/>
    <cellStyle name="20% - Accent4 3 5 2 3 2 2" xfId="49091"/>
    <cellStyle name="20% - Accent4 3 5 2 3 3" xfId="46878"/>
    <cellStyle name="20% - Accent4 3 5 2 4" xfId="25209"/>
    <cellStyle name="20% - Accent4 3 5 2 4 2" xfId="27514"/>
    <cellStyle name="20% - Accent4 3 5 2 4 2 2" xfId="49759"/>
    <cellStyle name="20% - Accent4 3 5 2 4 3" xfId="47454"/>
    <cellStyle name="20% - Accent4 3 5 2 5" xfId="26175"/>
    <cellStyle name="20% - Accent4 3 5 2 5 2" xfId="48420"/>
    <cellStyle name="20% - Accent4 3 5 2 6" xfId="46230"/>
    <cellStyle name="20% - Accent4 3 5 3" xfId="24135"/>
    <cellStyle name="20% - Accent4 3 5 3 2" xfId="24799"/>
    <cellStyle name="20% - Accent4 3 5 3 2 2" xfId="27012"/>
    <cellStyle name="20% - Accent4 3 5 3 2 2 2" xfId="49257"/>
    <cellStyle name="20% - Accent4 3 5 3 2 3" xfId="47044"/>
    <cellStyle name="20% - Accent4 3 5 3 3" xfId="25377"/>
    <cellStyle name="20% - Accent4 3 5 3 3 2" xfId="27682"/>
    <cellStyle name="20% - Accent4 3 5 3 3 2 2" xfId="49927"/>
    <cellStyle name="20% - Accent4 3 5 3 3 3" xfId="47622"/>
    <cellStyle name="20% - Accent4 3 5 3 4" xfId="26339"/>
    <cellStyle name="20% - Accent4 3 5 3 4 2" xfId="48584"/>
    <cellStyle name="20% - Accent4 3 5 3 5" xfId="46381"/>
    <cellStyle name="20% - Accent4 3 5 4" xfId="24467"/>
    <cellStyle name="20% - Accent4 3 5 4 2" xfId="26680"/>
    <cellStyle name="20% - Accent4 3 5 4 2 2" xfId="48925"/>
    <cellStyle name="20% - Accent4 3 5 4 3" xfId="46712"/>
    <cellStyle name="20% - Accent4 3 5 5" xfId="25048"/>
    <cellStyle name="20% - Accent4 3 5 5 2" xfId="27346"/>
    <cellStyle name="20% - Accent4 3 5 5 2 2" xfId="49591"/>
    <cellStyle name="20% - Accent4 3 5 5 3" xfId="47293"/>
    <cellStyle name="20% - Accent4 3 5 6" xfId="23838"/>
    <cellStyle name="20% - Accent4 3 5 6 2" xfId="26029"/>
    <cellStyle name="20% - Accent4 3 5 6 2 2" xfId="48274"/>
    <cellStyle name="20% - Accent4 3 5 6 3" xfId="46084"/>
    <cellStyle name="20% - Accent4 3 6" xfId="3109"/>
    <cellStyle name="20% - Accent4 3 6 2" xfId="6834"/>
    <cellStyle name="20% - Accent4 3 6 2 2" xfId="10166"/>
    <cellStyle name="20% - Accent4 3 6 2 2 2" xfId="16870"/>
    <cellStyle name="20% - Accent4 3 6 2 2 2 2" xfId="27054"/>
    <cellStyle name="20% - Accent4 3 6 2 2 2 2 2" xfId="49299"/>
    <cellStyle name="20% - Accent4 3 6 2 2 2 3" xfId="40291"/>
    <cellStyle name="20% - Accent4 3 6 2 2 3" xfId="24841"/>
    <cellStyle name="20% - Accent4 3 6 2 2 3 2" xfId="47086"/>
    <cellStyle name="20% - Accent4 3 6 2 2 4" xfId="33659"/>
    <cellStyle name="20% - Accent4 3 6 2 3" xfId="13554"/>
    <cellStyle name="20% - Accent4 3 6 2 3 2" xfId="27724"/>
    <cellStyle name="20% - Accent4 3 6 2 3 2 2" xfId="49969"/>
    <cellStyle name="20% - Accent4 3 6 2 3 3" xfId="25419"/>
    <cellStyle name="20% - Accent4 3 6 2 3 3 2" xfId="47664"/>
    <cellStyle name="20% - Accent4 3 6 2 3 4" xfId="36975"/>
    <cellStyle name="20% - Accent4 3 6 2 4" xfId="26381"/>
    <cellStyle name="20% - Accent4 3 6 2 4 2" xfId="48626"/>
    <cellStyle name="20% - Accent4 3 6 2 5" xfId="24177"/>
    <cellStyle name="20% - Accent4 3 6 2 5 2" xfId="46423"/>
    <cellStyle name="20% - Accent4 3 6 2 6" xfId="30343"/>
    <cellStyle name="20% - Accent4 3 6 3" xfId="8500"/>
    <cellStyle name="20% - Accent4 3 6 3 2" xfId="15212"/>
    <cellStyle name="20% - Accent4 3 6 3 2 2" xfId="26722"/>
    <cellStyle name="20% - Accent4 3 6 3 2 2 2" xfId="48967"/>
    <cellStyle name="20% - Accent4 3 6 3 2 3" xfId="38633"/>
    <cellStyle name="20% - Accent4 3 6 3 3" xfId="24509"/>
    <cellStyle name="20% - Accent4 3 6 3 3 2" xfId="46754"/>
    <cellStyle name="20% - Accent4 3 6 3 4" xfId="32001"/>
    <cellStyle name="20% - Accent4 3 6 4" xfId="11894"/>
    <cellStyle name="20% - Accent4 3 6 4 2" xfId="27388"/>
    <cellStyle name="20% - Accent4 3 6 4 2 2" xfId="49633"/>
    <cellStyle name="20% - Accent4 3 6 4 3" xfId="25083"/>
    <cellStyle name="20% - Accent4 3 6 4 3 2" xfId="47328"/>
    <cellStyle name="20% - Accent4 3 6 4 4" xfId="35317"/>
    <cellStyle name="20% - Accent4 3 6 5" xfId="25689"/>
    <cellStyle name="20% - Accent4 3 6 5 2" xfId="47934"/>
    <cellStyle name="20% - Accent4 3 6 6" xfId="23358"/>
    <cellStyle name="20% - Accent4 3 6 6 2" xfId="45703"/>
    <cellStyle name="20% - Accent4 3 6 7" xfId="28685"/>
    <cellStyle name="20% - Accent4 3 7" xfId="23406"/>
    <cellStyle name="20% - Accent4 3 7 2" xfId="24675"/>
    <cellStyle name="20% - Accent4 3 7 2 2" xfId="26888"/>
    <cellStyle name="20% - Accent4 3 7 2 2 2" xfId="49133"/>
    <cellStyle name="20% - Accent4 3 7 2 3" xfId="46920"/>
    <cellStyle name="20% - Accent4 3 7 3" xfId="25251"/>
    <cellStyle name="20% - Accent4 3 7 3 2" xfId="27556"/>
    <cellStyle name="20% - Accent4 3 7 3 2 2" xfId="49801"/>
    <cellStyle name="20% - Accent4 3 7 3 3" xfId="47496"/>
    <cellStyle name="20% - Accent4 3 7 4" xfId="26216"/>
    <cellStyle name="20% - Accent4 3 7 4 2" xfId="48461"/>
    <cellStyle name="20% - Accent4 3 7 5" xfId="45751"/>
    <cellStyle name="20% - Accent4 3 8" xfId="24353"/>
    <cellStyle name="20% - Accent4 3 8 2" xfId="26556"/>
    <cellStyle name="20% - Accent4 3 8 2 2" xfId="48801"/>
    <cellStyle name="20% - Accent4 3 8 3" xfId="46598"/>
    <cellStyle name="20% - Accent4 3 9" xfId="25007"/>
    <cellStyle name="20% - Accent4 3 9 2" xfId="27220"/>
    <cellStyle name="20% - Accent4 3 9 2 2" xfId="49465"/>
    <cellStyle name="20% - Accent4 3 9 3" xfId="47252"/>
    <cellStyle name="20% - Accent4 4" xfId="3108"/>
    <cellStyle name="20% - Accent4 4 2" xfId="25665"/>
    <cellStyle name="20% - Accent4 4 2 2" xfId="47910"/>
    <cellStyle name="20% - Accent4 5" xfId="7722"/>
    <cellStyle name="20% - Accent4 5 2" xfId="11051"/>
    <cellStyle name="20% - Accent4 5 2 2" xfId="17755"/>
    <cellStyle name="20% - Accent4 5 2 2 2" xfId="41176"/>
    <cellStyle name="20% - Accent4 5 2 3" xfId="34544"/>
    <cellStyle name="20% - Accent4 5 3" xfId="14439"/>
    <cellStyle name="20% - Accent4 5 3 2" xfId="37860"/>
    <cellStyle name="20% - Accent4 5 4" xfId="31228"/>
    <cellStyle name="20% - Accent4 6" xfId="9393"/>
    <cellStyle name="20% - Accent4 6 2" xfId="16097"/>
    <cellStyle name="20% - Accent4 6 2 2" xfId="39518"/>
    <cellStyle name="20% - Accent4 6 3" xfId="32886"/>
    <cellStyle name="20% - Accent4 7" xfId="12781"/>
    <cellStyle name="20% - Accent4 7 2" xfId="36202"/>
    <cellStyle name="20% - Accent4 8" xfId="23289"/>
    <cellStyle name="20% - Accent4 8 2" xfId="45661"/>
    <cellStyle name="20% - Accent4 9" xfId="29570"/>
    <cellStyle name="20% - Accent5" xfId="6056" builtinId="46" customBuiltin="1"/>
    <cellStyle name="20% - Accent5 2" xfId="195"/>
    <cellStyle name="20% - Accent5 2 2" xfId="196"/>
    <cellStyle name="20% - Accent5 3" xfId="1032"/>
    <cellStyle name="20% - Accent5 3 10" xfId="25695"/>
    <cellStyle name="20% - Accent5 3 10 2" xfId="47940"/>
    <cellStyle name="20% - Accent5 3 2" xfId="3118"/>
    <cellStyle name="20% - Accent5 3 2 10" xfId="28692"/>
    <cellStyle name="20% - Accent5 3 2 2" xfId="3119"/>
    <cellStyle name="20% - Accent5 3 2 2 2" xfId="6842"/>
    <cellStyle name="20% - Accent5 3 2 2 2 2" xfId="10174"/>
    <cellStyle name="20% - Accent5 3 2 2 2 2 2" xfId="16878"/>
    <cellStyle name="20% - Accent5 3 2 2 2 2 2 2" xfId="27159"/>
    <cellStyle name="20% - Accent5 3 2 2 2 2 2 2 2" xfId="49404"/>
    <cellStyle name="20% - Accent5 3 2 2 2 2 2 3" xfId="24946"/>
    <cellStyle name="20% - Accent5 3 2 2 2 2 2 3 2" xfId="47191"/>
    <cellStyle name="20% - Accent5 3 2 2 2 2 2 4" xfId="40299"/>
    <cellStyle name="20% - Accent5 3 2 2 2 2 3" xfId="25525"/>
    <cellStyle name="20% - Accent5 3 2 2 2 2 3 2" xfId="27830"/>
    <cellStyle name="20% - Accent5 3 2 2 2 2 3 2 2" xfId="50075"/>
    <cellStyle name="20% - Accent5 3 2 2 2 2 3 3" xfId="47770"/>
    <cellStyle name="20% - Accent5 3 2 2 2 2 4" xfId="26485"/>
    <cellStyle name="20% - Accent5 3 2 2 2 2 4 2" xfId="48730"/>
    <cellStyle name="20% - Accent5 3 2 2 2 2 5" xfId="24281"/>
    <cellStyle name="20% - Accent5 3 2 2 2 2 5 2" xfId="46527"/>
    <cellStyle name="20% - Accent5 3 2 2 2 2 6" xfId="33667"/>
    <cellStyle name="20% - Accent5 3 2 2 2 3" xfId="13562"/>
    <cellStyle name="20% - Accent5 3 2 2 2 3 2" xfId="26827"/>
    <cellStyle name="20% - Accent5 3 2 2 2 3 2 2" xfId="49072"/>
    <cellStyle name="20% - Accent5 3 2 2 2 3 3" xfId="24614"/>
    <cellStyle name="20% - Accent5 3 2 2 2 3 3 2" xfId="46859"/>
    <cellStyle name="20% - Accent5 3 2 2 2 3 4" xfId="36983"/>
    <cellStyle name="20% - Accent5 3 2 2 2 4" xfId="25189"/>
    <cellStyle name="20% - Accent5 3 2 2 2 4 2" xfId="27494"/>
    <cellStyle name="20% - Accent5 3 2 2 2 4 2 2" xfId="49739"/>
    <cellStyle name="20% - Accent5 3 2 2 2 4 3" xfId="47434"/>
    <cellStyle name="20% - Accent5 3 2 2 2 5" xfId="26156"/>
    <cellStyle name="20% - Accent5 3 2 2 2 5 2" xfId="48401"/>
    <cellStyle name="20% - Accent5 3 2 2 2 6" xfId="23965"/>
    <cellStyle name="20% - Accent5 3 2 2 2 6 2" xfId="46211"/>
    <cellStyle name="20% - Accent5 3 2 2 2 7" xfId="30351"/>
    <cellStyle name="20% - Accent5 3 2 2 3" xfId="8508"/>
    <cellStyle name="20% - Accent5 3 2 2 3 2" xfId="15220"/>
    <cellStyle name="20% - Accent5 3 2 2 3 2 2" xfId="26993"/>
    <cellStyle name="20% - Accent5 3 2 2 3 2 2 2" xfId="49238"/>
    <cellStyle name="20% - Accent5 3 2 2 3 2 3" xfId="24780"/>
    <cellStyle name="20% - Accent5 3 2 2 3 2 3 2" xfId="47025"/>
    <cellStyle name="20% - Accent5 3 2 2 3 2 4" xfId="38641"/>
    <cellStyle name="20% - Accent5 3 2 2 3 3" xfId="25357"/>
    <cellStyle name="20% - Accent5 3 2 2 3 3 2" xfId="27662"/>
    <cellStyle name="20% - Accent5 3 2 2 3 3 2 2" xfId="49907"/>
    <cellStyle name="20% - Accent5 3 2 2 3 3 3" xfId="47602"/>
    <cellStyle name="20% - Accent5 3 2 2 3 4" xfId="26320"/>
    <cellStyle name="20% - Accent5 3 2 2 3 4 2" xfId="48565"/>
    <cellStyle name="20% - Accent5 3 2 2 3 5" xfId="24116"/>
    <cellStyle name="20% - Accent5 3 2 2 3 5 2" xfId="46362"/>
    <cellStyle name="20% - Accent5 3 2 2 3 6" xfId="32009"/>
    <cellStyle name="20% - Accent5 3 2 2 4" xfId="11902"/>
    <cellStyle name="20% - Accent5 3 2 2 4 2" xfId="26661"/>
    <cellStyle name="20% - Accent5 3 2 2 4 2 2" xfId="48906"/>
    <cellStyle name="20% - Accent5 3 2 2 4 3" xfId="24448"/>
    <cellStyle name="20% - Accent5 3 2 2 4 3 2" xfId="46693"/>
    <cellStyle name="20% - Accent5 3 2 2 4 4" xfId="35325"/>
    <cellStyle name="20% - Accent5 3 2 2 5" xfId="23398"/>
    <cellStyle name="20% - Accent5 3 2 2 5 2" xfId="27326"/>
    <cellStyle name="20% - Accent5 3 2 2 5 2 2" xfId="49571"/>
    <cellStyle name="20% - Accent5 3 2 2 5 3" xfId="45743"/>
    <cellStyle name="20% - Accent5 3 2 2 6" xfId="25697"/>
    <cellStyle name="20% - Accent5 3 2 2 6 2" xfId="47942"/>
    <cellStyle name="20% - Accent5 3 2 2 7" xfId="28693"/>
    <cellStyle name="20% - Accent5 3 2 3" xfId="3120"/>
    <cellStyle name="20% - Accent5 3 2 3 2" xfId="6843"/>
    <cellStyle name="20% - Accent5 3 2 3 2 2" xfId="10175"/>
    <cellStyle name="20% - Accent5 3 2 3 2 2 2" xfId="16879"/>
    <cellStyle name="20% - Accent5 3 2 3 2 2 2 2" xfId="27118"/>
    <cellStyle name="20% - Accent5 3 2 3 2 2 2 2 2" xfId="49363"/>
    <cellStyle name="20% - Accent5 3 2 3 2 2 2 3" xfId="24905"/>
    <cellStyle name="20% - Accent5 3 2 3 2 2 2 3 2" xfId="47150"/>
    <cellStyle name="20% - Accent5 3 2 3 2 2 2 4" xfId="40300"/>
    <cellStyle name="20% - Accent5 3 2 3 2 2 3" xfId="25483"/>
    <cellStyle name="20% - Accent5 3 2 3 2 2 3 2" xfId="27788"/>
    <cellStyle name="20% - Accent5 3 2 3 2 2 3 2 2" xfId="50033"/>
    <cellStyle name="20% - Accent5 3 2 3 2 2 3 3" xfId="47728"/>
    <cellStyle name="20% - Accent5 3 2 3 2 2 4" xfId="26445"/>
    <cellStyle name="20% - Accent5 3 2 3 2 2 4 2" xfId="48690"/>
    <cellStyle name="20% - Accent5 3 2 3 2 2 5" xfId="24241"/>
    <cellStyle name="20% - Accent5 3 2 3 2 2 5 2" xfId="46487"/>
    <cellStyle name="20% - Accent5 3 2 3 2 2 6" xfId="33668"/>
    <cellStyle name="20% - Accent5 3 2 3 2 3" xfId="13563"/>
    <cellStyle name="20% - Accent5 3 2 3 2 3 2" xfId="26786"/>
    <cellStyle name="20% - Accent5 3 2 3 2 3 2 2" xfId="49031"/>
    <cellStyle name="20% - Accent5 3 2 3 2 3 3" xfId="24573"/>
    <cellStyle name="20% - Accent5 3 2 3 2 3 3 2" xfId="46818"/>
    <cellStyle name="20% - Accent5 3 2 3 2 3 4" xfId="36984"/>
    <cellStyle name="20% - Accent5 3 2 3 2 4" xfId="25147"/>
    <cellStyle name="20% - Accent5 3 2 3 2 4 2" xfId="27452"/>
    <cellStyle name="20% - Accent5 3 2 3 2 4 2 2" xfId="49697"/>
    <cellStyle name="20% - Accent5 3 2 3 2 4 3" xfId="47392"/>
    <cellStyle name="20% - Accent5 3 2 3 2 5" xfId="26116"/>
    <cellStyle name="20% - Accent5 3 2 3 2 5 2" xfId="48361"/>
    <cellStyle name="20% - Accent5 3 2 3 2 6" xfId="23925"/>
    <cellStyle name="20% - Accent5 3 2 3 2 6 2" xfId="46171"/>
    <cellStyle name="20% - Accent5 3 2 3 2 7" xfId="30352"/>
    <cellStyle name="20% - Accent5 3 2 3 3" xfId="8509"/>
    <cellStyle name="20% - Accent5 3 2 3 3 2" xfId="15221"/>
    <cellStyle name="20% - Accent5 3 2 3 3 2 2" xfId="26952"/>
    <cellStyle name="20% - Accent5 3 2 3 3 2 2 2" xfId="49197"/>
    <cellStyle name="20% - Accent5 3 2 3 3 2 3" xfId="24739"/>
    <cellStyle name="20% - Accent5 3 2 3 3 2 3 2" xfId="46984"/>
    <cellStyle name="20% - Accent5 3 2 3 3 2 4" xfId="38642"/>
    <cellStyle name="20% - Accent5 3 2 3 3 3" xfId="25315"/>
    <cellStyle name="20% - Accent5 3 2 3 3 3 2" xfId="27620"/>
    <cellStyle name="20% - Accent5 3 2 3 3 3 2 2" xfId="49865"/>
    <cellStyle name="20% - Accent5 3 2 3 3 3 3" xfId="47560"/>
    <cellStyle name="20% - Accent5 3 2 3 3 4" xfId="26280"/>
    <cellStyle name="20% - Accent5 3 2 3 3 4 2" xfId="48525"/>
    <cellStyle name="20% - Accent5 3 2 3 3 5" xfId="24076"/>
    <cellStyle name="20% - Accent5 3 2 3 3 5 2" xfId="46322"/>
    <cellStyle name="20% - Accent5 3 2 3 3 6" xfId="32010"/>
    <cellStyle name="20% - Accent5 3 2 3 4" xfId="11903"/>
    <cellStyle name="20% - Accent5 3 2 3 4 2" xfId="26620"/>
    <cellStyle name="20% - Accent5 3 2 3 4 2 2" xfId="48865"/>
    <cellStyle name="20% - Accent5 3 2 3 4 3" xfId="24407"/>
    <cellStyle name="20% - Accent5 3 2 3 4 3 2" xfId="46652"/>
    <cellStyle name="20% - Accent5 3 2 3 4 4" xfId="35326"/>
    <cellStyle name="20% - Accent5 3 2 3 5" xfId="23218"/>
    <cellStyle name="20% - Accent5 3 2 3 5 2" xfId="27284"/>
    <cellStyle name="20% - Accent5 3 2 3 5 2 2" xfId="49529"/>
    <cellStyle name="20% - Accent5 3 2 3 5 3" xfId="45627"/>
    <cellStyle name="20% - Accent5 3 2 3 6" xfId="25698"/>
    <cellStyle name="20% - Accent5 3 2 3 6 2" xfId="47943"/>
    <cellStyle name="20% - Accent5 3 2 3 7" xfId="28694"/>
    <cellStyle name="20% - Accent5 3 2 4" xfId="6841"/>
    <cellStyle name="20% - Accent5 3 2 4 2" xfId="10173"/>
    <cellStyle name="20% - Accent5 3 2 4 2 2" xfId="16877"/>
    <cellStyle name="20% - Accent5 3 2 4 2 2 2" xfId="24987"/>
    <cellStyle name="20% - Accent5 3 2 4 2 2 2 2" xfId="27200"/>
    <cellStyle name="20% - Accent5 3 2 4 2 2 2 2 2" xfId="49445"/>
    <cellStyle name="20% - Accent5 3 2 4 2 2 2 3" xfId="47232"/>
    <cellStyle name="20% - Accent5 3 2 4 2 2 3" xfId="25567"/>
    <cellStyle name="20% - Accent5 3 2 4 2 2 3 2" xfId="27872"/>
    <cellStyle name="20% - Accent5 3 2 4 2 2 3 2 2" xfId="50117"/>
    <cellStyle name="20% - Accent5 3 2 4 2 2 3 3" xfId="47812"/>
    <cellStyle name="20% - Accent5 3 2 4 2 2 4" xfId="26526"/>
    <cellStyle name="20% - Accent5 3 2 4 2 2 4 2" xfId="48771"/>
    <cellStyle name="20% - Accent5 3 2 4 2 2 5" xfId="24322"/>
    <cellStyle name="20% - Accent5 3 2 4 2 2 5 2" xfId="46568"/>
    <cellStyle name="20% - Accent5 3 2 4 2 2 6" xfId="40298"/>
    <cellStyle name="20% - Accent5 3 2 4 2 3" xfId="24655"/>
    <cellStyle name="20% - Accent5 3 2 4 2 3 2" xfId="26868"/>
    <cellStyle name="20% - Accent5 3 2 4 2 3 2 2" xfId="49113"/>
    <cellStyle name="20% - Accent5 3 2 4 2 3 3" xfId="46900"/>
    <cellStyle name="20% - Accent5 3 2 4 2 4" xfId="25231"/>
    <cellStyle name="20% - Accent5 3 2 4 2 4 2" xfId="27536"/>
    <cellStyle name="20% - Accent5 3 2 4 2 4 2 2" xfId="49781"/>
    <cellStyle name="20% - Accent5 3 2 4 2 4 3" xfId="47476"/>
    <cellStyle name="20% - Accent5 3 2 4 2 5" xfId="26197"/>
    <cellStyle name="20% - Accent5 3 2 4 2 5 2" xfId="48442"/>
    <cellStyle name="20% - Accent5 3 2 4 2 6" xfId="24006"/>
    <cellStyle name="20% - Accent5 3 2 4 2 6 2" xfId="46252"/>
    <cellStyle name="20% - Accent5 3 2 4 2 7" xfId="33666"/>
    <cellStyle name="20% - Accent5 3 2 4 3" xfId="13561"/>
    <cellStyle name="20% - Accent5 3 2 4 3 2" xfId="24821"/>
    <cellStyle name="20% - Accent5 3 2 4 3 2 2" xfId="27034"/>
    <cellStyle name="20% - Accent5 3 2 4 3 2 2 2" xfId="49279"/>
    <cellStyle name="20% - Accent5 3 2 4 3 2 3" xfId="47066"/>
    <cellStyle name="20% - Accent5 3 2 4 3 3" xfId="25399"/>
    <cellStyle name="20% - Accent5 3 2 4 3 3 2" xfId="27704"/>
    <cellStyle name="20% - Accent5 3 2 4 3 3 2 2" xfId="49949"/>
    <cellStyle name="20% - Accent5 3 2 4 3 3 3" xfId="47644"/>
    <cellStyle name="20% - Accent5 3 2 4 3 4" xfId="26361"/>
    <cellStyle name="20% - Accent5 3 2 4 3 4 2" xfId="48606"/>
    <cellStyle name="20% - Accent5 3 2 4 3 5" xfId="24157"/>
    <cellStyle name="20% - Accent5 3 2 4 3 5 2" xfId="46403"/>
    <cellStyle name="20% - Accent5 3 2 4 3 6" xfId="36982"/>
    <cellStyle name="20% - Accent5 3 2 4 4" xfId="24489"/>
    <cellStyle name="20% - Accent5 3 2 4 4 2" xfId="26702"/>
    <cellStyle name="20% - Accent5 3 2 4 4 2 2" xfId="48947"/>
    <cellStyle name="20% - Accent5 3 2 4 4 3" xfId="46734"/>
    <cellStyle name="20% - Accent5 3 2 4 5" xfId="25063"/>
    <cellStyle name="20% - Accent5 3 2 4 5 2" xfId="27368"/>
    <cellStyle name="20% - Accent5 3 2 4 5 2 2" xfId="49613"/>
    <cellStyle name="20% - Accent5 3 2 4 5 3" xfId="47308"/>
    <cellStyle name="20% - Accent5 3 2 4 6" xfId="26044"/>
    <cellStyle name="20% - Accent5 3 2 4 6 2" xfId="48289"/>
    <cellStyle name="20% - Accent5 3 2 4 7" xfId="23853"/>
    <cellStyle name="20% - Accent5 3 2 4 7 2" xfId="46099"/>
    <cellStyle name="20% - Accent5 3 2 4 8" xfId="30350"/>
    <cellStyle name="20% - Accent5 3 2 5" xfId="8507"/>
    <cellStyle name="20% - Accent5 3 2 5 2" xfId="15219"/>
    <cellStyle name="20% - Accent5 3 2 5 2 2" xfId="24863"/>
    <cellStyle name="20% - Accent5 3 2 5 2 2 2" xfId="27076"/>
    <cellStyle name="20% - Accent5 3 2 5 2 2 2 2" xfId="49321"/>
    <cellStyle name="20% - Accent5 3 2 5 2 2 3" xfId="47108"/>
    <cellStyle name="20% - Accent5 3 2 5 2 3" xfId="25441"/>
    <cellStyle name="20% - Accent5 3 2 5 2 3 2" xfId="27746"/>
    <cellStyle name="20% - Accent5 3 2 5 2 3 2 2" xfId="49991"/>
    <cellStyle name="20% - Accent5 3 2 5 2 3 3" xfId="47686"/>
    <cellStyle name="20% - Accent5 3 2 5 2 4" xfId="26403"/>
    <cellStyle name="20% - Accent5 3 2 5 2 4 2" xfId="48648"/>
    <cellStyle name="20% - Accent5 3 2 5 2 5" xfId="24199"/>
    <cellStyle name="20% - Accent5 3 2 5 2 5 2" xfId="46445"/>
    <cellStyle name="20% - Accent5 3 2 5 2 6" xfId="38640"/>
    <cellStyle name="20% - Accent5 3 2 5 3" xfId="24531"/>
    <cellStyle name="20% - Accent5 3 2 5 3 2" xfId="26744"/>
    <cellStyle name="20% - Accent5 3 2 5 3 2 2" xfId="48989"/>
    <cellStyle name="20% - Accent5 3 2 5 3 3" xfId="46776"/>
    <cellStyle name="20% - Accent5 3 2 5 4" xfId="25105"/>
    <cellStyle name="20% - Accent5 3 2 5 4 2" xfId="27410"/>
    <cellStyle name="20% - Accent5 3 2 5 4 2 2" xfId="49655"/>
    <cellStyle name="20% - Accent5 3 2 5 4 3" xfId="47350"/>
    <cellStyle name="20% - Accent5 3 2 5 5" xfId="26077"/>
    <cellStyle name="20% - Accent5 3 2 5 5 2" xfId="48322"/>
    <cellStyle name="20% - Accent5 3 2 5 6" xfId="23886"/>
    <cellStyle name="20% - Accent5 3 2 5 6 2" xfId="46132"/>
    <cellStyle name="20% - Accent5 3 2 5 7" xfId="32008"/>
    <cellStyle name="20% - Accent5 3 2 6" xfId="11901"/>
    <cellStyle name="20% - Accent5 3 2 6 2" xfId="24697"/>
    <cellStyle name="20% - Accent5 3 2 6 2 2" xfId="26910"/>
    <cellStyle name="20% - Accent5 3 2 6 2 2 2" xfId="49155"/>
    <cellStyle name="20% - Accent5 3 2 6 2 3" xfId="46942"/>
    <cellStyle name="20% - Accent5 3 2 6 3" xfId="25273"/>
    <cellStyle name="20% - Accent5 3 2 6 3 2" xfId="27578"/>
    <cellStyle name="20% - Accent5 3 2 6 3 2 2" xfId="49823"/>
    <cellStyle name="20% - Accent5 3 2 6 3 3" xfId="47518"/>
    <cellStyle name="20% - Accent5 3 2 6 4" xfId="26238"/>
    <cellStyle name="20% - Accent5 3 2 6 4 2" xfId="48483"/>
    <cellStyle name="20% - Accent5 3 2 6 5" xfId="24035"/>
    <cellStyle name="20% - Accent5 3 2 6 5 2" xfId="46281"/>
    <cellStyle name="20% - Accent5 3 2 6 6" xfId="35324"/>
    <cellStyle name="20% - Accent5 3 2 7" xfId="23400"/>
    <cellStyle name="20% - Accent5 3 2 7 2" xfId="26578"/>
    <cellStyle name="20% - Accent5 3 2 7 2 2" xfId="48823"/>
    <cellStyle name="20% - Accent5 3 2 7 3" xfId="45745"/>
    <cellStyle name="20% - Accent5 3 2 8" xfId="25029"/>
    <cellStyle name="20% - Accent5 3 2 8 2" xfId="27242"/>
    <cellStyle name="20% - Accent5 3 2 8 2 2" xfId="49487"/>
    <cellStyle name="20% - Accent5 3 2 8 3" xfId="47274"/>
    <cellStyle name="20% - Accent5 3 2 9" xfId="25696"/>
    <cellStyle name="20% - Accent5 3 2 9 2" xfId="47941"/>
    <cellStyle name="20% - Accent5 3 3" xfId="3121"/>
    <cellStyle name="20% - Accent5 3 3 2" xfId="6844"/>
    <cellStyle name="20% - Accent5 3 3 2 2" xfId="10176"/>
    <cellStyle name="20% - Accent5 3 3 2 2 2" xfId="16880"/>
    <cellStyle name="20% - Accent5 3 3 2 2 2 2" xfId="27139"/>
    <cellStyle name="20% - Accent5 3 3 2 2 2 2 2" xfId="49384"/>
    <cellStyle name="20% - Accent5 3 3 2 2 2 3" xfId="24926"/>
    <cellStyle name="20% - Accent5 3 3 2 2 2 3 2" xfId="47171"/>
    <cellStyle name="20% - Accent5 3 3 2 2 2 4" xfId="40301"/>
    <cellStyle name="20% - Accent5 3 3 2 2 3" xfId="25504"/>
    <cellStyle name="20% - Accent5 3 3 2 2 3 2" xfId="27809"/>
    <cellStyle name="20% - Accent5 3 3 2 2 3 2 2" xfId="50054"/>
    <cellStyle name="20% - Accent5 3 3 2 2 3 3" xfId="47749"/>
    <cellStyle name="20% - Accent5 3 3 2 2 4" xfId="26465"/>
    <cellStyle name="20% - Accent5 3 3 2 2 4 2" xfId="48710"/>
    <cellStyle name="20% - Accent5 3 3 2 2 5" xfId="24261"/>
    <cellStyle name="20% - Accent5 3 3 2 2 5 2" xfId="46507"/>
    <cellStyle name="20% - Accent5 3 3 2 2 6" xfId="33669"/>
    <cellStyle name="20% - Accent5 3 3 2 3" xfId="13564"/>
    <cellStyle name="20% - Accent5 3 3 2 3 2" xfId="26807"/>
    <cellStyle name="20% - Accent5 3 3 2 3 2 2" xfId="49052"/>
    <cellStyle name="20% - Accent5 3 3 2 3 3" xfId="24594"/>
    <cellStyle name="20% - Accent5 3 3 2 3 3 2" xfId="46839"/>
    <cellStyle name="20% - Accent5 3 3 2 3 4" xfId="36985"/>
    <cellStyle name="20% - Accent5 3 3 2 4" xfId="25168"/>
    <cellStyle name="20% - Accent5 3 3 2 4 2" xfId="27473"/>
    <cellStyle name="20% - Accent5 3 3 2 4 2 2" xfId="49718"/>
    <cellStyle name="20% - Accent5 3 3 2 4 3" xfId="47413"/>
    <cellStyle name="20% - Accent5 3 3 2 5" xfId="26136"/>
    <cellStyle name="20% - Accent5 3 3 2 5 2" xfId="48381"/>
    <cellStyle name="20% - Accent5 3 3 2 6" xfId="23945"/>
    <cellStyle name="20% - Accent5 3 3 2 6 2" xfId="46191"/>
    <cellStyle name="20% - Accent5 3 3 2 7" xfId="30353"/>
    <cellStyle name="20% - Accent5 3 3 3" xfId="8510"/>
    <cellStyle name="20% - Accent5 3 3 3 2" xfId="15222"/>
    <cellStyle name="20% - Accent5 3 3 3 2 2" xfId="26973"/>
    <cellStyle name="20% - Accent5 3 3 3 2 2 2" xfId="49218"/>
    <cellStyle name="20% - Accent5 3 3 3 2 3" xfId="24760"/>
    <cellStyle name="20% - Accent5 3 3 3 2 3 2" xfId="47005"/>
    <cellStyle name="20% - Accent5 3 3 3 2 4" xfId="38643"/>
    <cellStyle name="20% - Accent5 3 3 3 3" xfId="25336"/>
    <cellStyle name="20% - Accent5 3 3 3 3 2" xfId="27641"/>
    <cellStyle name="20% - Accent5 3 3 3 3 2 2" xfId="49886"/>
    <cellStyle name="20% - Accent5 3 3 3 3 3" xfId="47581"/>
    <cellStyle name="20% - Accent5 3 3 3 4" xfId="26300"/>
    <cellStyle name="20% - Accent5 3 3 3 4 2" xfId="48545"/>
    <cellStyle name="20% - Accent5 3 3 3 5" xfId="24096"/>
    <cellStyle name="20% - Accent5 3 3 3 5 2" xfId="46342"/>
    <cellStyle name="20% - Accent5 3 3 3 6" xfId="32011"/>
    <cellStyle name="20% - Accent5 3 3 4" xfId="11904"/>
    <cellStyle name="20% - Accent5 3 3 4 2" xfId="26641"/>
    <cellStyle name="20% - Accent5 3 3 4 2 2" xfId="48886"/>
    <cellStyle name="20% - Accent5 3 3 4 3" xfId="24428"/>
    <cellStyle name="20% - Accent5 3 3 4 3 2" xfId="46673"/>
    <cellStyle name="20% - Accent5 3 3 4 4" xfId="35327"/>
    <cellStyle name="20% - Accent5 3 3 5" xfId="23397"/>
    <cellStyle name="20% - Accent5 3 3 5 2" xfId="27305"/>
    <cellStyle name="20% - Accent5 3 3 5 2 2" xfId="49550"/>
    <cellStyle name="20% - Accent5 3 3 5 3" xfId="45742"/>
    <cellStyle name="20% - Accent5 3 3 6" xfId="25699"/>
    <cellStyle name="20% - Accent5 3 3 6 2" xfId="47944"/>
    <cellStyle name="20% - Accent5 3 3 7" xfId="28695"/>
    <cellStyle name="20% - Accent5 3 4" xfId="3122"/>
    <cellStyle name="20% - Accent5 3 4 2" xfId="6845"/>
    <cellStyle name="20% - Accent5 3 4 2 2" xfId="10177"/>
    <cellStyle name="20% - Accent5 3 4 2 2 2" xfId="16881"/>
    <cellStyle name="20% - Accent5 3 4 2 2 2 2" xfId="27097"/>
    <cellStyle name="20% - Accent5 3 4 2 2 2 2 2" xfId="49342"/>
    <cellStyle name="20% - Accent5 3 4 2 2 2 3" xfId="24884"/>
    <cellStyle name="20% - Accent5 3 4 2 2 2 3 2" xfId="47129"/>
    <cellStyle name="20% - Accent5 3 4 2 2 2 4" xfId="40302"/>
    <cellStyle name="20% - Accent5 3 4 2 2 3" xfId="25462"/>
    <cellStyle name="20% - Accent5 3 4 2 2 3 2" xfId="27767"/>
    <cellStyle name="20% - Accent5 3 4 2 2 3 2 2" xfId="50012"/>
    <cellStyle name="20% - Accent5 3 4 2 2 3 3" xfId="47707"/>
    <cellStyle name="20% - Accent5 3 4 2 2 4" xfId="26424"/>
    <cellStyle name="20% - Accent5 3 4 2 2 4 2" xfId="48669"/>
    <cellStyle name="20% - Accent5 3 4 2 2 5" xfId="24220"/>
    <cellStyle name="20% - Accent5 3 4 2 2 5 2" xfId="46466"/>
    <cellStyle name="20% - Accent5 3 4 2 2 6" xfId="33670"/>
    <cellStyle name="20% - Accent5 3 4 2 3" xfId="13565"/>
    <cellStyle name="20% - Accent5 3 4 2 3 2" xfId="26765"/>
    <cellStyle name="20% - Accent5 3 4 2 3 2 2" xfId="49010"/>
    <cellStyle name="20% - Accent5 3 4 2 3 3" xfId="24552"/>
    <cellStyle name="20% - Accent5 3 4 2 3 3 2" xfId="46797"/>
    <cellStyle name="20% - Accent5 3 4 2 3 4" xfId="36986"/>
    <cellStyle name="20% - Accent5 3 4 2 4" xfId="25126"/>
    <cellStyle name="20% - Accent5 3 4 2 4 2" xfId="27431"/>
    <cellStyle name="20% - Accent5 3 4 2 4 2 2" xfId="49676"/>
    <cellStyle name="20% - Accent5 3 4 2 4 3" xfId="47371"/>
    <cellStyle name="20% - Accent5 3 4 2 5" xfId="26096"/>
    <cellStyle name="20% - Accent5 3 4 2 5 2" xfId="48341"/>
    <cellStyle name="20% - Accent5 3 4 2 6" xfId="23905"/>
    <cellStyle name="20% - Accent5 3 4 2 6 2" xfId="46151"/>
    <cellStyle name="20% - Accent5 3 4 2 7" xfId="30354"/>
    <cellStyle name="20% - Accent5 3 4 3" xfId="8511"/>
    <cellStyle name="20% - Accent5 3 4 3 2" xfId="15223"/>
    <cellStyle name="20% - Accent5 3 4 3 2 2" xfId="26931"/>
    <cellStyle name="20% - Accent5 3 4 3 2 2 2" xfId="49176"/>
    <cellStyle name="20% - Accent5 3 4 3 2 3" xfId="24718"/>
    <cellStyle name="20% - Accent5 3 4 3 2 3 2" xfId="46963"/>
    <cellStyle name="20% - Accent5 3 4 3 2 4" xfId="38644"/>
    <cellStyle name="20% - Accent5 3 4 3 3" xfId="25294"/>
    <cellStyle name="20% - Accent5 3 4 3 3 2" xfId="27599"/>
    <cellStyle name="20% - Accent5 3 4 3 3 2 2" xfId="49844"/>
    <cellStyle name="20% - Accent5 3 4 3 3 3" xfId="47539"/>
    <cellStyle name="20% - Accent5 3 4 3 4" xfId="26259"/>
    <cellStyle name="20% - Accent5 3 4 3 4 2" xfId="48504"/>
    <cellStyle name="20% - Accent5 3 4 3 5" xfId="24055"/>
    <cellStyle name="20% - Accent5 3 4 3 5 2" xfId="46301"/>
    <cellStyle name="20% - Accent5 3 4 3 6" xfId="32012"/>
    <cellStyle name="20% - Accent5 3 4 4" xfId="11905"/>
    <cellStyle name="20% - Accent5 3 4 4 2" xfId="26599"/>
    <cellStyle name="20% - Accent5 3 4 4 2 2" xfId="48844"/>
    <cellStyle name="20% - Accent5 3 4 4 3" xfId="24386"/>
    <cellStyle name="20% - Accent5 3 4 4 3 2" xfId="46631"/>
    <cellStyle name="20% - Accent5 3 4 4 4" xfId="35328"/>
    <cellStyle name="20% - Accent5 3 4 5" xfId="23396"/>
    <cellStyle name="20% - Accent5 3 4 5 2" xfId="27263"/>
    <cellStyle name="20% - Accent5 3 4 5 2 2" xfId="49508"/>
    <cellStyle name="20% - Accent5 3 4 5 3" xfId="45741"/>
    <cellStyle name="20% - Accent5 3 4 6" xfId="25700"/>
    <cellStyle name="20% - Accent5 3 4 6 2" xfId="47945"/>
    <cellStyle name="20% - Accent5 3 4 7" xfId="28696"/>
    <cellStyle name="20% - Accent5 3 5" xfId="3123"/>
    <cellStyle name="20% - Accent5 3 5 2" xfId="23985"/>
    <cellStyle name="20% - Accent5 3 5 2 2" xfId="24301"/>
    <cellStyle name="20% - Accent5 3 5 2 2 2" xfId="24966"/>
    <cellStyle name="20% - Accent5 3 5 2 2 2 2" xfId="27179"/>
    <cellStyle name="20% - Accent5 3 5 2 2 2 2 2" xfId="49424"/>
    <cellStyle name="20% - Accent5 3 5 2 2 2 3" xfId="47211"/>
    <cellStyle name="20% - Accent5 3 5 2 2 3" xfId="25546"/>
    <cellStyle name="20% - Accent5 3 5 2 2 3 2" xfId="27851"/>
    <cellStyle name="20% - Accent5 3 5 2 2 3 2 2" xfId="50096"/>
    <cellStyle name="20% - Accent5 3 5 2 2 3 3" xfId="47791"/>
    <cellStyle name="20% - Accent5 3 5 2 2 4" xfId="26505"/>
    <cellStyle name="20% - Accent5 3 5 2 2 4 2" xfId="48750"/>
    <cellStyle name="20% - Accent5 3 5 2 2 5" xfId="46547"/>
    <cellStyle name="20% - Accent5 3 5 2 3" xfId="24634"/>
    <cellStyle name="20% - Accent5 3 5 2 3 2" xfId="26847"/>
    <cellStyle name="20% - Accent5 3 5 2 3 2 2" xfId="49092"/>
    <cellStyle name="20% - Accent5 3 5 2 3 3" xfId="46879"/>
    <cellStyle name="20% - Accent5 3 5 2 4" xfId="25210"/>
    <cellStyle name="20% - Accent5 3 5 2 4 2" xfId="27515"/>
    <cellStyle name="20% - Accent5 3 5 2 4 2 2" xfId="49760"/>
    <cellStyle name="20% - Accent5 3 5 2 4 3" xfId="47455"/>
    <cellStyle name="20% - Accent5 3 5 2 5" xfId="26176"/>
    <cellStyle name="20% - Accent5 3 5 2 5 2" xfId="48421"/>
    <cellStyle name="20% - Accent5 3 5 2 6" xfId="46231"/>
    <cellStyle name="20% - Accent5 3 5 3" xfId="24136"/>
    <cellStyle name="20% - Accent5 3 5 3 2" xfId="24800"/>
    <cellStyle name="20% - Accent5 3 5 3 2 2" xfId="27013"/>
    <cellStyle name="20% - Accent5 3 5 3 2 2 2" xfId="49258"/>
    <cellStyle name="20% - Accent5 3 5 3 2 3" xfId="47045"/>
    <cellStyle name="20% - Accent5 3 5 3 3" xfId="25378"/>
    <cellStyle name="20% - Accent5 3 5 3 3 2" xfId="27683"/>
    <cellStyle name="20% - Accent5 3 5 3 3 2 2" xfId="49928"/>
    <cellStyle name="20% - Accent5 3 5 3 3 3" xfId="47623"/>
    <cellStyle name="20% - Accent5 3 5 3 4" xfId="26340"/>
    <cellStyle name="20% - Accent5 3 5 3 4 2" xfId="48585"/>
    <cellStyle name="20% - Accent5 3 5 3 5" xfId="46382"/>
    <cellStyle name="20% - Accent5 3 5 4" xfId="24468"/>
    <cellStyle name="20% - Accent5 3 5 4 2" xfId="26681"/>
    <cellStyle name="20% - Accent5 3 5 4 2 2" xfId="48926"/>
    <cellStyle name="20% - Accent5 3 5 4 3" xfId="46713"/>
    <cellStyle name="20% - Accent5 3 5 5" xfId="25049"/>
    <cellStyle name="20% - Accent5 3 5 5 2" xfId="27347"/>
    <cellStyle name="20% - Accent5 3 5 5 2 2" xfId="49592"/>
    <cellStyle name="20% - Accent5 3 5 5 3" xfId="47294"/>
    <cellStyle name="20% - Accent5 3 5 6" xfId="23839"/>
    <cellStyle name="20% - Accent5 3 5 6 2" xfId="26030"/>
    <cellStyle name="20% - Accent5 3 5 6 2 2" xfId="48275"/>
    <cellStyle name="20% - Accent5 3 5 6 3" xfId="46085"/>
    <cellStyle name="20% - Accent5 3 6" xfId="3117"/>
    <cellStyle name="20% - Accent5 3 6 2" xfId="6840"/>
    <cellStyle name="20% - Accent5 3 6 2 2" xfId="10172"/>
    <cellStyle name="20% - Accent5 3 6 2 2 2" xfId="16876"/>
    <cellStyle name="20% - Accent5 3 6 2 2 2 2" xfId="27055"/>
    <cellStyle name="20% - Accent5 3 6 2 2 2 2 2" xfId="49300"/>
    <cellStyle name="20% - Accent5 3 6 2 2 2 3" xfId="40297"/>
    <cellStyle name="20% - Accent5 3 6 2 2 3" xfId="24842"/>
    <cellStyle name="20% - Accent5 3 6 2 2 3 2" xfId="47087"/>
    <cellStyle name="20% - Accent5 3 6 2 2 4" xfId="33665"/>
    <cellStyle name="20% - Accent5 3 6 2 3" xfId="13560"/>
    <cellStyle name="20% - Accent5 3 6 2 3 2" xfId="27725"/>
    <cellStyle name="20% - Accent5 3 6 2 3 2 2" xfId="49970"/>
    <cellStyle name="20% - Accent5 3 6 2 3 3" xfId="25420"/>
    <cellStyle name="20% - Accent5 3 6 2 3 3 2" xfId="47665"/>
    <cellStyle name="20% - Accent5 3 6 2 3 4" xfId="36981"/>
    <cellStyle name="20% - Accent5 3 6 2 4" xfId="26382"/>
    <cellStyle name="20% - Accent5 3 6 2 4 2" xfId="48627"/>
    <cellStyle name="20% - Accent5 3 6 2 5" xfId="24178"/>
    <cellStyle name="20% - Accent5 3 6 2 5 2" xfId="46424"/>
    <cellStyle name="20% - Accent5 3 6 2 6" xfId="30349"/>
    <cellStyle name="20% - Accent5 3 6 3" xfId="8506"/>
    <cellStyle name="20% - Accent5 3 6 3 2" xfId="15218"/>
    <cellStyle name="20% - Accent5 3 6 3 2 2" xfId="26723"/>
    <cellStyle name="20% - Accent5 3 6 3 2 2 2" xfId="48968"/>
    <cellStyle name="20% - Accent5 3 6 3 2 3" xfId="38639"/>
    <cellStyle name="20% - Accent5 3 6 3 3" xfId="24510"/>
    <cellStyle name="20% - Accent5 3 6 3 3 2" xfId="46755"/>
    <cellStyle name="20% - Accent5 3 6 3 4" xfId="32007"/>
    <cellStyle name="20% - Accent5 3 6 4" xfId="11900"/>
    <cellStyle name="20% - Accent5 3 6 4 2" xfId="27389"/>
    <cellStyle name="20% - Accent5 3 6 4 2 2" xfId="49634"/>
    <cellStyle name="20% - Accent5 3 6 4 3" xfId="25084"/>
    <cellStyle name="20% - Accent5 3 6 4 3 2" xfId="47329"/>
    <cellStyle name="20% - Accent5 3 6 4 4" xfId="35323"/>
    <cellStyle name="20% - Accent5 3 6 5" xfId="26061"/>
    <cellStyle name="20% - Accent5 3 6 5 2" xfId="48306"/>
    <cellStyle name="20% - Accent5 3 6 6" xfId="23870"/>
    <cellStyle name="20% - Accent5 3 6 6 2" xfId="46116"/>
    <cellStyle name="20% - Accent5 3 6 7" xfId="28691"/>
    <cellStyle name="20% - Accent5 3 7" xfId="23399"/>
    <cellStyle name="20% - Accent5 3 7 2" xfId="24676"/>
    <cellStyle name="20% - Accent5 3 7 2 2" xfId="26889"/>
    <cellStyle name="20% - Accent5 3 7 2 2 2" xfId="49134"/>
    <cellStyle name="20% - Accent5 3 7 2 3" xfId="46921"/>
    <cellStyle name="20% - Accent5 3 7 3" xfId="25252"/>
    <cellStyle name="20% - Accent5 3 7 3 2" xfId="27557"/>
    <cellStyle name="20% - Accent5 3 7 3 2 2" xfId="49802"/>
    <cellStyle name="20% - Accent5 3 7 3 3" xfId="47497"/>
    <cellStyle name="20% - Accent5 3 7 4" xfId="26217"/>
    <cellStyle name="20% - Accent5 3 7 4 2" xfId="48462"/>
    <cellStyle name="20% - Accent5 3 7 5" xfId="45744"/>
    <cellStyle name="20% - Accent5 3 8" xfId="24354"/>
    <cellStyle name="20% - Accent5 3 8 2" xfId="26557"/>
    <cellStyle name="20% - Accent5 3 8 2 2" xfId="48802"/>
    <cellStyle name="20% - Accent5 3 8 3" xfId="46599"/>
    <cellStyle name="20% - Accent5 3 9" xfId="25008"/>
    <cellStyle name="20% - Accent5 3 9 2" xfId="27221"/>
    <cellStyle name="20% - Accent5 3 9 2 2" xfId="49466"/>
    <cellStyle name="20% - Accent5 3 9 3" xfId="47253"/>
    <cellStyle name="20% - Accent5 4" xfId="3116"/>
    <cellStyle name="20% - Accent5 4 2" xfId="25667"/>
    <cellStyle name="20% - Accent5 4 2 2" xfId="47912"/>
    <cellStyle name="20% - Accent5 5" xfId="7724"/>
    <cellStyle name="20% - Accent5 5 2" xfId="11053"/>
    <cellStyle name="20% - Accent5 5 2 2" xfId="17757"/>
    <cellStyle name="20% - Accent5 5 2 2 2" xfId="41178"/>
    <cellStyle name="20% - Accent5 5 2 3" xfId="34546"/>
    <cellStyle name="20% - Accent5 5 3" xfId="14441"/>
    <cellStyle name="20% - Accent5 5 3 2" xfId="37862"/>
    <cellStyle name="20% - Accent5 5 4" xfId="31230"/>
    <cellStyle name="20% - Accent5 6" xfId="9395"/>
    <cellStyle name="20% - Accent5 6 2" xfId="16099"/>
    <cellStyle name="20% - Accent5 6 2 2" xfId="39520"/>
    <cellStyle name="20% - Accent5 6 3" xfId="32888"/>
    <cellStyle name="20% - Accent5 7" xfId="12783"/>
    <cellStyle name="20% - Accent5 7 2" xfId="36204"/>
    <cellStyle name="20% - Accent5 8" xfId="23353"/>
    <cellStyle name="20% - Accent5 8 2" xfId="45698"/>
    <cellStyle name="20% - Accent5 9" xfId="29572"/>
    <cellStyle name="20% - Accent6" xfId="2840" builtinId="50" customBuiltin="1"/>
    <cellStyle name="20% - Accent6 10" xfId="8477"/>
    <cellStyle name="20% - Accent6 10 2" xfId="15189"/>
    <cellStyle name="20% - Accent6 10 2 2" xfId="26558"/>
    <cellStyle name="20% - Accent6 10 2 2 2" xfId="48803"/>
    <cellStyle name="20% - Accent6 10 2 3" xfId="38610"/>
    <cellStyle name="20% - Accent6 10 3" xfId="24355"/>
    <cellStyle name="20% - Accent6 10 3 2" xfId="46600"/>
    <cellStyle name="20% - Accent6 10 4" xfId="31978"/>
    <cellStyle name="20% - Accent6 11" xfId="11871"/>
    <cellStyle name="20% - Accent6 11 2" xfId="27222"/>
    <cellStyle name="20% - Accent6 11 2 2" xfId="49467"/>
    <cellStyle name="20% - Accent6 11 3" xfId="25009"/>
    <cellStyle name="20% - Accent6 11 3 2" xfId="47254"/>
    <cellStyle name="20% - Accent6 11 4" xfId="35294"/>
    <cellStyle name="20% - Accent6 12" xfId="25669"/>
    <cellStyle name="20% - Accent6 12 2" xfId="47914"/>
    <cellStyle name="20% - Accent6 13" xfId="28662"/>
    <cellStyle name="20% - Accent6 2" xfId="197"/>
    <cellStyle name="20% - Accent6 2 2" xfId="198"/>
    <cellStyle name="20% - Accent6 2 3" xfId="5072"/>
    <cellStyle name="20% - Accent6 2 4" xfId="3125"/>
    <cellStyle name="20% - Accent6 3" xfId="1033"/>
    <cellStyle name="20% - Accent6 3 2" xfId="3127"/>
    <cellStyle name="20% - Accent6 3 2 2" xfId="6847"/>
    <cellStyle name="20% - Accent6 3 2 2 2" xfId="10179"/>
    <cellStyle name="20% - Accent6 3 2 2 2 2" xfId="16883"/>
    <cellStyle name="20% - Accent6 3 2 2 2 2 2" xfId="27160"/>
    <cellStyle name="20% - Accent6 3 2 2 2 2 2 2" xfId="49405"/>
    <cellStyle name="20% - Accent6 3 2 2 2 2 3" xfId="24947"/>
    <cellStyle name="20% - Accent6 3 2 2 2 2 3 2" xfId="47192"/>
    <cellStyle name="20% - Accent6 3 2 2 2 2 4" xfId="40304"/>
    <cellStyle name="20% - Accent6 3 2 2 2 3" xfId="25526"/>
    <cellStyle name="20% - Accent6 3 2 2 2 3 2" xfId="27831"/>
    <cellStyle name="20% - Accent6 3 2 2 2 3 2 2" xfId="50076"/>
    <cellStyle name="20% - Accent6 3 2 2 2 3 3" xfId="47771"/>
    <cellStyle name="20% - Accent6 3 2 2 2 4" xfId="26486"/>
    <cellStyle name="20% - Accent6 3 2 2 2 4 2" xfId="48731"/>
    <cellStyle name="20% - Accent6 3 2 2 2 5" xfId="24282"/>
    <cellStyle name="20% - Accent6 3 2 2 2 5 2" xfId="46528"/>
    <cellStyle name="20% - Accent6 3 2 2 2 6" xfId="33672"/>
    <cellStyle name="20% - Accent6 3 2 2 3" xfId="13567"/>
    <cellStyle name="20% - Accent6 3 2 2 3 2" xfId="26828"/>
    <cellStyle name="20% - Accent6 3 2 2 3 2 2" xfId="49073"/>
    <cellStyle name="20% - Accent6 3 2 2 3 3" xfId="24615"/>
    <cellStyle name="20% - Accent6 3 2 2 3 3 2" xfId="46860"/>
    <cellStyle name="20% - Accent6 3 2 2 3 4" xfId="36988"/>
    <cellStyle name="20% - Accent6 3 2 2 4" xfId="25190"/>
    <cellStyle name="20% - Accent6 3 2 2 4 2" xfId="27495"/>
    <cellStyle name="20% - Accent6 3 2 2 4 2 2" xfId="49740"/>
    <cellStyle name="20% - Accent6 3 2 2 4 3" xfId="47435"/>
    <cellStyle name="20% - Accent6 3 2 2 5" xfId="26157"/>
    <cellStyle name="20% - Accent6 3 2 2 5 2" xfId="48402"/>
    <cellStyle name="20% - Accent6 3 2 2 6" xfId="23966"/>
    <cellStyle name="20% - Accent6 3 2 2 6 2" xfId="46212"/>
    <cellStyle name="20% - Accent6 3 2 2 7" xfId="30356"/>
    <cellStyle name="20% - Accent6 3 2 3" xfId="8513"/>
    <cellStyle name="20% - Accent6 3 2 3 2" xfId="15225"/>
    <cellStyle name="20% - Accent6 3 2 3 2 2" xfId="26994"/>
    <cellStyle name="20% - Accent6 3 2 3 2 2 2" xfId="49239"/>
    <cellStyle name="20% - Accent6 3 2 3 2 3" xfId="24781"/>
    <cellStyle name="20% - Accent6 3 2 3 2 3 2" xfId="47026"/>
    <cellStyle name="20% - Accent6 3 2 3 2 4" xfId="38646"/>
    <cellStyle name="20% - Accent6 3 2 3 3" xfId="25358"/>
    <cellStyle name="20% - Accent6 3 2 3 3 2" xfId="27663"/>
    <cellStyle name="20% - Accent6 3 2 3 3 2 2" xfId="49908"/>
    <cellStyle name="20% - Accent6 3 2 3 3 3" xfId="47603"/>
    <cellStyle name="20% - Accent6 3 2 3 4" xfId="26321"/>
    <cellStyle name="20% - Accent6 3 2 3 4 2" xfId="48566"/>
    <cellStyle name="20% - Accent6 3 2 3 5" xfId="24117"/>
    <cellStyle name="20% - Accent6 3 2 3 5 2" xfId="46363"/>
    <cellStyle name="20% - Accent6 3 2 3 6" xfId="32014"/>
    <cellStyle name="20% - Accent6 3 2 4" xfId="11907"/>
    <cellStyle name="20% - Accent6 3 2 4 2" xfId="26662"/>
    <cellStyle name="20% - Accent6 3 2 4 2 2" xfId="48907"/>
    <cellStyle name="20% - Accent6 3 2 4 3" xfId="24449"/>
    <cellStyle name="20% - Accent6 3 2 4 3 2" xfId="46694"/>
    <cellStyle name="20% - Accent6 3 2 4 4" xfId="35330"/>
    <cellStyle name="20% - Accent6 3 2 5" xfId="23394"/>
    <cellStyle name="20% - Accent6 3 2 5 2" xfId="27327"/>
    <cellStyle name="20% - Accent6 3 2 5 2 2" xfId="49572"/>
    <cellStyle name="20% - Accent6 3 2 5 3" xfId="45739"/>
    <cellStyle name="20% - Accent6 3 2 6" xfId="25702"/>
    <cellStyle name="20% - Accent6 3 2 6 2" xfId="47947"/>
    <cellStyle name="20% - Accent6 3 2 7" xfId="28698"/>
    <cellStyle name="20% - Accent6 3 3" xfId="3128"/>
    <cellStyle name="20% - Accent6 3 3 2" xfId="6848"/>
    <cellStyle name="20% - Accent6 3 3 2 2" xfId="10180"/>
    <cellStyle name="20% - Accent6 3 3 2 2 2" xfId="16884"/>
    <cellStyle name="20% - Accent6 3 3 2 2 2 2" xfId="27119"/>
    <cellStyle name="20% - Accent6 3 3 2 2 2 2 2" xfId="49364"/>
    <cellStyle name="20% - Accent6 3 3 2 2 2 3" xfId="24906"/>
    <cellStyle name="20% - Accent6 3 3 2 2 2 3 2" xfId="47151"/>
    <cellStyle name="20% - Accent6 3 3 2 2 2 4" xfId="40305"/>
    <cellStyle name="20% - Accent6 3 3 2 2 3" xfId="25484"/>
    <cellStyle name="20% - Accent6 3 3 2 2 3 2" xfId="27789"/>
    <cellStyle name="20% - Accent6 3 3 2 2 3 2 2" xfId="50034"/>
    <cellStyle name="20% - Accent6 3 3 2 2 3 3" xfId="47729"/>
    <cellStyle name="20% - Accent6 3 3 2 2 4" xfId="26446"/>
    <cellStyle name="20% - Accent6 3 3 2 2 4 2" xfId="48691"/>
    <cellStyle name="20% - Accent6 3 3 2 2 5" xfId="24242"/>
    <cellStyle name="20% - Accent6 3 3 2 2 5 2" xfId="46488"/>
    <cellStyle name="20% - Accent6 3 3 2 2 6" xfId="33673"/>
    <cellStyle name="20% - Accent6 3 3 2 3" xfId="13568"/>
    <cellStyle name="20% - Accent6 3 3 2 3 2" xfId="26787"/>
    <cellStyle name="20% - Accent6 3 3 2 3 2 2" xfId="49032"/>
    <cellStyle name="20% - Accent6 3 3 2 3 3" xfId="24574"/>
    <cellStyle name="20% - Accent6 3 3 2 3 3 2" xfId="46819"/>
    <cellStyle name="20% - Accent6 3 3 2 3 4" xfId="36989"/>
    <cellStyle name="20% - Accent6 3 3 2 4" xfId="25148"/>
    <cellStyle name="20% - Accent6 3 3 2 4 2" xfId="27453"/>
    <cellStyle name="20% - Accent6 3 3 2 4 2 2" xfId="49698"/>
    <cellStyle name="20% - Accent6 3 3 2 4 3" xfId="47393"/>
    <cellStyle name="20% - Accent6 3 3 2 5" xfId="26117"/>
    <cellStyle name="20% - Accent6 3 3 2 5 2" xfId="48362"/>
    <cellStyle name="20% - Accent6 3 3 2 6" xfId="23926"/>
    <cellStyle name="20% - Accent6 3 3 2 6 2" xfId="46172"/>
    <cellStyle name="20% - Accent6 3 3 2 7" xfId="30357"/>
    <cellStyle name="20% - Accent6 3 3 3" xfId="8514"/>
    <cellStyle name="20% - Accent6 3 3 3 2" xfId="15226"/>
    <cellStyle name="20% - Accent6 3 3 3 2 2" xfId="26953"/>
    <cellStyle name="20% - Accent6 3 3 3 2 2 2" xfId="49198"/>
    <cellStyle name="20% - Accent6 3 3 3 2 3" xfId="24740"/>
    <cellStyle name="20% - Accent6 3 3 3 2 3 2" xfId="46985"/>
    <cellStyle name="20% - Accent6 3 3 3 2 4" xfId="38647"/>
    <cellStyle name="20% - Accent6 3 3 3 3" xfId="25316"/>
    <cellStyle name="20% - Accent6 3 3 3 3 2" xfId="27621"/>
    <cellStyle name="20% - Accent6 3 3 3 3 2 2" xfId="49866"/>
    <cellStyle name="20% - Accent6 3 3 3 3 3" xfId="47561"/>
    <cellStyle name="20% - Accent6 3 3 3 4" xfId="26281"/>
    <cellStyle name="20% - Accent6 3 3 3 4 2" xfId="48526"/>
    <cellStyle name="20% - Accent6 3 3 3 5" xfId="24077"/>
    <cellStyle name="20% - Accent6 3 3 3 5 2" xfId="46323"/>
    <cellStyle name="20% - Accent6 3 3 3 6" xfId="32015"/>
    <cellStyle name="20% - Accent6 3 3 4" xfId="11908"/>
    <cellStyle name="20% - Accent6 3 3 4 2" xfId="26621"/>
    <cellStyle name="20% - Accent6 3 3 4 2 2" xfId="48866"/>
    <cellStyle name="20% - Accent6 3 3 4 3" xfId="24408"/>
    <cellStyle name="20% - Accent6 3 3 4 3 2" xfId="46653"/>
    <cellStyle name="20% - Accent6 3 3 4 4" xfId="35331"/>
    <cellStyle name="20% - Accent6 3 3 5" xfId="23393"/>
    <cellStyle name="20% - Accent6 3 3 5 2" xfId="27285"/>
    <cellStyle name="20% - Accent6 3 3 5 2 2" xfId="49530"/>
    <cellStyle name="20% - Accent6 3 3 5 3" xfId="45738"/>
    <cellStyle name="20% - Accent6 3 3 6" xfId="25703"/>
    <cellStyle name="20% - Accent6 3 3 6 2" xfId="47948"/>
    <cellStyle name="20% - Accent6 3 3 7" xfId="28699"/>
    <cellStyle name="20% - Accent6 3 4" xfId="3129"/>
    <cellStyle name="20% - Accent6 3 4 2" xfId="24007"/>
    <cellStyle name="20% - Accent6 3 4 2 2" xfId="24323"/>
    <cellStyle name="20% - Accent6 3 4 2 2 2" xfId="24988"/>
    <cellStyle name="20% - Accent6 3 4 2 2 2 2" xfId="27201"/>
    <cellStyle name="20% - Accent6 3 4 2 2 2 2 2" xfId="49446"/>
    <cellStyle name="20% - Accent6 3 4 2 2 2 3" xfId="47233"/>
    <cellStyle name="20% - Accent6 3 4 2 2 3" xfId="25568"/>
    <cellStyle name="20% - Accent6 3 4 2 2 3 2" xfId="27873"/>
    <cellStyle name="20% - Accent6 3 4 2 2 3 2 2" xfId="50118"/>
    <cellStyle name="20% - Accent6 3 4 2 2 3 3" xfId="47813"/>
    <cellStyle name="20% - Accent6 3 4 2 2 4" xfId="26527"/>
    <cellStyle name="20% - Accent6 3 4 2 2 4 2" xfId="48772"/>
    <cellStyle name="20% - Accent6 3 4 2 2 5" xfId="46569"/>
    <cellStyle name="20% - Accent6 3 4 2 3" xfId="24656"/>
    <cellStyle name="20% - Accent6 3 4 2 3 2" xfId="26869"/>
    <cellStyle name="20% - Accent6 3 4 2 3 2 2" xfId="49114"/>
    <cellStyle name="20% - Accent6 3 4 2 3 3" xfId="46901"/>
    <cellStyle name="20% - Accent6 3 4 2 4" xfId="25232"/>
    <cellStyle name="20% - Accent6 3 4 2 4 2" xfId="27537"/>
    <cellStyle name="20% - Accent6 3 4 2 4 2 2" xfId="49782"/>
    <cellStyle name="20% - Accent6 3 4 2 4 3" xfId="47477"/>
    <cellStyle name="20% - Accent6 3 4 2 5" xfId="26198"/>
    <cellStyle name="20% - Accent6 3 4 2 5 2" xfId="48443"/>
    <cellStyle name="20% - Accent6 3 4 2 6" xfId="46253"/>
    <cellStyle name="20% - Accent6 3 4 3" xfId="24158"/>
    <cellStyle name="20% - Accent6 3 4 3 2" xfId="24822"/>
    <cellStyle name="20% - Accent6 3 4 3 2 2" xfId="27035"/>
    <cellStyle name="20% - Accent6 3 4 3 2 2 2" xfId="49280"/>
    <cellStyle name="20% - Accent6 3 4 3 2 3" xfId="47067"/>
    <cellStyle name="20% - Accent6 3 4 3 3" xfId="25400"/>
    <cellStyle name="20% - Accent6 3 4 3 3 2" xfId="27705"/>
    <cellStyle name="20% - Accent6 3 4 3 3 2 2" xfId="49950"/>
    <cellStyle name="20% - Accent6 3 4 3 3 3" xfId="47645"/>
    <cellStyle name="20% - Accent6 3 4 3 4" xfId="26362"/>
    <cellStyle name="20% - Accent6 3 4 3 4 2" xfId="48607"/>
    <cellStyle name="20% - Accent6 3 4 3 5" xfId="46404"/>
    <cellStyle name="20% - Accent6 3 4 4" xfId="24490"/>
    <cellStyle name="20% - Accent6 3 4 4 2" xfId="26703"/>
    <cellStyle name="20% - Accent6 3 4 4 2 2" xfId="48948"/>
    <cellStyle name="20% - Accent6 3 4 4 3" xfId="46735"/>
    <cellStyle name="20% - Accent6 3 4 5" xfId="25064"/>
    <cellStyle name="20% - Accent6 3 4 5 2" xfId="27369"/>
    <cellStyle name="20% - Accent6 3 4 5 2 2" xfId="49614"/>
    <cellStyle name="20% - Accent6 3 4 5 3" xfId="47309"/>
    <cellStyle name="20% - Accent6 3 4 6" xfId="23854"/>
    <cellStyle name="20% - Accent6 3 4 6 2" xfId="26045"/>
    <cellStyle name="20% - Accent6 3 4 6 2 2" xfId="48290"/>
    <cellStyle name="20% - Accent6 3 4 6 3" xfId="46100"/>
    <cellStyle name="20% - Accent6 3 5" xfId="3126"/>
    <cellStyle name="20% - Accent6 3 5 2" xfId="6846"/>
    <cellStyle name="20% - Accent6 3 5 2 2" xfId="10178"/>
    <cellStyle name="20% - Accent6 3 5 2 2 2" xfId="16882"/>
    <cellStyle name="20% - Accent6 3 5 2 2 2 2" xfId="27077"/>
    <cellStyle name="20% - Accent6 3 5 2 2 2 2 2" xfId="49322"/>
    <cellStyle name="20% - Accent6 3 5 2 2 2 3" xfId="40303"/>
    <cellStyle name="20% - Accent6 3 5 2 2 3" xfId="24864"/>
    <cellStyle name="20% - Accent6 3 5 2 2 3 2" xfId="47109"/>
    <cellStyle name="20% - Accent6 3 5 2 2 4" xfId="33671"/>
    <cellStyle name="20% - Accent6 3 5 2 3" xfId="13566"/>
    <cellStyle name="20% - Accent6 3 5 2 3 2" xfId="27747"/>
    <cellStyle name="20% - Accent6 3 5 2 3 2 2" xfId="49992"/>
    <cellStyle name="20% - Accent6 3 5 2 3 3" xfId="25442"/>
    <cellStyle name="20% - Accent6 3 5 2 3 3 2" xfId="47687"/>
    <cellStyle name="20% - Accent6 3 5 2 3 4" xfId="36987"/>
    <cellStyle name="20% - Accent6 3 5 2 4" xfId="26404"/>
    <cellStyle name="20% - Accent6 3 5 2 4 2" xfId="48649"/>
    <cellStyle name="20% - Accent6 3 5 2 5" xfId="24200"/>
    <cellStyle name="20% - Accent6 3 5 2 5 2" xfId="46446"/>
    <cellStyle name="20% - Accent6 3 5 2 6" xfId="30355"/>
    <cellStyle name="20% - Accent6 3 5 3" xfId="8512"/>
    <cellStyle name="20% - Accent6 3 5 3 2" xfId="15224"/>
    <cellStyle name="20% - Accent6 3 5 3 2 2" xfId="26745"/>
    <cellStyle name="20% - Accent6 3 5 3 2 2 2" xfId="48990"/>
    <cellStyle name="20% - Accent6 3 5 3 2 3" xfId="38645"/>
    <cellStyle name="20% - Accent6 3 5 3 3" xfId="24532"/>
    <cellStyle name="20% - Accent6 3 5 3 3 2" xfId="46777"/>
    <cellStyle name="20% - Accent6 3 5 3 4" xfId="32013"/>
    <cellStyle name="20% - Accent6 3 5 4" xfId="11906"/>
    <cellStyle name="20% - Accent6 3 5 4 2" xfId="27411"/>
    <cellStyle name="20% - Accent6 3 5 4 2 2" xfId="49656"/>
    <cellStyle name="20% - Accent6 3 5 4 3" xfId="25106"/>
    <cellStyle name="20% - Accent6 3 5 4 3 2" xfId="47351"/>
    <cellStyle name="20% - Accent6 3 5 4 4" xfId="35329"/>
    <cellStyle name="20% - Accent6 3 5 5" xfId="25701"/>
    <cellStyle name="20% - Accent6 3 5 5 2" xfId="47946"/>
    <cellStyle name="20% - Accent6 3 5 6" xfId="23359"/>
    <cellStyle name="20% - Accent6 3 5 6 2" xfId="45704"/>
    <cellStyle name="20% - Accent6 3 5 7" xfId="28697"/>
    <cellStyle name="20% - Accent6 3 6" xfId="23395"/>
    <cellStyle name="20% - Accent6 3 6 2" xfId="24698"/>
    <cellStyle name="20% - Accent6 3 6 2 2" xfId="26911"/>
    <cellStyle name="20% - Accent6 3 6 2 2 2" xfId="49156"/>
    <cellStyle name="20% - Accent6 3 6 2 3" xfId="46943"/>
    <cellStyle name="20% - Accent6 3 6 3" xfId="25274"/>
    <cellStyle name="20% - Accent6 3 6 3 2" xfId="27579"/>
    <cellStyle name="20% - Accent6 3 6 3 2 2" xfId="49824"/>
    <cellStyle name="20% - Accent6 3 6 3 3" xfId="47519"/>
    <cellStyle name="20% - Accent6 3 6 4" xfId="26239"/>
    <cellStyle name="20% - Accent6 3 6 4 2" xfId="48484"/>
    <cellStyle name="20% - Accent6 3 6 5" xfId="45740"/>
    <cellStyle name="20% - Accent6 3 7" xfId="24372"/>
    <cellStyle name="20% - Accent6 3 7 2" xfId="26579"/>
    <cellStyle name="20% - Accent6 3 7 2 2" xfId="48824"/>
    <cellStyle name="20% - Accent6 3 7 3" xfId="46617"/>
    <cellStyle name="20% - Accent6 3 8" xfId="25030"/>
    <cellStyle name="20% - Accent6 3 8 2" xfId="27243"/>
    <cellStyle name="20% - Accent6 3 8 2 2" xfId="49488"/>
    <cellStyle name="20% - Accent6 3 8 3" xfId="47275"/>
    <cellStyle name="20% - Accent6 3 9" xfId="23596"/>
    <cellStyle name="20% - Accent6 4" xfId="3130"/>
    <cellStyle name="20% - Accent6 4 2" xfId="6849"/>
    <cellStyle name="20% - Accent6 4 2 2" xfId="10181"/>
    <cellStyle name="20% - Accent6 4 2 2 2" xfId="16885"/>
    <cellStyle name="20% - Accent6 4 2 2 2 2" xfId="27140"/>
    <cellStyle name="20% - Accent6 4 2 2 2 2 2" xfId="49385"/>
    <cellStyle name="20% - Accent6 4 2 2 2 3" xfId="24927"/>
    <cellStyle name="20% - Accent6 4 2 2 2 3 2" xfId="47172"/>
    <cellStyle name="20% - Accent6 4 2 2 2 4" xfId="40306"/>
    <cellStyle name="20% - Accent6 4 2 2 3" xfId="25505"/>
    <cellStyle name="20% - Accent6 4 2 2 3 2" xfId="27810"/>
    <cellStyle name="20% - Accent6 4 2 2 3 2 2" xfId="50055"/>
    <cellStyle name="20% - Accent6 4 2 2 3 3" xfId="47750"/>
    <cellStyle name="20% - Accent6 4 2 2 4" xfId="26466"/>
    <cellStyle name="20% - Accent6 4 2 2 4 2" xfId="48711"/>
    <cellStyle name="20% - Accent6 4 2 2 5" xfId="24262"/>
    <cellStyle name="20% - Accent6 4 2 2 5 2" xfId="46508"/>
    <cellStyle name="20% - Accent6 4 2 2 6" xfId="33674"/>
    <cellStyle name="20% - Accent6 4 2 3" xfId="13569"/>
    <cellStyle name="20% - Accent6 4 2 3 2" xfId="26808"/>
    <cellStyle name="20% - Accent6 4 2 3 2 2" xfId="49053"/>
    <cellStyle name="20% - Accent6 4 2 3 3" xfId="24595"/>
    <cellStyle name="20% - Accent6 4 2 3 3 2" xfId="46840"/>
    <cellStyle name="20% - Accent6 4 2 3 4" xfId="36990"/>
    <cellStyle name="20% - Accent6 4 2 4" xfId="25169"/>
    <cellStyle name="20% - Accent6 4 2 4 2" xfId="27474"/>
    <cellStyle name="20% - Accent6 4 2 4 2 2" xfId="49719"/>
    <cellStyle name="20% - Accent6 4 2 4 3" xfId="47414"/>
    <cellStyle name="20% - Accent6 4 2 5" xfId="26137"/>
    <cellStyle name="20% - Accent6 4 2 5 2" xfId="48382"/>
    <cellStyle name="20% - Accent6 4 2 6" xfId="23946"/>
    <cellStyle name="20% - Accent6 4 2 6 2" xfId="46192"/>
    <cellStyle name="20% - Accent6 4 2 7" xfId="30358"/>
    <cellStyle name="20% - Accent6 4 3" xfId="8515"/>
    <cellStyle name="20% - Accent6 4 3 2" xfId="15227"/>
    <cellStyle name="20% - Accent6 4 3 2 2" xfId="26974"/>
    <cellStyle name="20% - Accent6 4 3 2 2 2" xfId="49219"/>
    <cellStyle name="20% - Accent6 4 3 2 3" xfId="24761"/>
    <cellStyle name="20% - Accent6 4 3 2 3 2" xfId="47006"/>
    <cellStyle name="20% - Accent6 4 3 2 4" xfId="38648"/>
    <cellStyle name="20% - Accent6 4 3 3" xfId="25337"/>
    <cellStyle name="20% - Accent6 4 3 3 2" xfId="27642"/>
    <cellStyle name="20% - Accent6 4 3 3 2 2" xfId="49887"/>
    <cellStyle name="20% - Accent6 4 3 3 3" xfId="47582"/>
    <cellStyle name="20% - Accent6 4 3 4" xfId="26301"/>
    <cellStyle name="20% - Accent6 4 3 4 2" xfId="48546"/>
    <cellStyle name="20% - Accent6 4 3 5" xfId="24097"/>
    <cellStyle name="20% - Accent6 4 3 5 2" xfId="46343"/>
    <cellStyle name="20% - Accent6 4 3 6" xfId="32016"/>
    <cellStyle name="20% - Accent6 4 4" xfId="11909"/>
    <cellStyle name="20% - Accent6 4 4 2" xfId="26642"/>
    <cellStyle name="20% - Accent6 4 4 2 2" xfId="48887"/>
    <cellStyle name="20% - Accent6 4 4 3" xfId="24429"/>
    <cellStyle name="20% - Accent6 4 4 3 2" xfId="46674"/>
    <cellStyle name="20% - Accent6 4 4 4" xfId="35332"/>
    <cellStyle name="20% - Accent6 4 5" xfId="23392"/>
    <cellStyle name="20% - Accent6 4 5 2" xfId="27306"/>
    <cellStyle name="20% - Accent6 4 5 2 2" xfId="49551"/>
    <cellStyle name="20% - Accent6 4 5 3" xfId="45737"/>
    <cellStyle name="20% - Accent6 4 6" xfId="25704"/>
    <cellStyle name="20% - Accent6 4 6 2" xfId="47949"/>
    <cellStyle name="20% - Accent6 4 7" xfId="28700"/>
    <cellStyle name="20% - Accent6 5" xfId="3131"/>
    <cellStyle name="20% - Accent6 5 2" xfId="6850"/>
    <cellStyle name="20% - Accent6 5 2 2" xfId="10182"/>
    <cellStyle name="20% - Accent6 5 2 2 2" xfId="16886"/>
    <cellStyle name="20% - Accent6 5 2 2 2 2" xfId="27098"/>
    <cellStyle name="20% - Accent6 5 2 2 2 2 2" xfId="49343"/>
    <cellStyle name="20% - Accent6 5 2 2 2 3" xfId="24885"/>
    <cellStyle name="20% - Accent6 5 2 2 2 3 2" xfId="47130"/>
    <cellStyle name="20% - Accent6 5 2 2 2 4" xfId="40307"/>
    <cellStyle name="20% - Accent6 5 2 2 3" xfId="25463"/>
    <cellStyle name="20% - Accent6 5 2 2 3 2" xfId="27768"/>
    <cellStyle name="20% - Accent6 5 2 2 3 2 2" xfId="50013"/>
    <cellStyle name="20% - Accent6 5 2 2 3 3" xfId="47708"/>
    <cellStyle name="20% - Accent6 5 2 2 4" xfId="26425"/>
    <cellStyle name="20% - Accent6 5 2 2 4 2" xfId="48670"/>
    <cellStyle name="20% - Accent6 5 2 2 5" xfId="24221"/>
    <cellStyle name="20% - Accent6 5 2 2 5 2" xfId="46467"/>
    <cellStyle name="20% - Accent6 5 2 2 6" xfId="33675"/>
    <cellStyle name="20% - Accent6 5 2 3" xfId="13570"/>
    <cellStyle name="20% - Accent6 5 2 3 2" xfId="26766"/>
    <cellStyle name="20% - Accent6 5 2 3 2 2" xfId="49011"/>
    <cellStyle name="20% - Accent6 5 2 3 3" xfId="24553"/>
    <cellStyle name="20% - Accent6 5 2 3 3 2" xfId="46798"/>
    <cellStyle name="20% - Accent6 5 2 3 4" xfId="36991"/>
    <cellStyle name="20% - Accent6 5 2 4" xfId="25127"/>
    <cellStyle name="20% - Accent6 5 2 4 2" xfId="27432"/>
    <cellStyle name="20% - Accent6 5 2 4 2 2" xfId="49677"/>
    <cellStyle name="20% - Accent6 5 2 4 3" xfId="47372"/>
    <cellStyle name="20% - Accent6 5 2 5" xfId="26097"/>
    <cellStyle name="20% - Accent6 5 2 5 2" xfId="48342"/>
    <cellStyle name="20% - Accent6 5 2 6" xfId="23906"/>
    <cellStyle name="20% - Accent6 5 2 6 2" xfId="46152"/>
    <cellStyle name="20% - Accent6 5 2 7" xfId="30359"/>
    <cellStyle name="20% - Accent6 5 3" xfId="8516"/>
    <cellStyle name="20% - Accent6 5 3 2" xfId="15228"/>
    <cellStyle name="20% - Accent6 5 3 2 2" xfId="26932"/>
    <cellStyle name="20% - Accent6 5 3 2 2 2" xfId="49177"/>
    <cellStyle name="20% - Accent6 5 3 2 3" xfId="24719"/>
    <cellStyle name="20% - Accent6 5 3 2 3 2" xfId="46964"/>
    <cellStyle name="20% - Accent6 5 3 2 4" xfId="38649"/>
    <cellStyle name="20% - Accent6 5 3 3" xfId="25295"/>
    <cellStyle name="20% - Accent6 5 3 3 2" xfId="27600"/>
    <cellStyle name="20% - Accent6 5 3 3 2 2" xfId="49845"/>
    <cellStyle name="20% - Accent6 5 3 3 3" xfId="47540"/>
    <cellStyle name="20% - Accent6 5 3 4" xfId="26260"/>
    <cellStyle name="20% - Accent6 5 3 4 2" xfId="48505"/>
    <cellStyle name="20% - Accent6 5 3 5" xfId="24056"/>
    <cellStyle name="20% - Accent6 5 3 5 2" xfId="46302"/>
    <cellStyle name="20% - Accent6 5 3 6" xfId="32017"/>
    <cellStyle name="20% - Accent6 5 4" xfId="11910"/>
    <cellStyle name="20% - Accent6 5 4 2" xfId="26600"/>
    <cellStyle name="20% - Accent6 5 4 2 2" xfId="48845"/>
    <cellStyle name="20% - Accent6 5 4 3" xfId="24387"/>
    <cellStyle name="20% - Accent6 5 4 3 2" xfId="46632"/>
    <cellStyle name="20% - Accent6 5 4 4" xfId="35333"/>
    <cellStyle name="20% - Accent6 5 5" xfId="23311"/>
    <cellStyle name="20% - Accent6 5 5 2" xfId="27264"/>
    <cellStyle name="20% - Accent6 5 5 2 2" xfId="49509"/>
    <cellStyle name="20% - Accent6 5 5 3" xfId="45677"/>
    <cellStyle name="20% - Accent6 5 6" xfId="25705"/>
    <cellStyle name="20% - Accent6 5 6 2" xfId="47950"/>
    <cellStyle name="20% - Accent6 5 7" xfId="28701"/>
    <cellStyle name="20% - Accent6 6" xfId="3132"/>
    <cellStyle name="20% - Accent6 6 2" xfId="6851"/>
    <cellStyle name="20% - Accent6 6 2 2" xfId="10183"/>
    <cellStyle name="20% - Accent6 6 2 2 2" xfId="16887"/>
    <cellStyle name="20% - Accent6 6 2 2 2 2" xfId="27180"/>
    <cellStyle name="20% - Accent6 6 2 2 2 2 2" xfId="49425"/>
    <cellStyle name="20% - Accent6 6 2 2 2 3" xfId="24967"/>
    <cellStyle name="20% - Accent6 6 2 2 2 3 2" xfId="47212"/>
    <cellStyle name="20% - Accent6 6 2 2 2 4" xfId="40308"/>
    <cellStyle name="20% - Accent6 6 2 2 3" xfId="25547"/>
    <cellStyle name="20% - Accent6 6 2 2 3 2" xfId="27852"/>
    <cellStyle name="20% - Accent6 6 2 2 3 2 2" xfId="50097"/>
    <cellStyle name="20% - Accent6 6 2 2 3 3" xfId="47792"/>
    <cellStyle name="20% - Accent6 6 2 2 4" xfId="26506"/>
    <cellStyle name="20% - Accent6 6 2 2 4 2" xfId="48751"/>
    <cellStyle name="20% - Accent6 6 2 2 5" xfId="24302"/>
    <cellStyle name="20% - Accent6 6 2 2 5 2" xfId="46548"/>
    <cellStyle name="20% - Accent6 6 2 2 6" xfId="33676"/>
    <cellStyle name="20% - Accent6 6 2 3" xfId="13571"/>
    <cellStyle name="20% - Accent6 6 2 3 2" xfId="26848"/>
    <cellStyle name="20% - Accent6 6 2 3 2 2" xfId="49093"/>
    <cellStyle name="20% - Accent6 6 2 3 3" xfId="24635"/>
    <cellStyle name="20% - Accent6 6 2 3 3 2" xfId="46880"/>
    <cellStyle name="20% - Accent6 6 2 3 4" xfId="36992"/>
    <cellStyle name="20% - Accent6 6 2 4" xfId="25211"/>
    <cellStyle name="20% - Accent6 6 2 4 2" xfId="27516"/>
    <cellStyle name="20% - Accent6 6 2 4 2 2" xfId="49761"/>
    <cellStyle name="20% - Accent6 6 2 4 3" xfId="47456"/>
    <cellStyle name="20% - Accent6 6 2 5" xfId="26177"/>
    <cellStyle name="20% - Accent6 6 2 5 2" xfId="48422"/>
    <cellStyle name="20% - Accent6 6 2 6" xfId="23986"/>
    <cellStyle name="20% - Accent6 6 2 6 2" xfId="46232"/>
    <cellStyle name="20% - Accent6 6 2 7" xfId="30360"/>
    <cellStyle name="20% - Accent6 6 3" xfId="8517"/>
    <cellStyle name="20% - Accent6 6 3 2" xfId="15229"/>
    <cellStyle name="20% - Accent6 6 3 2 2" xfId="27014"/>
    <cellStyle name="20% - Accent6 6 3 2 2 2" xfId="49259"/>
    <cellStyle name="20% - Accent6 6 3 2 3" xfId="24801"/>
    <cellStyle name="20% - Accent6 6 3 2 3 2" xfId="47046"/>
    <cellStyle name="20% - Accent6 6 3 2 4" xfId="38650"/>
    <cellStyle name="20% - Accent6 6 3 3" xfId="25379"/>
    <cellStyle name="20% - Accent6 6 3 3 2" xfId="27684"/>
    <cellStyle name="20% - Accent6 6 3 3 2 2" xfId="49929"/>
    <cellStyle name="20% - Accent6 6 3 3 3" xfId="47624"/>
    <cellStyle name="20% - Accent6 6 3 4" xfId="26341"/>
    <cellStyle name="20% - Accent6 6 3 4 2" xfId="48586"/>
    <cellStyle name="20% - Accent6 6 3 5" xfId="24137"/>
    <cellStyle name="20% - Accent6 6 3 5 2" xfId="46383"/>
    <cellStyle name="20% - Accent6 6 3 6" xfId="32018"/>
    <cellStyle name="20% - Accent6 6 4" xfId="11911"/>
    <cellStyle name="20% - Accent6 6 4 2" xfId="26682"/>
    <cellStyle name="20% - Accent6 6 4 2 2" xfId="48927"/>
    <cellStyle name="20% - Accent6 6 4 3" xfId="24469"/>
    <cellStyle name="20% - Accent6 6 4 3 2" xfId="46714"/>
    <cellStyle name="20% - Accent6 6 4 4" xfId="35334"/>
    <cellStyle name="20% - Accent6 6 5" xfId="23391"/>
    <cellStyle name="20% - Accent6 6 5 2" xfId="27348"/>
    <cellStyle name="20% - Accent6 6 5 2 2" xfId="49593"/>
    <cellStyle name="20% - Accent6 6 5 3" xfId="45736"/>
    <cellStyle name="20% - Accent6 6 6" xfId="25706"/>
    <cellStyle name="20% - Accent6 6 6 2" xfId="47951"/>
    <cellStyle name="20% - Accent6 6 7" xfId="28702"/>
    <cellStyle name="20% - Accent6 7" xfId="3124"/>
    <cellStyle name="20% - Accent6 7 2" xfId="24179"/>
    <cellStyle name="20% - Accent6 7 2 2" xfId="24843"/>
    <cellStyle name="20% - Accent6 7 2 2 2" xfId="27056"/>
    <cellStyle name="20% - Accent6 7 2 2 2 2" xfId="49301"/>
    <cellStyle name="20% - Accent6 7 2 2 3" xfId="47088"/>
    <cellStyle name="20% - Accent6 7 2 3" xfId="25421"/>
    <cellStyle name="20% - Accent6 7 2 3 2" xfId="27726"/>
    <cellStyle name="20% - Accent6 7 2 3 2 2" xfId="49971"/>
    <cellStyle name="20% - Accent6 7 2 3 3" xfId="47666"/>
    <cellStyle name="20% - Accent6 7 2 4" xfId="26383"/>
    <cellStyle name="20% - Accent6 7 2 4 2" xfId="48628"/>
    <cellStyle name="20% - Accent6 7 2 5" xfId="46425"/>
    <cellStyle name="20% - Accent6 7 3" xfId="24511"/>
    <cellStyle name="20% - Accent6 7 3 2" xfId="26724"/>
    <cellStyle name="20% - Accent6 7 3 2 2" xfId="48969"/>
    <cellStyle name="20% - Accent6 7 3 3" xfId="46756"/>
    <cellStyle name="20% - Accent6 7 4" xfId="25085"/>
    <cellStyle name="20% - Accent6 7 4 2" xfId="27390"/>
    <cellStyle name="20% - Accent6 7 4 2 2" xfId="49635"/>
    <cellStyle name="20% - Accent6 7 4 3" xfId="47330"/>
    <cellStyle name="20% - Accent6 7 5" xfId="26062"/>
    <cellStyle name="20% - Accent6 7 5 2" xfId="48307"/>
    <cellStyle name="20% - Accent6 7 6" xfId="23871"/>
    <cellStyle name="20% - Accent6 7 6 2" xfId="46117"/>
    <cellStyle name="20% - Accent6 8" xfId="6064"/>
    <cellStyle name="20% - Accent6 8 2" xfId="7730"/>
    <cellStyle name="20% - Accent6 8 2 2" xfId="11059"/>
    <cellStyle name="20% - Accent6 8 2 2 2" xfId="17763"/>
    <cellStyle name="20% - Accent6 8 2 2 2 2" xfId="41184"/>
    <cellStyle name="20% - Accent6 8 2 2 3" xfId="26890"/>
    <cellStyle name="20% - Accent6 8 2 2 3 2" xfId="49135"/>
    <cellStyle name="20% - Accent6 8 2 2 4" xfId="34552"/>
    <cellStyle name="20% - Accent6 8 2 3" xfId="14447"/>
    <cellStyle name="20% - Accent6 8 2 3 2" xfId="37868"/>
    <cellStyle name="20% - Accent6 8 2 4" xfId="24677"/>
    <cellStyle name="20% - Accent6 8 2 4 2" xfId="46922"/>
    <cellStyle name="20% - Accent6 8 2 5" xfId="31236"/>
    <cellStyle name="20% - Accent6 8 3" xfId="9401"/>
    <cellStyle name="20% - Accent6 8 3 2" xfId="16105"/>
    <cellStyle name="20% - Accent6 8 3 2 2" xfId="27558"/>
    <cellStyle name="20% - Accent6 8 3 2 2 2" xfId="49803"/>
    <cellStyle name="20% - Accent6 8 3 2 3" xfId="39526"/>
    <cellStyle name="20% - Accent6 8 3 3" xfId="25253"/>
    <cellStyle name="20% - Accent6 8 3 3 2" xfId="47498"/>
    <cellStyle name="20% - Accent6 8 3 4" xfId="32894"/>
    <cellStyle name="20% - Accent6 8 4" xfId="12789"/>
    <cellStyle name="20% - Accent6 8 4 2" xfId="26218"/>
    <cellStyle name="20% - Accent6 8 4 2 2" xfId="48463"/>
    <cellStyle name="20% - Accent6 8 4 3" xfId="36210"/>
    <cellStyle name="20% - Accent6 8 5" xfId="24023"/>
    <cellStyle name="20% - Accent6 8 5 2" xfId="46269"/>
    <cellStyle name="20% - Accent6 8 6" xfId="29578"/>
    <cellStyle name="20% - Accent6 9" xfId="6811"/>
    <cellStyle name="20% - Accent6 9 2" xfId="10143"/>
    <cellStyle name="20% - Accent6 9 2 2" xfId="16847"/>
    <cellStyle name="20% - Accent6 9 2 2 2" xfId="40268"/>
    <cellStyle name="20% - Accent6 9 2 3" xfId="26547"/>
    <cellStyle name="20% - Accent6 9 2 3 2" xfId="48792"/>
    <cellStyle name="20% - Accent6 9 2 4" xfId="33636"/>
    <cellStyle name="20% - Accent6 9 3" xfId="13531"/>
    <cellStyle name="20% - Accent6 9 3 2" xfId="36952"/>
    <cellStyle name="20% - Accent6 9 4" xfId="24344"/>
    <cellStyle name="20% - Accent6 9 4 2" xfId="46589"/>
    <cellStyle name="20% - Accent6 9 5" xfId="30320"/>
    <cellStyle name="³f¹ô [0]_2311" xfId="4951"/>
    <cellStyle name="³f¹ô_2311" xfId="4952"/>
    <cellStyle name="40% - Accent1" xfId="6042" builtinId="31" customBuiltin="1"/>
    <cellStyle name="40% - Accent1 2" xfId="199"/>
    <cellStyle name="40% - Accent1 2 2" xfId="200"/>
    <cellStyle name="40% - Accent1 2 3" xfId="5073"/>
    <cellStyle name="40% - Accent1 2 4" xfId="3134"/>
    <cellStyle name="40% - Accent1 3" xfId="1034"/>
    <cellStyle name="40% - Accent1 3 10" xfId="23595"/>
    <cellStyle name="40% - Accent1 3 2" xfId="3136"/>
    <cellStyle name="40% - Accent1 3 2 10" xfId="28704"/>
    <cellStyle name="40% - Accent1 3 2 2" xfId="3137"/>
    <cellStyle name="40% - Accent1 3 2 2 2" xfId="6854"/>
    <cellStyle name="40% - Accent1 3 2 2 2 2" xfId="10186"/>
    <cellStyle name="40% - Accent1 3 2 2 2 2 2" xfId="16890"/>
    <cellStyle name="40% - Accent1 3 2 2 2 2 2 2" xfId="27161"/>
    <cellStyle name="40% - Accent1 3 2 2 2 2 2 2 2" xfId="49406"/>
    <cellStyle name="40% - Accent1 3 2 2 2 2 2 3" xfId="24948"/>
    <cellStyle name="40% - Accent1 3 2 2 2 2 2 3 2" xfId="47193"/>
    <cellStyle name="40% - Accent1 3 2 2 2 2 2 4" xfId="40311"/>
    <cellStyle name="40% - Accent1 3 2 2 2 2 3" xfId="25527"/>
    <cellStyle name="40% - Accent1 3 2 2 2 2 3 2" xfId="27832"/>
    <cellStyle name="40% - Accent1 3 2 2 2 2 3 2 2" xfId="50077"/>
    <cellStyle name="40% - Accent1 3 2 2 2 2 3 3" xfId="47772"/>
    <cellStyle name="40% - Accent1 3 2 2 2 2 4" xfId="26487"/>
    <cellStyle name="40% - Accent1 3 2 2 2 2 4 2" xfId="48732"/>
    <cellStyle name="40% - Accent1 3 2 2 2 2 5" xfId="24283"/>
    <cellStyle name="40% - Accent1 3 2 2 2 2 5 2" xfId="46529"/>
    <cellStyle name="40% - Accent1 3 2 2 2 2 6" xfId="33679"/>
    <cellStyle name="40% - Accent1 3 2 2 2 3" xfId="13574"/>
    <cellStyle name="40% - Accent1 3 2 2 2 3 2" xfId="26829"/>
    <cellStyle name="40% - Accent1 3 2 2 2 3 2 2" xfId="49074"/>
    <cellStyle name="40% - Accent1 3 2 2 2 3 3" xfId="24616"/>
    <cellStyle name="40% - Accent1 3 2 2 2 3 3 2" xfId="46861"/>
    <cellStyle name="40% - Accent1 3 2 2 2 3 4" xfId="36995"/>
    <cellStyle name="40% - Accent1 3 2 2 2 4" xfId="25191"/>
    <cellStyle name="40% - Accent1 3 2 2 2 4 2" xfId="27496"/>
    <cellStyle name="40% - Accent1 3 2 2 2 4 2 2" xfId="49741"/>
    <cellStyle name="40% - Accent1 3 2 2 2 4 3" xfId="47436"/>
    <cellStyle name="40% - Accent1 3 2 2 2 5" xfId="26158"/>
    <cellStyle name="40% - Accent1 3 2 2 2 5 2" xfId="48403"/>
    <cellStyle name="40% - Accent1 3 2 2 2 6" xfId="23967"/>
    <cellStyle name="40% - Accent1 3 2 2 2 6 2" xfId="46213"/>
    <cellStyle name="40% - Accent1 3 2 2 2 7" xfId="30363"/>
    <cellStyle name="40% - Accent1 3 2 2 3" xfId="8520"/>
    <cellStyle name="40% - Accent1 3 2 2 3 2" xfId="15232"/>
    <cellStyle name="40% - Accent1 3 2 2 3 2 2" xfId="26995"/>
    <cellStyle name="40% - Accent1 3 2 2 3 2 2 2" xfId="49240"/>
    <cellStyle name="40% - Accent1 3 2 2 3 2 3" xfId="24782"/>
    <cellStyle name="40% - Accent1 3 2 2 3 2 3 2" xfId="47027"/>
    <cellStyle name="40% - Accent1 3 2 2 3 2 4" xfId="38653"/>
    <cellStyle name="40% - Accent1 3 2 2 3 3" xfId="25359"/>
    <cellStyle name="40% - Accent1 3 2 2 3 3 2" xfId="27664"/>
    <cellStyle name="40% - Accent1 3 2 2 3 3 2 2" xfId="49909"/>
    <cellStyle name="40% - Accent1 3 2 2 3 3 3" xfId="47604"/>
    <cellStyle name="40% - Accent1 3 2 2 3 4" xfId="26322"/>
    <cellStyle name="40% - Accent1 3 2 2 3 4 2" xfId="48567"/>
    <cellStyle name="40% - Accent1 3 2 2 3 5" xfId="24118"/>
    <cellStyle name="40% - Accent1 3 2 2 3 5 2" xfId="46364"/>
    <cellStyle name="40% - Accent1 3 2 2 3 6" xfId="32021"/>
    <cellStyle name="40% - Accent1 3 2 2 4" xfId="11914"/>
    <cellStyle name="40% - Accent1 3 2 2 4 2" xfId="26663"/>
    <cellStyle name="40% - Accent1 3 2 2 4 2 2" xfId="48908"/>
    <cellStyle name="40% - Accent1 3 2 2 4 3" xfId="24450"/>
    <cellStyle name="40% - Accent1 3 2 2 4 3 2" xfId="46695"/>
    <cellStyle name="40% - Accent1 3 2 2 4 4" xfId="35337"/>
    <cellStyle name="40% - Accent1 3 2 2 5" xfId="23390"/>
    <cellStyle name="40% - Accent1 3 2 2 5 2" xfId="27328"/>
    <cellStyle name="40% - Accent1 3 2 2 5 2 2" xfId="49573"/>
    <cellStyle name="40% - Accent1 3 2 2 5 3" xfId="45735"/>
    <cellStyle name="40% - Accent1 3 2 2 6" xfId="25709"/>
    <cellStyle name="40% - Accent1 3 2 2 6 2" xfId="47954"/>
    <cellStyle name="40% - Accent1 3 2 2 7" xfId="28705"/>
    <cellStyle name="40% - Accent1 3 2 3" xfId="3138"/>
    <cellStyle name="40% - Accent1 3 2 3 2" xfId="6855"/>
    <cellStyle name="40% - Accent1 3 2 3 2 2" xfId="10187"/>
    <cellStyle name="40% - Accent1 3 2 3 2 2 2" xfId="16891"/>
    <cellStyle name="40% - Accent1 3 2 3 2 2 2 2" xfId="27120"/>
    <cellStyle name="40% - Accent1 3 2 3 2 2 2 2 2" xfId="49365"/>
    <cellStyle name="40% - Accent1 3 2 3 2 2 2 3" xfId="24907"/>
    <cellStyle name="40% - Accent1 3 2 3 2 2 2 3 2" xfId="47152"/>
    <cellStyle name="40% - Accent1 3 2 3 2 2 2 4" xfId="40312"/>
    <cellStyle name="40% - Accent1 3 2 3 2 2 3" xfId="25485"/>
    <cellStyle name="40% - Accent1 3 2 3 2 2 3 2" xfId="27790"/>
    <cellStyle name="40% - Accent1 3 2 3 2 2 3 2 2" xfId="50035"/>
    <cellStyle name="40% - Accent1 3 2 3 2 2 3 3" xfId="47730"/>
    <cellStyle name="40% - Accent1 3 2 3 2 2 4" xfId="26447"/>
    <cellStyle name="40% - Accent1 3 2 3 2 2 4 2" xfId="48692"/>
    <cellStyle name="40% - Accent1 3 2 3 2 2 5" xfId="24243"/>
    <cellStyle name="40% - Accent1 3 2 3 2 2 5 2" xfId="46489"/>
    <cellStyle name="40% - Accent1 3 2 3 2 2 6" xfId="33680"/>
    <cellStyle name="40% - Accent1 3 2 3 2 3" xfId="13575"/>
    <cellStyle name="40% - Accent1 3 2 3 2 3 2" xfId="26788"/>
    <cellStyle name="40% - Accent1 3 2 3 2 3 2 2" xfId="49033"/>
    <cellStyle name="40% - Accent1 3 2 3 2 3 3" xfId="24575"/>
    <cellStyle name="40% - Accent1 3 2 3 2 3 3 2" xfId="46820"/>
    <cellStyle name="40% - Accent1 3 2 3 2 3 4" xfId="36996"/>
    <cellStyle name="40% - Accent1 3 2 3 2 4" xfId="25149"/>
    <cellStyle name="40% - Accent1 3 2 3 2 4 2" xfId="27454"/>
    <cellStyle name="40% - Accent1 3 2 3 2 4 2 2" xfId="49699"/>
    <cellStyle name="40% - Accent1 3 2 3 2 4 3" xfId="47394"/>
    <cellStyle name="40% - Accent1 3 2 3 2 5" xfId="26118"/>
    <cellStyle name="40% - Accent1 3 2 3 2 5 2" xfId="48363"/>
    <cellStyle name="40% - Accent1 3 2 3 2 6" xfId="23927"/>
    <cellStyle name="40% - Accent1 3 2 3 2 6 2" xfId="46173"/>
    <cellStyle name="40% - Accent1 3 2 3 2 7" xfId="30364"/>
    <cellStyle name="40% - Accent1 3 2 3 3" xfId="8521"/>
    <cellStyle name="40% - Accent1 3 2 3 3 2" xfId="15233"/>
    <cellStyle name="40% - Accent1 3 2 3 3 2 2" xfId="26954"/>
    <cellStyle name="40% - Accent1 3 2 3 3 2 2 2" xfId="49199"/>
    <cellStyle name="40% - Accent1 3 2 3 3 2 3" xfId="24741"/>
    <cellStyle name="40% - Accent1 3 2 3 3 2 3 2" xfId="46986"/>
    <cellStyle name="40% - Accent1 3 2 3 3 2 4" xfId="38654"/>
    <cellStyle name="40% - Accent1 3 2 3 3 3" xfId="25317"/>
    <cellStyle name="40% - Accent1 3 2 3 3 3 2" xfId="27622"/>
    <cellStyle name="40% - Accent1 3 2 3 3 3 2 2" xfId="49867"/>
    <cellStyle name="40% - Accent1 3 2 3 3 3 3" xfId="47562"/>
    <cellStyle name="40% - Accent1 3 2 3 3 4" xfId="26282"/>
    <cellStyle name="40% - Accent1 3 2 3 3 4 2" xfId="48527"/>
    <cellStyle name="40% - Accent1 3 2 3 3 5" xfId="24078"/>
    <cellStyle name="40% - Accent1 3 2 3 3 5 2" xfId="46324"/>
    <cellStyle name="40% - Accent1 3 2 3 3 6" xfId="32022"/>
    <cellStyle name="40% - Accent1 3 2 3 4" xfId="11915"/>
    <cellStyle name="40% - Accent1 3 2 3 4 2" xfId="26622"/>
    <cellStyle name="40% - Accent1 3 2 3 4 2 2" xfId="48867"/>
    <cellStyle name="40% - Accent1 3 2 3 4 3" xfId="24409"/>
    <cellStyle name="40% - Accent1 3 2 3 4 3 2" xfId="46654"/>
    <cellStyle name="40% - Accent1 3 2 3 4 4" xfId="35338"/>
    <cellStyle name="40% - Accent1 3 2 3 5" xfId="23263"/>
    <cellStyle name="40% - Accent1 3 2 3 5 2" xfId="27286"/>
    <cellStyle name="40% - Accent1 3 2 3 5 2 2" xfId="49531"/>
    <cellStyle name="40% - Accent1 3 2 3 5 3" xfId="45655"/>
    <cellStyle name="40% - Accent1 3 2 3 6" xfId="25710"/>
    <cellStyle name="40% - Accent1 3 2 3 6 2" xfId="47955"/>
    <cellStyle name="40% - Accent1 3 2 3 7" xfId="28706"/>
    <cellStyle name="40% - Accent1 3 2 4" xfId="6853"/>
    <cellStyle name="40% - Accent1 3 2 4 2" xfId="10185"/>
    <cellStyle name="40% - Accent1 3 2 4 2 2" xfId="16889"/>
    <cellStyle name="40% - Accent1 3 2 4 2 2 2" xfId="24989"/>
    <cellStyle name="40% - Accent1 3 2 4 2 2 2 2" xfId="27202"/>
    <cellStyle name="40% - Accent1 3 2 4 2 2 2 2 2" xfId="49447"/>
    <cellStyle name="40% - Accent1 3 2 4 2 2 2 3" xfId="47234"/>
    <cellStyle name="40% - Accent1 3 2 4 2 2 3" xfId="25569"/>
    <cellStyle name="40% - Accent1 3 2 4 2 2 3 2" xfId="27874"/>
    <cellStyle name="40% - Accent1 3 2 4 2 2 3 2 2" xfId="50119"/>
    <cellStyle name="40% - Accent1 3 2 4 2 2 3 3" xfId="47814"/>
    <cellStyle name="40% - Accent1 3 2 4 2 2 4" xfId="26528"/>
    <cellStyle name="40% - Accent1 3 2 4 2 2 4 2" xfId="48773"/>
    <cellStyle name="40% - Accent1 3 2 4 2 2 5" xfId="24324"/>
    <cellStyle name="40% - Accent1 3 2 4 2 2 5 2" xfId="46570"/>
    <cellStyle name="40% - Accent1 3 2 4 2 2 6" xfId="40310"/>
    <cellStyle name="40% - Accent1 3 2 4 2 3" xfId="24657"/>
    <cellStyle name="40% - Accent1 3 2 4 2 3 2" xfId="26870"/>
    <cellStyle name="40% - Accent1 3 2 4 2 3 2 2" xfId="49115"/>
    <cellStyle name="40% - Accent1 3 2 4 2 3 3" xfId="46902"/>
    <cellStyle name="40% - Accent1 3 2 4 2 4" xfId="25233"/>
    <cellStyle name="40% - Accent1 3 2 4 2 4 2" xfId="27538"/>
    <cellStyle name="40% - Accent1 3 2 4 2 4 2 2" xfId="49783"/>
    <cellStyle name="40% - Accent1 3 2 4 2 4 3" xfId="47478"/>
    <cellStyle name="40% - Accent1 3 2 4 2 5" xfId="26199"/>
    <cellStyle name="40% - Accent1 3 2 4 2 5 2" xfId="48444"/>
    <cellStyle name="40% - Accent1 3 2 4 2 6" xfId="24008"/>
    <cellStyle name="40% - Accent1 3 2 4 2 6 2" xfId="46254"/>
    <cellStyle name="40% - Accent1 3 2 4 2 7" xfId="33678"/>
    <cellStyle name="40% - Accent1 3 2 4 3" xfId="13573"/>
    <cellStyle name="40% - Accent1 3 2 4 3 2" xfId="24823"/>
    <cellStyle name="40% - Accent1 3 2 4 3 2 2" xfId="27036"/>
    <cellStyle name="40% - Accent1 3 2 4 3 2 2 2" xfId="49281"/>
    <cellStyle name="40% - Accent1 3 2 4 3 2 3" xfId="47068"/>
    <cellStyle name="40% - Accent1 3 2 4 3 3" xfId="25401"/>
    <cellStyle name="40% - Accent1 3 2 4 3 3 2" xfId="27706"/>
    <cellStyle name="40% - Accent1 3 2 4 3 3 2 2" xfId="49951"/>
    <cellStyle name="40% - Accent1 3 2 4 3 3 3" xfId="47646"/>
    <cellStyle name="40% - Accent1 3 2 4 3 4" xfId="26363"/>
    <cellStyle name="40% - Accent1 3 2 4 3 4 2" xfId="48608"/>
    <cellStyle name="40% - Accent1 3 2 4 3 5" xfId="24159"/>
    <cellStyle name="40% - Accent1 3 2 4 3 5 2" xfId="46405"/>
    <cellStyle name="40% - Accent1 3 2 4 3 6" xfId="36994"/>
    <cellStyle name="40% - Accent1 3 2 4 4" xfId="24491"/>
    <cellStyle name="40% - Accent1 3 2 4 4 2" xfId="26704"/>
    <cellStyle name="40% - Accent1 3 2 4 4 2 2" xfId="48949"/>
    <cellStyle name="40% - Accent1 3 2 4 4 3" xfId="46736"/>
    <cellStyle name="40% - Accent1 3 2 4 5" xfId="25065"/>
    <cellStyle name="40% - Accent1 3 2 4 5 2" xfId="27370"/>
    <cellStyle name="40% - Accent1 3 2 4 5 2 2" xfId="49615"/>
    <cellStyle name="40% - Accent1 3 2 4 5 3" xfId="47310"/>
    <cellStyle name="40% - Accent1 3 2 4 6" xfId="26046"/>
    <cellStyle name="40% - Accent1 3 2 4 6 2" xfId="48291"/>
    <cellStyle name="40% - Accent1 3 2 4 7" xfId="23855"/>
    <cellStyle name="40% - Accent1 3 2 4 7 2" xfId="46101"/>
    <cellStyle name="40% - Accent1 3 2 4 8" xfId="30362"/>
    <cellStyle name="40% - Accent1 3 2 5" xfId="8519"/>
    <cellStyle name="40% - Accent1 3 2 5 2" xfId="15231"/>
    <cellStyle name="40% - Accent1 3 2 5 2 2" xfId="24865"/>
    <cellStyle name="40% - Accent1 3 2 5 2 2 2" xfId="27078"/>
    <cellStyle name="40% - Accent1 3 2 5 2 2 2 2" xfId="49323"/>
    <cellStyle name="40% - Accent1 3 2 5 2 2 3" xfId="47110"/>
    <cellStyle name="40% - Accent1 3 2 5 2 3" xfId="25443"/>
    <cellStyle name="40% - Accent1 3 2 5 2 3 2" xfId="27748"/>
    <cellStyle name="40% - Accent1 3 2 5 2 3 2 2" xfId="49993"/>
    <cellStyle name="40% - Accent1 3 2 5 2 3 3" xfId="47688"/>
    <cellStyle name="40% - Accent1 3 2 5 2 4" xfId="26405"/>
    <cellStyle name="40% - Accent1 3 2 5 2 4 2" xfId="48650"/>
    <cellStyle name="40% - Accent1 3 2 5 2 5" xfId="24201"/>
    <cellStyle name="40% - Accent1 3 2 5 2 5 2" xfId="46447"/>
    <cellStyle name="40% - Accent1 3 2 5 2 6" xfId="38652"/>
    <cellStyle name="40% - Accent1 3 2 5 3" xfId="24533"/>
    <cellStyle name="40% - Accent1 3 2 5 3 2" xfId="26746"/>
    <cellStyle name="40% - Accent1 3 2 5 3 2 2" xfId="48991"/>
    <cellStyle name="40% - Accent1 3 2 5 3 3" xfId="46778"/>
    <cellStyle name="40% - Accent1 3 2 5 4" xfId="25107"/>
    <cellStyle name="40% - Accent1 3 2 5 4 2" xfId="27412"/>
    <cellStyle name="40% - Accent1 3 2 5 4 2 2" xfId="49657"/>
    <cellStyle name="40% - Accent1 3 2 5 4 3" xfId="47352"/>
    <cellStyle name="40% - Accent1 3 2 5 5" xfId="26078"/>
    <cellStyle name="40% - Accent1 3 2 5 5 2" xfId="48323"/>
    <cellStyle name="40% - Accent1 3 2 5 6" xfId="23887"/>
    <cellStyle name="40% - Accent1 3 2 5 6 2" xfId="46133"/>
    <cellStyle name="40% - Accent1 3 2 5 7" xfId="32020"/>
    <cellStyle name="40% - Accent1 3 2 6" xfId="11913"/>
    <cellStyle name="40% - Accent1 3 2 6 2" xfId="24699"/>
    <cellStyle name="40% - Accent1 3 2 6 2 2" xfId="26912"/>
    <cellStyle name="40% - Accent1 3 2 6 2 2 2" xfId="49157"/>
    <cellStyle name="40% - Accent1 3 2 6 2 3" xfId="46944"/>
    <cellStyle name="40% - Accent1 3 2 6 3" xfId="25275"/>
    <cellStyle name="40% - Accent1 3 2 6 3 2" xfId="27580"/>
    <cellStyle name="40% - Accent1 3 2 6 3 2 2" xfId="49825"/>
    <cellStyle name="40% - Accent1 3 2 6 3 3" xfId="47520"/>
    <cellStyle name="40% - Accent1 3 2 6 4" xfId="26240"/>
    <cellStyle name="40% - Accent1 3 2 6 4 2" xfId="48485"/>
    <cellStyle name="40% - Accent1 3 2 6 5" xfId="24036"/>
    <cellStyle name="40% - Accent1 3 2 6 5 2" xfId="46282"/>
    <cellStyle name="40% - Accent1 3 2 6 6" xfId="35336"/>
    <cellStyle name="40% - Accent1 3 2 7" xfId="23293"/>
    <cellStyle name="40% - Accent1 3 2 7 2" xfId="26580"/>
    <cellStyle name="40% - Accent1 3 2 7 2 2" xfId="48825"/>
    <cellStyle name="40% - Accent1 3 2 7 3" xfId="45664"/>
    <cellStyle name="40% - Accent1 3 2 8" xfId="25031"/>
    <cellStyle name="40% - Accent1 3 2 8 2" xfId="27244"/>
    <cellStyle name="40% - Accent1 3 2 8 2 2" xfId="49489"/>
    <cellStyle name="40% - Accent1 3 2 8 3" xfId="47276"/>
    <cellStyle name="40% - Accent1 3 2 9" xfId="25708"/>
    <cellStyle name="40% - Accent1 3 2 9 2" xfId="47953"/>
    <cellStyle name="40% - Accent1 3 3" xfId="3139"/>
    <cellStyle name="40% - Accent1 3 3 2" xfId="6856"/>
    <cellStyle name="40% - Accent1 3 3 2 2" xfId="10188"/>
    <cellStyle name="40% - Accent1 3 3 2 2 2" xfId="16892"/>
    <cellStyle name="40% - Accent1 3 3 2 2 2 2" xfId="27141"/>
    <cellStyle name="40% - Accent1 3 3 2 2 2 2 2" xfId="49386"/>
    <cellStyle name="40% - Accent1 3 3 2 2 2 3" xfId="24928"/>
    <cellStyle name="40% - Accent1 3 3 2 2 2 3 2" xfId="47173"/>
    <cellStyle name="40% - Accent1 3 3 2 2 2 4" xfId="40313"/>
    <cellStyle name="40% - Accent1 3 3 2 2 3" xfId="25506"/>
    <cellStyle name="40% - Accent1 3 3 2 2 3 2" xfId="27811"/>
    <cellStyle name="40% - Accent1 3 3 2 2 3 2 2" xfId="50056"/>
    <cellStyle name="40% - Accent1 3 3 2 2 3 3" xfId="47751"/>
    <cellStyle name="40% - Accent1 3 3 2 2 4" xfId="26467"/>
    <cellStyle name="40% - Accent1 3 3 2 2 4 2" xfId="48712"/>
    <cellStyle name="40% - Accent1 3 3 2 2 5" xfId="24263"/>
    <cellStyle name="40% - Accent1 3 3 2 2 5 2" xfId="46509"/>
    <cellStyle name="40% - Accent1 3 3 2 2 6" xfId="33681"/>
    <cellStyle name="40% - Accent1 3 3 2 3" xfId="13576"/>
    <cellStyle name="40% - Accent1 3 3 2 3 2" xfId="26809"/>
    <cellStyle name="40% - Accent1 3 3 2 3 2 2" xfId="49054"/>
    <cellStyle name="40% - Accent1 3 3 2 3 3" xfId="24596"/>
    <cellStyle name="40% - Accent1 3 3 2 3 3 2" xfId="46841"/>
    <cellStyle name="40% - Accent1 3 3 2 3 4" xfId="36997"/>
    <cellStyle name="40% - Accent1 3 3 2 4" xfId="25170"/>
    <cellStyle name="40% - Accent1 3 3 2 4 2" xfId="27475"/>
    <cellStyle name="40% - Accent1 3 3 2 4 2 2" xfId="49720"/>
    <cellStyle name="40% - Accent1 3 3 2 4 3" xfId="47415"/>
    <cellStyle name="40% - Accent1 3 3 2 5" xfId="26138"/>
    <cellStyle name="40% - Accent1 3 3 2 5 2" xfId="48383"/>
    <cellStyle name="40% - Accent1 3 3 2 6" xfId="23947"/>
    <cellStyle name="40% - Accent1 3 3 2 6 2" xfId="46193"/>
    <cellStyle name="40% - Accent1 3 3 2 7" xfId="30365"/>
    <cellStyle name="40% - Accent1 3 3 3" xfId="8522"/>
    <cellStyle name="40% - Accent1 3 3 3 2" xfId="15234"/>
    <cellStyle name="40% - Accent1 3 3 3 2 2" xfId="26975"/>
    <cellStyle name="40% - Accent1 3 3 3 2 2 2" xfId="49220"/>
    <cellStyle name="40% - Accent1 3 3 3 2 3" xfId="24762"/>
    <cellStyle name="40% - Accent1 3 3 3 2 3 2" xfId="47007"/>
    <cellStyle name="40% - Accent1 3 3 3 2 4" xfId="38655"/>
    <cellStyle name="40% - Accent1 3 3 3 3" xfId="25338"/>
    <cellStyle name="40% - Accent1 3 3 3 3 2" xfId="27643"/>
    <cellStyle name="40% - Accent1 3 3 3 3 2 2" xfId="49888"/>
    <cellStyle name="40% - Accent1 3 3 3 3 3" xfId="47583"/>
    <cellStyle name="40% - Accent1 3 3 3 4" xfId="26302"/>
    <cellStyle name="40% - Accent1 3 3 3 4 2" xfId="48547"/>
    <cellStyle name="40% - Accent1 3 3 3 5" xfId="24098"/>
    <cellStyle name="40% - Accent1 3 3 3 5 2" xfId="46344"/>
    <cellStyle name="40% - Accent1 3 3 3 6" xfId="32023"/>
    <cellStyle name="40% - Accent1 3 3 4" xfId="11916"/>
    <cellStyle name="40% - Accent1 3 3 4 2" xfId="26643"/>
    <cellStyle name="40% - Accent1 3 3 4 2 2" xfId="48888"/>
    <cellStyle name="40% - Accent1 3 3 4 3" xfId="24430"/>
    <cellStyle name="40% - Accent1 3 3 4 3 2" xfId="46675"/>
    <cellStyle name="40% - Accent1 3 3 4 4" xfId="35339"/>
    <cellStyle name="40% - Accent1 3 3 5" xfId="23389"/>
    <cellStyle name="40% - Accent1 3 3 5 2" xfId="27307"/>
    <cellStyle name="40% - Accent1 3 3 5 2 2" xfId="49552"/>
    <cellStyle name="40% - Accent1 3 3 5 3" xfId="45734"/>
    <cellStyle name="40% - Accent1 3 3 6" xfId="25711"/>
    <cellStyle name="40% - Accent1 3 3 6 2" xfId="47956"/>
    <cellStyle name="40% - Accent1 3 3 7" xfId="28707"/>
    <cellStyle name="40% - Accent1 3 4" xfId="3140"/>
    <cellStyle name="40% - Accent1 3 4 2" xfId="6857"/>
    <cellStyle name="40% - Accent1 3 4 2 2" xfId="10189"/>
    <cellStyle name="40% - Accent1 3 4 2 2 2" xfId="16893"/>
    <cellStyle name="40% - Accent1 3 4 2 2 2 2" xfId="27099"/>
    <cellStyle name="40% - Accent1 3 4 2 2 2 2 2" xfId="49344"/>
    <cellStyle name="40% - Accent1 3 4 2 2 2 3" xfId="24886"/>
    <cellStyle name="40% - Accent1 3 4 2 2 2 3 2" xfId="47131"/>
    <cellStyle name="40% - Accent1 3 4 2 2 2 4" xfId="40314"/>
    <cellStyle name="40% - Accent1 3 4 2 2 3" xfId="25464"/>
    <cellStyle name="40% - Accent1 3 4 2 2 3 2" xfId="27769"/>
    <cellStyle name="40% - Accent1 3 4 2 2 3 2 2" xfId="50014"/>
    <cellStyle name="40% - Accent1 3 4 2 2 3 3" xfId="47709"/>
    <cellStyle name="40% - Accent1 3 4 2 2 4" xfId="26426"/>
    <cellStyle name="40% - Accent1 3 4 2 2 4 2" xfId="48671"/>
    <cellStyle name="40% - Accent1 3 4 2 2 5" xfId="24222"/>
    <cellStyle name="40% - Accent1 3 4 2 2 5 2" xfId="46468"/>
    <cellStyle name="40% - Accent1 3 4 2 2 6" xfId="33682"/>
    <cellStyle name="40% - Accent1 3 4 2 3" xfId="13577"/>
    <cellStyle name="40% - Accent1 3 4 2 3 2" xfId="26767"/>
    <cellStyle name="40% - Accent1 3 4 2 3 2 2" xfId="49012"/>
    <cellStyle name="40% - Accent1 3 4 2 3 3" xfId="24554"/>
    <cellStyle name="40% - Accent1 3 4 2 3 3 2" xfId="46799"/>
    <cellStyle name="40% - Accent1 3 4 2 3 4" xfId="36998"/>
    <cellStyle name="40% - Accent1 3 4 2 4" xfId="25128"/>
    <cellStyle name="40% - Accent1 3 4 2 4 2" xfId="27433"/>
    <cellStyle name="40% - Accent1 3 4 2 4 2 2" xfId="49678"/>
    <cellStyle name="40% - Accent1 3 4 2 4 3" xfId="47373"/>
    <cellStyle name="40% - Accent1 3 4 2 5" xfId="26098"/>
    <cellStyle name="40% - Accent1 3 4 2 5 2" xfId="48343"/>
    <cellStyle name="40% - Accent1 3 4 2 6" xfId="23907"/>
    <cellStyle name="40% - Accent1 3 4 2 6 2" xfId="46153"/>
    <cellStyle name="40% - Accent1 3 4 2 7" xfId="30366"/>
    <cellStyle name="40% - Accent1 3 4 3" xfId="8523"/>
    <cellStyle name="40% - Accent1 3 4 3 2" xfId="15235"/>
    <cellStyle name="40% - Accent1 3 4 3 2 2" xfId="26933"/>
    <cellStyle name="40% - Accent1 3 4 3 2 2 2" xfId="49178"/>
    <cellStyle name="40% - Accent1 3 4 3 2 3" xfId="24720"/>
    <cellStyle name="40% - Accent1 3 4 3 2 3 2" xfId="46965"/>
    <cellStyle name="40% - Accent1 3 4 3 2 4" xfId="38656"/>
    <cellStyle name="40% - Accent1 3 4 3 3" xfId="25296"/>
    <cellStyle name="40% - Accent1 3 4 3 3 2" xfId="27601"/>
    <cellStyle name="40% - Accent1 3 4 3 3 2 2" xfId="49846"/>
    <cellStyle name="40% - Accent1 3 4 3 3 3" xfId="47541"/>
    <cellStyle name="40% - Accent1 3 4 3 4" xfId="26261"/>
    <cellStyle name="40% - Accent1 3 4 3 4 2" xfId="48506"/>
    <cellStyle name="40% - Accent1 3 4 3 5" xfId="24057"/>
    <cellStyle name="40% - Accent1 3 4 3 5 2" xfId="46303"/>
    <cellStyle name="40% - Accent1 3 4 3 6" xfId="32024"/>
    <cellStyle name="40% - Accent1 3 4 4" xfId="11917"/>
    <cellStyle name="40% - Accent1 3 4 4 2" xfId="26601"/>
    <cellStyle name="40% - Accent1 3 4 4 2 2" xfId="48846"/>
    <cellStyle name="40% - Accent1 3 4 4 3" xfId="24388"/>
    <cellStyle name="40% - Accent1 3 4 4 3 2" xfId="46633"/>
    <cellStyle name="40% - Accent1 3 4 4 4" xfId="35340"/>
    <cellStyle name="40% - Accent1 3 4 5" xfId="23388"/>
    <cellStyle name="40% - Accent1 3 4 5 2" xfId="27265"/>
    <cellStyle name="40% - Accent1 3 4 5 2 2" xfId="49510"/>
    <cellStyle name="40% - Accent1 3 4 5 3" xfId="45733"/>
    <cellStyle name="40% - Accent1 3 4 6" xfId="25712"/>
    <cellStyle name="40% - Accent1 3 4 6 2" xfId="47957"/>
    <cellStyle name="40% - Accent1 3 4 7" xfId="28708"/>
    <cellStyle name="40% - Accent1 3 5" xfId="3141"/>
    <cellStyle name="40% - Accent1 3 5 2" xfId="23987"/>
    <cellStyle name="40% - Accent1 3 5 2 2" xfId="24303"/>
    <cellStyle name="40% - Accent1 3 5 2 2 2" xfId="24968"/>
    <cellStyle name="40% - Accent1 3 5 2 2 2 2" xfId="27181"/>
    <cellStyle name="40% - Accent1 3 5 2 2 2 2 2" xfId="49426"/>
    <cellStyle name="40% - Accent1 3 5 2 2 2 3" xfId="47213"/>
    <cellStyle name="40% - Accent1 3 5 2 2 3" xfId="25548"/>
    <cellStyle name="40% - Accent1 3 5 2 2 3 2" xfId="27853"/>
    <cellStyle name="40% - Accent1 3 5 2 2 3 2 2" xfId="50098"/>
    <cellStyle name="40% - Accent1 3 5 2 2 3 3" xfId="47793"/>
    <cellStyle name="40% - Accent1 3 5 2 2 4" xfId="26507"/>
    <cellStyle name="40% - Accent1 3 5 2 2 4 2" xfId="48752"/>
    <cellStyle name="40% - Accent1 3 5 2 2 5" xfId="46549"/>
    <cellStyle name="40% - Accent1 3 5 2 3" xfId="24636"/>
    <cellStyle name="40% - Accent1 3 5 2 3 2" xfId="26849"/>
    <cellStyle name="40% - Accent1 3 5 2 3 2 2" xfId="49094"/>
    <cellStyle name="40% - Accent1 3 5 2 3 3" xfId="46881"/>
    <cellStyle name="40% - Accent1 3 5 2 4" xfId="25212"/>
    <cellStyle name="40% - Accent1 3 5 2 4 2" xfId="27517"/>
    <cellStyle name="40% - Accent1 3 5 2 4 2 2" xfId="49762"/>
    <cellStyle name="40% - Accent1 3 5 2 4 3" xfId="47457"/>
    <cellStyle name="40% - Accent1 3 5 2 5" xfId="26178"/>
    <cellStyle name="40% - Accent1 3 5 2 5 2" xfId="48423"/>
    <cellStyle name="40% - Accent1 3 5 2 6" xfId="46233"/>
    <cellStyle name="40% - Accent1 3 5 3" xfId="24138"/>
    <cellStyle name="40% - Accent1 3 5 3 2" xfId="24802"/>
    <cellStyle name="40% - Accent1 3 5 3 2 2" xfId="27015"/>
    <cellStyle name="40% - Accent1 3 5 3 2 2 2" xfId="49260"/>
    <cellStyle name="40% - Accent1 3 5 3 2 3" xfId="47047"/>
    <cellStyle name="40% - Accent1 3 5 3 3" xfId="25380"/>
    <cellStyle name="40% - Accent1 3 5 3 3 2" xfId="27685"/>
    <cellStyle name="40% - Accent1 3 5 3 3 2 2" xfId="49930"/>
    <cellStyle name="40% - Accent1 3 5 3 3 3" xfId="47625"/>
    <cellStyle name="40% - Accent1 3 5 3 4" xfId="26342"/>
    <cellStyle name="40% - Accent1 3 5 3 4 2" xfId="48587"/>
    <cellStyle name="40% - Accent1 3 5 3 5" xfId="46384"/>
    <cellStyle name="40% - Accent1 3 5 4" xfId="24470"/>
    <cellStyle name="40% - Accent1 3 5 4 2" xfId="26683"/>
    <cellStyle name="40% - Accent1 3 5 4 2 2" xfId="48928"/>
    <cellStyle name="40% - Accent1 3 5 4 3" xfId="46715"/>
    <cellStyle name="40% - Accent1 3 5 5" xfId="25050"/>
    <cellStyle name="40% - Accent1 3 5 5 2" xfId="27349"/>
    <cellStyle name="40% - Accent1 3 5 5 2 2" xfId="49594"/>
    <cellStyle name="40% - Accent1 3 5 5 3" xfId="47295"/>
    <cellStyle name="40% - Accent1 3 5 6" xfId="23840"/>
    <cellStyle name="40% - Accent1 3 5 6 2" xfId="26031"/>
    <cellStyle name="40% - Accent1 3 5 6 2 2" xfId="48276"/>
    <cellStyle name="40% - Accent1 3 5 6 3" xfId="46086"/>
    <cellStyle name="40% - Accent1 3 6" xfId="3135"/>
    <cellStyle name="40% - Accent1 3 6 2" xfId="6852"/>
    <cellStyle name="40% - Accent1 3 6 2 2" xfId="10184"/>
    <cellStyle name="40% - Accent1 3 6 2 2 2" xfId="16888"/>
    <cellStyle name="40% - Accent1 3 6 2 2 2 2" xfId="27057"/>
    <cellStyle name="40% - Accent1 3 6 2 2 2 2 2" xfId="49302"/>
    <cellStyle name="40% - Accent1 3 6 2 2 2 3" xfId="40309"/>
    <cellStyle name="40% - Accent1 3 6 2 2 3" xfId="24844"/>
    <cellStyle name="40% - Accent1 3 6 2 2 3 2" xfId="47089"/>
    <cellStyle name="40% - Accent1 3 6 2 2 4" xfId="33677"/>
    <cellStyle name="40% - Accent1 3 6 2 3" xfId="13572"/>
    <cellStyle name="40% - Accent1 3 6 2 3 2" xfId="27727"/>
    <cellStyle name="40% - Accent1 3 6 2 3 2 2" xfId="49972"/>
    <cellStyle name="40% - Accent1 3 6 2 3 3" xfId="25422"/>
    <cellStyle name="40% - Accent1 3 6 2 3 3 2" xfId="47667"/>
    <cellStyle name="40% - Accent1 3 6 2 3 4" xfId="36993"/>
    <cellStyle name="40% - Accent1 3 6 2 4" xfId="26384"/>
    <cellStyle name="40% - Accent1 3 6 2 4 2" xfId="48629"/>
    <cellStyle name="40% - Accent1 3 6 2 5" xfId="24180"/>
    <cellStyle name="40% - Accent1 3 6 2 5 2" xfId="46426"/>
    <cellStyle name="40% - Accent1 3 6 2 6" xfId="30361"/>
    <cellStyle name="40% - Accent1 3 6 3" xfId="8518"/>
    <cellStyle name="40% - Accent1 3 6 3 2" xfId="15230"/>
    <cellStyle name="40% - Accent1 3 6 3 2 2" xfId="26725"/>
    <cellStyle name="40% - Accent1 3 6 3 2 2 2" xfId="48970"/>
    <cellStyle name="40% - Accent1 3 6 3 2 3" xfId="38651"/>
    <cellStyle name="40% - Accent1 3 6 3 3" xfId="24512"/>
    <cellStyle name="40% - Accent1 3 6 3 3 2" xfId="46757"/>
    <cellStyle name="40% - Accent1 3 6 3 4" xfId="32019"/>
    <cellStyle name="40% - Accent1 3 6 4" xfId="11912"/>
    <cellStyle name="40% - Accent1 3 6 4 2" xfId="27391"/>
    <cellStyle name="40% - Accent1 3 6 4 2 2" xfId="49636"/>
    <cellStyle name="40% - Accent1 3 6 4 3" xfId="25086"/>
    <cellStyle name="40% - Accent1 3 6 4 3 2" xfId="47331"/>
    <cellStyle name="40% - Accent1 3 6 4 4" xfId="35335"/>
    <cellStyle name="40% - Accent1 3 6 5" xfId="25707"/>
    <cellStyle name="40% - Accent1 3 6 5 2" xfId="47952"/>
    <cellStyle name="40% - Accent1 3 6 6" xfId="23360"/>
    <cellStyle name="40% - Accent1 3 6 6 2" xfId="45705"/>
    <cellStyle name="40% - Accent1 3 6 7" xfId="28703"/>
    <cellStyle name="40% - Accent1 3 7" xfId="23384"/>
    <cellStyle name="40% - Accent1 3 7 2" xfId="24678"/>
    <cellStyle name="40% - Accent1 3 7 2 2" xfId="26891"/>
    <cellStyle name="40% - Accent1 3 7 2 2 2" xfId="49136"/>
    <cellStyle name="40% - Accent1 3 7 2 3" xfId="46923"/>
    <cellStyle name="40% - Accent1 3 7 3" xfId="25254"/>
    <cellStyle name="40% - Accent1 3 7 3 2" xfId="27559"/>
    <cellStyle name="40% - Accent1 3 7 3 2 2" xfId="49804"/>
    <cellStyle name="40% - Accent1 3 7 3 3" xfId="47499"/>
    <cellStyle name="40% - Accent1 3 7 4" xfId="26219"/>
    <cellStyle name="40% - Accent1 3 7 4 2" xfId="48464"/>
    <cellStyle name="40% - Accent1 3 7 5" xfId="45729"/>
    <cellStyle name="40% - Accent1 3 8" xfId="24356"/>
    <cellStyle name="40% - Accent1 3 8 2" xfId="26559"/>
    <cellStyle name="40% - Accent1 3 8 2 2" xfId="48804"/>
    <cellStyle name="40% - Accent1 3 8 3" xfId="46601"/>
    <cellStyle name="40% - Accent1 3 9" xfId="25010"/>
    <cellStyle name="40% - Accent1 3 9 2" xfId="27223"/>
    <cellStyle name="40% - Accent1 3 9 2 2" xfId="49468"/>
    <cellStyle name="40% - Accent1 3 9 3" xfId="47255"/>
    <cellStyle name="40% - Accent1 4" xfId="3133"/>
    <cellStyle name="40% - Accent1 4 2" xfId="25660"/>
    <cellStyle name="40% - Accent1 4 2 2" xfId="47905"/>
    <cellStyle name="40% - Accent1 5" xfId="7718"/>
    <cellStyle name="40% - Accent1 5 2" xfId="11047"/>
    <cellStyle name="40% - Accent1 5 2 2" xfId="17751"/>
    <cellStyle name="40% - Accent1 5 2 2 2" xfId="41172"/>
    <cellStyle name="40% - Accent1 5 2 3" xfId="34540"/>
    <cellStyle name="40% - Accent1 5 3" xfId="14435"/>
    <cellStyle name="40% - Accent1 5 3 2" xfId="37856"/>
    <cellStyle name="40% - Accent1 5 4" xfId="31224"/>
    <cellStyle name="40% - Accent1 6" xfId="9389"/>
    <cellStyle name="40% - Accent1 6 2" xfId="16093"/>
    <cellStyle name="40% - Accent1 6 2 2" xfId="39514"/>
    <cellStyle name="40% - Accent1 6 3" xfId="32882"/>
    <cellStyle name="40% - Accent1 7" xfId="12777"/>
    <cellStyle name="40% - Accent1 7 2" xfId="36198"/>
    <cellStyle name="40% - Accent1 8" xfId="23791"/>
    <cellStyle name="40% - Accent1 8 2" xfId="46057"/>
    <cellStyle name="40% - Accent1 9" xfId="29566"/>
    <cellStyle name="40% - Accent2" xfId="6046" builtinId="35" customBuiltin="1"/>
    <cellStyle name="40% - Accent2 2" xfId="201"/>
    <cellStyle name="40% - Accent2 2 2" xfId="202"/>
    <cellStyle name="40% - Accent2 3" xfId="1035"/>
    <cellStyle name="40% - Accent2 3 10" xfId="25713"/>
    <cellStyle name="40% - Accent2 3 10 2" xfId="47958"/>
    <cellStyle name="40% - Accent2 3 2" xfId="3144"/>
    <cellStyle name="40% - Accent2 3 2 10" xfId="28710"/>
    <cellStyle name="40% - Accent2 3 2 2" xfId="3145"/>
    <cellStyle name="40% - Accent2 3 2 2 2" xfId="6860"/>
    <cellStyle name="40% - Accent2 3 2 2 2 2" xfId="10192"/>
    <cellStyle name="40% - Accent2 3 2 2 2 2 2" xfId="16896"/>
    <cellStyle name="40% - Accent2 3 2 2 2 2 2 2" xfId="27162"/>
    <cellStyle name="40% - Accent2 3 2 2 2 2 2 2 2" xfId="49407"/>
    <cellStyle name="40% - Accent2 3 2 2 2 2 2 3" xfId="24949"/>
    <cellStyle name="40% - Accent2 3 2 2 2 2 2 3 2" xfId="47194"/>
    <cellStyle name="40% - Accent2 3 2 2 2 2 2 4" xfId="40317"/>
    <cellStyle name="40% - Accent2 3 2 2 2 2 3" xfId="25528"/>
    <cellStyle name="40% - Accent2 3 2 2 2 2 3 2" xfId="27833"/>
    <cellStyle name="40% - Accent2 3 2 2 2 2 3 2 2" xfId="50078"/>
    <cellStyle name="40% - Accent2 3 2 2 2 2 3 3" xfId="47773"/>
    <cellStyle name="40% - Accent2 3 2 2 2 2 4" xfId="26488"/>
    <cellStyle name="40% - Accent2 3 2 2 2 2 4 2" xfId="48733"/>
    <cellStyle name="40% - Accent2 3 2 2 2 2 5" xfId="24284"/>
    <cellStyle name="40% - Accent2 3 2 2 2 2 5 2" xfId="46530"/>
    <cellStyle name="40% - Accent2 3 2 2 2 2 6" xfId="33685"/>
    <cellStyle name="40% - Accent2 3 2 2 2 3" xfId="13580"/>
    <cellStyle name="40% - Accent2 3 2 2 2 3 2" xfId="26830"/>
    <cellStyle name="40% - Accent2 3 2 2 2 3 2 2" xfId="49075"/>
    <cellStyle name="40% - Accent2 3 2 2 2 3 3" xfId="24617"/>
    <cellStyle name="40% - Accent2 3 2 2 2 3 3 2" xfId="46862"/>
    <cellStyle name="40% - Accent2 3 2 2 2 3 4" xfId="37001"/>
    <cellStyle name="40% - Accent2 3 2 2 2 4" xfId="25192"/>
    <cellStyle name="40% - Accent2 3 2 2 2 4 2" xfId="27497"/>
    <cellStyle name="40% - Accent2 3 2 2 2 4 2 2" xfId="49742"/>
    <cellStyle name="40% - Accent2 3 2 2 2 4 3" xfId="47437"/>
    <cellStyle name="40% - Accent2 3 2 2 2 5" xfId="26159"/>
    <cellStyle name="40% - Accent2 3 2 2 2 5 2" xfId="48404"/>
    <cellStyle name="40% - Accent2 3 2 2 2 6" xfId="23968"/>
    <cellStyle name="40% - Accent2 3 2 2 2 6 2" xfId="46214"/>
    <cellStyle name="40% - Accent2 3 2 2 2 7" xfId="30369"/>
    <cellStyle name="40% - Accent2 3 2 2 3" xfId="8526"/>
    <cellStyle name="40% - Accent2 3 2 2 3 2" xfId="15238"/>
    <cellStyle name="40% - Accent2 3 2 2 3 2 2" xfId="26996"/>
    <cellStyle name="40% - Accent2 3 2 2 3 2 2 2" xfId="49241"/>
    <cellStyle name="40% - Accent2 3 2 2 3 2 3" xfId="24783"/>
    <cellStyle name="40% - Accent2 3 2 2 3 2 3 2" xfId="47028"/>
    <cellStyle name="40% - Accent2 3 2 2 3 2 4" xfId="38659"/>
    <cellStyle name="40% - Accent2 3 2 2 3 3" xfId="25360"/>
    <cellStyle name="40% - Accent2 3 2 2 3 3 2" xfId="27665"/>
    <cellStyle name="40% - Accent2 3 2 2 3 3 2 2" xfId="49910"/>
    <cellStyle name="40% - Accent2 3 2 2 3 3 3" xfId="47605"/>
    <cellStyle name="40% - Accent2 3 2 2 3 4" xfId="26323"/>
    <cellStyle name="40% - Accent2 3 2 2 3 4 2" xfId="48568"/>
    <cellStyle name="40% - Accent2 3 2 2 3 5" xfId="24119"/>
    <cellStyle name="40% - Accent2 3 2 2 3 5 2" xfId="46365"/>
    <cellStyle name="40% - Accent2 3 2 2 3 6" xfId="32027"/>
    <cellStyle name="40% - Accent2 3 2 2 4" xfId="11920"/>
    <cellStyle name="40% - Accent2 3 2 2 4 2" xfId="26664"/>
    <cellStyle name="40% - Accent2 3 2 2 4 2 2" xfId="48909"/>
    <cellStyle name="40% - Accent2 3 2 2 4 3" xfId="24451"/>
    <cellStyle name="40% - Accent2 3 2 2 4 3 2" xfId="46696"/>
    <cellStyle name="40% - Accent2 3 2 2 4 4" xfId="35343"/>
    <cellStyle name="40% - Accent2 3 2 2 5" xfId="23385"/>
    <cellStyle name="40% - Accent2 3 2 2 5 2" xfId="27329"/>
    <cellStyle name="40% - Accent2 3 2 2 5 2 2" xfId="49574"/>
    <cellStyle name="40% - Accent2 3 2 2 5 3" xfId="45730"/>
    <cellStyle name="40% - Accent2 3 2 2 6" xfId="25715"/>
    <cellStyle name="40% - Accent2 3 2 2 6 2" xfId="47960"/>
    <cellStyle name="40% - Accent2 3 2 2 7" xfId="28711"/>
    <cellStyle name="40% - Accent2 3 2 3" xfId="3146"/>
    <cellStyle name="40% - Accent2 3 2 3 2" xfId="6861"/>
    <cellStyle name="40% - Accent2 3 2 3 2 2" xfId="10193"/>
    <cellStyle name="40% - Accent2 3 2 3 2 2 2" xfId="16897"/>
    <cellStyle name="40% - Accent2 3 2 3 2 2 2 2" xfId="27121"/>
    <cellStyle name="40% - Accent2 3 2 3 2 2 2 2 2" xfId="49366"/>
    <cellStyle name="40% - Accent2 3 2 3 2 2 2 3" xfId="24908"/>
    <cellStyle name="40% - Accent2 3 2 3 2 2 2 3 2" xfId="47153"/>
    <cellStyle name="40% - Accent2 3 2 3 2 2 2 4" xfId="40318"/>
    <cellStyle name="40% - Accent2 3 2 3 2 2 3" xfId="25486"/>
    <cellStyle name="40% - Accent2 3 2 3 2 2 3 2" xfId="27791"/>
    <cellStyle name="40% - Accent2 3 2 3 2 2 3 2 2" xfId="50036"/>
    <cellStyle name="40% - Accent2 3 2 3 2 2 3 3" xfId="47731"/>
    <cellStyle name="40% - Accent2 3 2 3 2 2 4" xfId="26448"/>
    <cellStyle name="40% - Accent2 3 2 3 2 2 4 2" xfId="48693"/>
    <cellStyle name="40% - Accent2 3 2 3 2 2 5" xfId="24244"/>
    <cellStyle name="40% - Accent2 3 2 3 2 2 5 2" xfId="46490"/>
    <cellStyle name="40% - Accent2 3 2 3 2 2 6" xfId="33686"/>
    <cellStyle name="40% - Accent2 3 2 3 2 3" xfId="13581"/>
    <cellStyle name="40% - Accent2 3 2 3 2 3 2" xfId="26789"/>
    <cellStyle name="40% - Accent2 3 2 3 2 3 2 2" xfId="49034"/>
    <cellStyle name="40% - Accent2 3 2 3 2 3 3" xfId="24576"/>
    <cellStyle name="40% - Accent2 3 2 3 2 3 3 2" xfId="46821"/>
    <cellStyle name="40% - Accent2 3 2 3 2 3 4" xfId="37002"/>
    <cellStyle name="40% - Accent2 3 2 3 2 4" xfId="25150"/>
    <cellStyle name="40% - Accent2 3 2 3 2 4 2" xfId="27455"/>
    <cellStyle name="40% - Accent2 3 2 3 2 4 2 2" xfId="49700"/>
    <cellStyle name="40% - Accent2 3 2 3 2 4 3" xfId="47395"/>
    <cellStyle name="40% - Accent2 3 2 3 2 5" xfId="26119"/>
    <cellStyle name="40% - Accent2 3 2 3 2 5 2" xfId="48364"/>
    <cellStyle name="40% - Accent2 3 2 3 2 6" xfId="23928"/>
    <cellStyle name="40% - Accent2 3 2 3 2 6 2" xfId="46174"/>
    <cellStyle name="40% - Accent2 3 2 3 2 7" xfId="30370"/>
    <cellStyle name="40% - Accent2 3 2 3 3" xfId="8527"/>
    <cellStyle name="40% - Accent2 3 2 3 3 2" xfId="15239"/>
    <cellStyle name="40% - Accent2 3 2 3 3 2 2" xfId="26955"/>
    <cellStyle name="40% - Accent2 3 2 3 3 2 2 2" xfId="49200"/>
    <cellStyle name="40% - Accent2 3 2 3 3 2 3" xfId="24742"/>
    <cellStyle name="40% - Accent2 3 2 3 3 2 3 2" xfId="46987"/>
    <cellStyle name="40% - Accent2 3 2 3 3 2 4" xfId="38660"/>
    <cellStyle name="40% - Accent2 3 2 3 3 3" xfId="25318"/>
    <cellStyle name="40% - Accent2 3 2 3 3 3 2" xfId="27623"/>
    <cellStyle name="40% - Accent2 3 2 3 3 3 2 2" xfId="49868"/>
    <cellStyle name="40% - Accent2 3 2 3 3 3 3" xfId="47563"/>
    <cellStyle name="40% - Accent2 3 2 3 3 4" xfId="26283"/>
    <cellStyle name="40% - Accent2 3 2 3 3 4 2" xfId="48528"/>
    <cellStyle name="40% - Accent2 3 2 3 3 5" xfId="24079"/>
    <cellStyle name="40% - Accent2 3 2 3 3 5 2" xfId="46325"/>
    <cellStyle name="40% - Accent2 3 2 3 3 6" xfId="32028"/>
    <cellStyle name="40% - Accent2 3 2 3 4" xfId="11921"/>
    <cellStyle name="40% - Accent2 3 2 3 4 2" xfId="26623"/>
    <cellStyle name="40% - Accent2 3 2 3 4 2 2" xfId="48868"/>
    <cellStyle name="40% - Accent2 3 2 3 4 3" xfId="24410"/>
    <cellStyle name="40% - Accent2 3 2 3 4 3 2" xfId="46655"/>
    <cellStyle name="40% - Accent2 3 2 3 4 4" xfId="35344"/>
    <cellStyle name="40% - Accent2 3 2 3 5" xfId="23235"/>
    <cellStyle name="40% - Accent2 3 2 3 5 2" xfId="27287"/>
    <cellStyle name="40% - Accent2 3 2 3 5 2 2" xfId="49532"/>
    <cellStyle name="40% - Accent2 3 2 3 5 3" xfId="45635"/>
    <cellStyle name="40% - Accent2 3 2 3 6" xfId="25716"/>
    <cellStyle name="40% - Accent2 3 2 3 6 2" xfId="47961"/>
    <cellStyle name="40% - Accent2 3 2 3 7" xfId="28712"/>
    <cellStyle name="40% - Accent2 3 2 4" xfId="6859"/>
    <cellStyle name="40% - Accent2 3 2 4 2" xfId="10191"/>
    <cellStyle name="40% - Accent2 3 2 4 2 2" xfId="16895"/>
    <cellStyle name="40% - Accent2 3 2 4 2 2 2" xfId="24990"/>
    <cellStyle name="40% - Accent2 3 2 4 2 2 2 2" xfId="27203"/>
    <cellStyle name="40% - Accent2 3 2 4 2 2 2 2 2" xfId="49448"/>
    <cellStyle name="40% - Accent2 3 2 4 2 2 2 3" xfId="47235"/>
    <cellStyle name="40% - Accent2 3 2 4 2 2 3" xfId="25570"/>
    <cellStyle name="40% - Accent2 3 2 4 2 2 3 2" xfId="27875"/>
    <cellStyle name="40% - Accent2 3 2 4 2 2 3 2 2" xfId="50120"/>
    <cellStyle name="40% - Accent2 3 2 4 2 2 3 3" xfId="47815"/>
    <cellStyle name="40% - Accent2 3 2 4 2 2 4" xfId="26529"/>
    <cellStyle name="40% - Accent2 3 2 4 2 2 4 2" xfId="48774"/>
    <cellStyle name="40% - Accent2 3 2 4 2 2 5" xfId="24325"/>
    <cellStyle name="40% - Accent2 3 2 4 2 2 5 2" xfId="46571"/>
    <cellStyle name="40% - Accent2 3 2 4 2 2 6" xfId="40316"/>
    <cellStyle name="40% - Accent2 3 2 4 2 3" xfId="24658"/>
    <cellStyle name="40% - Accent2 3 2 4 2 3 2" xfId="26871"/>
    <cellStyle name="40% - Accent2 3 2 4 2 3 2 2" xfId="49116"/>
    <cellStyle name="40% - Accent2 3 2 4 2 3 3" xfId="46903"/>
    <cellStyle name="40% - Accent2 3 2 4 2 4" xfId="25234"/>
    <cellStyle name="40% - Accent2 3 2 4 2 4 2" xfId="27539"/>
    <cellStyle name="40% - Accent2 3 2 4 2 4 2 2" xfId="49784"/>
    <cellStyle name="40% - Accent2 3 2 4 2 4 3" xfId="47479"/>
    <cellStyle name="40% - Accent2 3 2 4 2 5" xfId="26200"/>
    <cellStyle name="40% - Accent2 3 2 4 2 5 2" xfId="48445"/>
    <cellStyle name="40% - Accent2 3 2 4 2 6" xfId="24009"/>
    <cellStyle name="40% - Accent2 3 2 4 2 6 2" xfId="46255"/>
    <cellStyle name="40% - Accent2 3 2 4 2 7" xfId="33684"/>
    <cellStyle name="40% - Accent2 3 2 4 3" xfId="13579"/>
    <cellStyle name="40% - Accent2 3 2 4 3 2" xfId="24824"/>
    <cellStyle name="40% - Accent2 3 2 4 3 2 2" xfId="27037"/>
    <cellStyle name="40% - Accent2 3 2 4 3 2 2 2" xfId="49282"/>
    <cellStyle name="40% - Accent2 3 2 4 3 2 3" xfId="47069"/>
    <cellStyle name="40% - Accent2 3 2 4 3 3" xfId="25402"/>
    <cellStyle name="40% - Accent2 3 2 4 3 3 2" xfId="27707"/>
    <cellStyle name="40% - Accent2 3 2 4 3 3 2 2" xfId="49952"/>
    <cellStyle name="40% - Accent2 3 2 4 3 3 3" xfId="47647"/>
    <cellStyle name="40% - Accent2 3 2 4 3 4" xfId="26364"/>
    <cellStyle name="40% - Accent2 3 2 4 3 4 2" xfId="48609"/>
    <cellStyle name="40% - Accent2 3 2 4 3 5" xfId="24160"/>
    <cellStyle name="40% - Accent2 3 2 4 3 5 2" xfId="46406"/>
    <cellStyle name="40% - Accent2 3 2 4 3 6" xfId="37000"/>
    <cellStyle name="40% - Accent2 3 2 4 4" xfId="24492"/>
    <cellStyle name="40% - Accent2 3 2 4 4 2" xfId="26705"/>
    <cellStyle name="40% - Accent2 3 2 4 4 2 2" xfId="48950"/>
    <cellStyle name="40% - Accent2 3 2 4 4 3" xfId="46737"/>
    <cellStyle name="40% - Accent2 3 2 4 5" xfId="25066"/>
    <cellStyle name="40% - Accent2 3 2 4 5 2" xfId="27371"/>
    <cellStyle name="40% - Accent2 3 2 4 5 2 2" xfId="49616"/>
    <cellStyle name="40% - Accent2 3 2 4 5 3" xfId="47311"/>
    <cellStyle name="40% - Accent2 3 2 4 6" xfId="26047"/>
    <cellStyle name="40% - Accent2 3 2 4 6 2" xfId="48292"/>
    <cellStyle name="40% - Accent2 3 2 4 7" xfId="23856"/>
    <cellStyle name="40% - Accent2 3 2 4 7 2" xfId="46102"/>
    <cellStyle name="40% - Accent2 3 2 4 8" xfId="30368"/>
    <cellStyle name="40% - Accent2 3 2 5" xfId="8525"/>
    <cellStyle name="40% - Accent2 3 2 5 2" xfId="15237"/>
    <cellStyle name="40% - Accent2 3 2 5 2 2" xfId="24866"/>
    <cellStyle name="40% - Accent2 3 2 5 2 2 2" xfId="27079"/>
    <cellStyle name="40% - Accent2 3 2 5 2 2 2 2" xfId="49324"/>
    <cellStyle name="40% - Accent2 3 2 5 2 2 3" xfId="47111"/>
    <cellStyle name="40% - Accent2 3 2 5 2 3" xfId="25444"/>
    <cellStyle name="40% - Accent2 3 2 5 2 3 2" xfId="27749"/>
    <cellStyle name="40% - Accent2 3 2 5 2 3 2 2" xfId="49994"/>
    <cellStyle name="40% - Accent2 3 2 5 2 3 3" xfId="47689"/>
    <cellStyle name="40% - Accent2 3 2 5 2 4" xfId="26406"/>
    <cellStyle name="40% - Accent2 3 2 5 2 4 2" xfId="48651"/>
    <cellStyle name="40% - Accent2 3 2 5 2 5" xfId="24202"/>
    <cellStyle name="40% - Accent2 3 2 5 2 5 2" xfId="46448"/>
    <cellStyle name="40% - Accent2 3 2 5 2 6" xfId="38658"/>
    <cellStyle name="40% - Accent2 3 2 5 3" xfId="24534"/>
    <cellStyle name="40% - Accent2 3 2 5 3 2" xfId="26747"/>
    <cellStyle name="40% - Accent2 3 2 5 3 2 2" xfId="48992"/>
    <cellStyle name="40% - Accent2 3 2 5 3 3" xfId="46779"/>
    <cellStyle name="40% - Accent2 3 2 5 4" xfId="25108"/>
    <cellStyle name="40% - Accent2 3 2 5 4 2" xfId="27413"/>
    <cellStyle name="40% - Accent2 3 2 5 4 2 2" xfId="49658"/>
    <cellStyle name="40% - Accent2 3 2 5 4 3" xfId="47353"/>
    <cellStyle name="40% - Accent2 3 2 5 5" xfId="26079"/>
    <cellStyle name="40% - Accent2 3 2 5 5 2" xfId="48324"/>
    <cellStyle name="40% - Accent2 3 2 5 6" xfId="23888"/>
    <cellStyle name="40% - Accent2 3 2 5 6 2" xfId="46134"/>
    <cellStyle name="40% - Accent2 3 2 5 7" xfId="32026"/>
    <cellStyle name="40% - Accent2 3 2 6" xfId="11919"/>
    <cellStyle name="40% - Accent2 3 2 6 2" xfId="24700"/>
    <cellStyle name="40% - Accent2 3 2 6 2 2" xfId="26913"/>
    <cellStyle name="40% - Accent2 3 2 6 2 2 2" xfId="49158"/>
    <cellStyle name="40% - Accent2 3 2 6 2 3" xfId="46945"/>
    <cellStyle name="40% - Accent2 3 2 6 3" xfId="25276"/>
    <cellStyle name="40% - Accent2 3 2 6 3 2" xfId="27581"/>
    <cellStyle name="40% - Accent2 3 2 6 3 2 2" xfId="49826"/>
    <cellStyle name="40% - Accent2 3 2 6 3 3" xfId="47521"/>
    <cellStyle name="40% - Accent2 3 2 6 4" xfId="26241"/>
    <cellStyle name="40% - Accent2 3 2 6 4 2" xfId="48486"/>
    <cellStyle name="40% - Accent2 3 2 6 5" xfId="24037"/>
    <cellStyle name="40% - Accent2 3 2 6 5 2" xfId="46283"/>
    <cellStyle name="40% - Accent2 3 2 6 6" xfId="35342"/>
    <cellStyle name="40% - Accent2 3 2 7" xfId="23386"/>
    <cellStyle name="40% - Accent2 3 2 7 2" xfId="26581"/>
    <cellStyle name="40% - Accent2 3 2 7 2 2" xfId="48826"/>
    <cellStyle name="40% - Accent2 3 2 7 3" xfId="45731"/>
    <cellStyle name="40% - Accent2 3 2 8" xfId="25032"/>
    <cellStyle name="40% - Accent2 3 2 8 2" xfId="27245"/>
    <cellStyle name="40% - Accent2 3 2 8 2 2" xfId="49490"/>
    <cellStyle name="40% - Accent2 3 2 8 3" xfId="47277"/>
    <cellStyle name="40% - Accent2 3 2 9" xfId="25714"/>
    <cellStyle name="40% - Accent2 3 2 9 2" xfId="47959"/>
    <cellStyle name="40% - Accent2 3 3" xfId="3147"/>
    <cellStyle name="40% - Accent2 3 3 2" xfId="6862"/>
    <cellStyle name="40% - Accent2 3 3 2 2" xfId="10194"/>
    <cellStyle name="40% - Accent2 3 3 2 2 2" xfId="16898"/>
    <cellStyle name="40% - Accent2 3 3 2 2 2 2" xfId="27142"/>
    <cellStyle name="40% - Accent2 3 3 2 2 2 2 2" xfId="49387"/>
    <cellStyle name="40% - Accent2 3 3 2 2 2 3" xfId="24929"/>
    <cellStyle name="40% - Accent2 3 3 2 2 2 3 2" xfId="47174"/>
    <cellStyle name="40% - Accent2 3 3 2 2 2 4" xfId="40319"/>
    <cellStyle name="40% - Accent2 3 3 2 2 3" xfId="25507"/>
    <cellStyle name="40% - Accent2 3 3 2 2 3 2" xfId="27812"/>
    <cellStyle name="40% - Accent2 3 3 2 2 3 2 2" xfId="50057"/>
    <cellStyle name="40% - Accent2 3 3 2 2 3 3" xfId="47752"/>
    <cellStyle name="40% - Accent2 3 3 2 2 4" xfId="26468"/>
    <cellStyle name="40% - Accent2 3 3 2 2 4 2" xfId="48713"/>
    <cellStyle name="40% - Accent2 3 3 2 2 5" xfId="24264"/>
    <cellStyle name="40% - Accent2 3 3 2 2 5 2" xfId="46510"/>
    <cellStyle name="40% - Accent2 3 3 2 2 6" xfId="33687"/>
    <cellStyle name="40% - Accent2 3 3 2 3" xfId="13582"/>
    <cellStyle name="40% - Accent2 3 3 2 3 2" xfId="26810"/>
    <cellStyle name="40% - Accent2 3 3 2 3 2 2" xfId="49055"/>
    <cellStyle name="40% - Accent2 3 3 2 3 3" xfId="24597"/>
    <cellStyle name="40% - Accent2 3 3 2 3 3 2" xfId="46842"/>
    <cellStyle name="40% - Accent2 3 3 2 3 4" xfId="37003"/>
    <cellStyle name="40% - Accent2 3 3 2 4" xfId="25171"/>
    <cellStyle name="40% - Accent2 3 3 2 4 2" xfId="27476"/>
    <cellStyle name="40% - Accent2 3 3 2 4 2 2" xfId="49721"/>
    <cellStyle name="40% - Accent2 3 3 2 4 3" xfId="47416"/>
    <cellStyle name="40% - Accent2 3 3 2 5" xfId="26139"/>
    <cellStyle name="40% - Accent2 3 3 2 5 2" xfId="48384"/>
    <cellStyle name="40% - Accent2 3 3 2 6" xfId="23948"/>
    <cellStyle name="40% - Accent2 3 3 2 6 2" xfId="46194"/>
    <cellStyle name="40% - Accent2 3 3 2 7" xfId="30371"/>
    <cellStyle name="40% - Accent2 3 3 3" xfId="8528"/>
    <cellStyle name="40% - Accent2 3 3 3 2" xfId="15240"/>
    <cellStyle name="40% - Accent2 3 3 3 2 2" xfId="26976"/>
    <cellStyle name="40% - Accent2 3 3 3 2 2 2" xfId="49221"/>
    <cellStyle name="40% - Accent2 3 3 3 2 3" xfId="24763"/>
    <cellStyle name="40% - Accent2 3 3 3 2 3 2" xfId="47008"/>
    <cellStyle name="40% - Accent2 3 3 3 2 4" xfId="38661"/>
    <cellStyle name="40% - Accent2 3 3 3 3" xfId="25339"/>
    <cellStyle name="40% - Accent2 3 3 3 3 2" xfId="27644"/>
    <cellStyle name="40% - Accent2 3 3 3 3 2 2" xfId="49889"/>
    <cellStyle name="40% - Accent2 3 3 3 3 3" xfId="47584"/>
    <cellStyle name="40% - Accent2 3 3 3 4" xfId="26303"/>
    <cellStyle name="40% - Accent2 3 3 3 4 2" xfId="48548"/>
    <cellStyle name="40% - Accent2 3 3 3 5" xfId="24099"/>
    <cellStyle name="40% - Accent2 3 3 3 5 2" xfId="46345"/>
    <cellStyle name="40% - Accent2 3 3 3 6" xfId="32029"/>
    <cellStyle name="40% - Accent2 3 3 4" xfId="11922"/>
    <cellStyle name="40% - Accent2 3 3 4 2" xfId="26644"/>
    <cellStyle name="40% - Accent2 3 3 4 2 2" xfId="48889"/>
    <cellStyle name="40% - Accent2 3 3 4 3" xfId="24431"/>
    <cellStyle name="40% - Accent2 3 3 4 3 2" xfId="46676"/>
    <cellStyle name="40% - Accent2 3 3 4 4" xfId="35345"/>
    <cellStyle name="40% - Accent2 3 3 5" xfId="23217"/>
    <cellStyle name="40% - Accent2 3 3 5 2" xfId="27308"/>
    <cellStyle name="40% - Accent2 3 3 5 2 2" xfId="49553"/>
    <cellStyle name="40% - Accent2 3 3 5 3" xfId="45626"/>
    <cellStyle name="40% - Accent2 3 3 6" xfId="25717"/>
    <cellStyle name="40% - Accent2 3 3 6 2" xfId="47962"/>
    <cellStyle name="40% - Accent2 3 3 7" xfId="28713"/>
    <cellStyle name="40% - Accent2 3 4" xfId="3148"/>
    <cellStyle name="40% - Accent2 3 4 2" xfId="6863"/>
    <cellStyle name="40% - Accent2 3 4 2 2" xfId="10195"/>
    <cellStyle name="40% - Accent2 3 4 2 2 2" xfId="16899"/>
    <cellStyle name="40% - Accent2 3 4 2 2 2 2" xfId="27100"/>
    <cellStyle name="40% - Accent2 3 4 2 2 2 2 2" xfId="49345"/>
    <cellStyle name="40% - Accent2 3 4 2 2 2 3" xfId="24887"/>
    <cellStyle name="40% - Accent2 3 4 2 2 2 3 2" xfId="47132"/>
    <cellStyle name="40% - Accent2 3 4 2 2 2 4" xfId="40320"/>
    <cellStyle name="40% - Accent2 3 4 2 2 3" xfId="25465"/>
    <cellStyle name="40% - Accent2 3 4 2 2 3 2" xfId="27770"/>
    <cellStyle name="40% - Accent2 3 4 2 2 3 2 2" xfId="50015"/>
    <cellStyle name="40% - Accent2 3 4 2 2 3 3" xfId="47710"/>
    <cellStyle name="40% - Accent2 3 4 2 2 4" xfId="26427"/>
    <cellStyle name="40% - Accent2 3 4 2 2 4 2" xfId="48672"/>
    <cellStyle name="40% - Accent2 3 4 2 2 5" xfId="24223"/>
    <cellStyle name="40% - Accent2 3 4 2 2 5 2" xfId="46469"/>
    <cellStyle name="40% - Accent2 3 4 2 2 6" xfId="33688"/>
    <cellStyle name="40% - Accent2 3 4 2 3" xfId="13583"/>
    <cellStyle name="40% - Accent2 3 4 2 3 2" xfId="26768"/>
    <cellStyle name="40% - Accent2 3 4 2 3 2 2" xfId="49013"/>
    <cellStyle name="40% - Accent2 3 4 2 3 3" xfId="24555"/>
    <cellStyle name="40% - Accent2 3 4 2 3 3 2" xfId="46800"/>
    <cellStyle name="40% - Accent2 3 4 2 3 4" xfId="37004"/>
    <cellStyle name="40% - Accent2 3 4 2 4" xfId="25129"/>
    <cellStyle name="40% - Accent2 3 4 2 4 2" xfId="27434"/>
    <cellStyle name="40% - Accent2 3 4 2 4 2 2" xfId="49679"/>
    <cellStyle name="40% - Accent2 3 4 2 4 3" xfId="47374"/>
    <cellStyle name="40% - Accent2 3 4 2 5" xfId="26099"/>
    <cellStyle name="40% - Accent2 3 4 2 5 2" xfId="48344"/>
    <cellStyle name="40% - Accent2 3 4 2 6" xfId="23908"/>
    <cellStyle name="40% - Accent2 3 4 2 6 2" xfId="46154"/>
    <cellStyle name="40% - Accent2 3 4 2 7" xfId="30372"/>
    <cellStyle name="40% - Accent2 3 4 3" xfId="8529"/>
    <cellStyle name="40% - Accent2 3 4 3 2" xfId="15241"/>
    <cellStyle name="40% - Accent2 3 4 3 2 2" xfId="26934"/>
    <cellStyle name="40% - Accent2 3 4 3 2 2 2" xfId="49179"/>
    <cellStyle name="40% - Accent2 3 4 3 2 3" xfId="24721"/>
    <cellStyle name="40% - Accent2 3 4 3 2 3 2" xfId="46966"/>
    <cellStyle name="40% - Accent2 3 4 3 2 4" xfId="38662"/>
    <cellStyle name="40% - Accent2 3 4 3 3" xfId="25297"/>
    <cellStyle name="40% - Accent2 3 4 3 3 2" xfId="27602"/>
    <cellStyle name="40% - Accent2 3 4 3 3 2 2" xfId="49847"/>
    <cellStyle name="40% - Accent2 3 4 3 3 3" xfId="47542"/>
    <cellStyle name="40% - Accent2 3 4 3 4" xfId="26262"/>
    <cellStyle name="40% - Accent2 3 4 3 4 2" xfId="48507"/>
    <cellStyle name="40% - Accent2 3 4 3 5" xfId="24058"/>
    <cellStyle name="40% - Accent2 3 4 3 5 2" xfId="46304"/>
    <cellStyle name="40% - Accent2 3 4 3 6" xfId="32030"/>
    <cellStyle name="40% - Accent2 3 4 4" xfId="11923"/>
    <cellStyle name="40% - Accent2 3 4 4 2" xfId="26602"/>
    <cellStyle name="40% - Accent2 3 4 4 2 2" xfId="48847"/>
    <cellStyle name="40% - Accent2 3 4 4 3" xfId="24389"/>
    <cellStyle name="40% - Accent2 3 4 4 3 2" xfId="46634"/>
    <cellStyle name="40% - Accent2 3 4 4 4" xfId="35346"/>
    <cellStyle name="40% - Accent2 3 4 5" xfId="23266"/>
    <cellStyle name="40% - Accent2 3 4 5 2" xfId="27266"/>
    <cellStyle name="40% - Accent2 3 4 5 2 2" xfId="49511"/>
    <cellStyle name="40% - Accent2 3 4 5 3" xfId="45658"/>
    <cellStyle name="40% - Accent2 3 4 6" xfId="25718"/>
    <cellStyle name="40% - Accent2 3 4 6 2" xfId="47963"/>
    <cellStyle name="40% - Accent2 3 4 7" xfId="28714"/>
    <cellStyle name="40% - Accent2 3 5" xfId="3149"/>
    <cellStyle name="40% - Accent2 3 5 2" xfId="23988"/>
    <cellStyle name="40% - Accent2 3 5 2 2" xfId="24304"/>
    <cellStyle name="40% - Accent2 3 5 2 2 2" xfId="24969"/>
    <cellStyle name="40% - Accent2 3 5 2 2 2 2" xfId="27182"/>
    <cellStyle name="40% - Accent2 3 5 2 2 2 2 2" xfId="49427"/>
    <cellStyle name="40% - Accent2 3 5 2 2 2 3" xfId="47214"/>
    <cellStyle name="40% - Accent2 3 5 2 2 3" xfId="25549"/>
    <cellStyle name="40% - Accent2 3 5 2 2 3 2" xfId="27854"/>
    <cellStyle name="40% - Accent2 3 5 2 2 3 2 2" xfId="50099"/>
    <cellStyle name="40% - Accent2 3 5 2 2 3 3" xfId="47794"/>
    <cellStyle name="40% - Accent2 3 5 2 2 4" xfId="26508"/>
    <cellStyle name="40% - Accent2 3 5 2 2 4 2" xfId="48753"/>
    <cellStyle name="40% - Accent2 3 5 2 2 5" xfId="46550"/>
    <cellStyle name="40% - Accent2 3 5 2 3" xfId="24637"/>
    <cellStyle name="40% - Accent2 3 5 2 3 2" xfId="26850"/>
    <cellStyle name="40% - Accent2 3 5 2 3 2 2" xfId="49095"/>
    <cellStyle name="40% - Accent2 3 5 2 3 3" xfId="46882"/>
    <cellStyle name="40% - Accent2 3 5 2 4" xfId="25213"/>
    <cellStyle name="40% - Accent2 3 5 2 4 2" xfId="27518"/>
    <cellStyle name="40% - Accent2 3 5 2 4 2 2" xfId="49763"/>
    <cellStyle name="40% - Accent2 3 5 2 4 3" xfId="47458"/>
    <cellStyle name="40% - Accent2 3 5 2 5" xfId="26179"/>
    <cellStyle name="40% - Accent2 3 5 2 5 2" xfId="48424"/>
    <cellStyle name="40% - Accent2 3 5 2 6" xfId="46234"/>
    <cellStyle name="40% - Accent2 3 5 3" xfId="24139"/>
    <cellStyle name="40% - Accent2 3 5 3 2" xfId="24803"/>
    <cellStyle name="40% - Accent2 3 5 3 2 2" xfId="27016"/>
    <cellStyle name="40% - Accent2 3 5 3 2 2 2" xfId="49261"/>
    <cellStyle name="40% - Accent2 3 5 3 2 3" xfId="47048"/>
    <cellStyle name="40% - Accent2 3 5 3 3" xfId="25381"/>
    <cellStyle name="40% - Accent2 3 5 3 3 2" xfId="27686"/>
    <cellStyle name="40% - Accent2 3 5 3 3 2 2" xfId="49931"/>
    <cellStyle name="40% - Accent2 3 5 3 3 3" xfId="47626"/>
    <cellStyle name="40% - Accent2 3 5 3 4" xfId="26343"/>
    <cellStyle name="40% - Accent2 3 5 3 4 2" xfId="48588"/>
    <cellStyle name="40% - Accent2 3 5 3 5" xfId="46385"/>
    <cellStyle name="40% - Accent2 3 5 4" xfId="24471"/>
    <cellStyle name="40% - Accent2 3 5 4 2" xfId="26684"/>
    <cellStyle name="40% - Accent2 3 5 4 2 2" xfId="48929"/>
    <cellStyle name="40% - Accent2 3 5 4 3" xfId="46716"/>
    <cellStyle name="40% - Accent2 3 5 5" xfId="25051"/>
    <cellStyle name="40% - Accent2 3 5 5 2" xfId="27350"/>
    <cellStyle name="40% - Accent2 3 5 5 2 2" xfId="49595"/>
    <cellStyle name="40% - Accent2 3 5 5 3" xfId="47296"/>
    <cellStyle name="40% - Accent2 3 5 6" xfId="23841"/>
    <cellStyle name="40% - Accent2 3 5 6 2" xfId="26032"/>
    <cellStyle name="40% - Accent2 3 5 6 2 2" xfId="48277"/>
    <cellStyle name="40% - Accent2 3 5 6 3" xfId="46087"/>
    <cellStyle name="40% - Accent2 3 6" xfId="3143"/>
    <cellStyle name="40% - Accent2 3 6 2" xfId="6858"/>
    <cellStyle name="40% - Accent2 3 6 2 2" xfId="10190"/>
    <cellStyle name="40% - Accent2 3 6 2 2 2" xfId="16894"/>
    <cellStyle name="40% - Accent2 3 6 2 2 2 2" xfId="27058"/>
    <cellStyle name="40% - Accent2 3 6 2 2 2 2 2" xfId="49303"/>
    <cellStyle name="40% - Accent2 3 6 2 2 2 3" xfId="40315"/>
    <cellStyle name="40% - Accent2 3 6 2 2 3" xfId="24845"/>
    <cellStyle name="40% - Accent2 3 6 2 2 3 2" xfId="47090"/>
    <cellStyle name="40% - Accent2 3 6 2 2 4" xfId="33683"/>
    <cellStyle name="40% - Accent2 3 6 2 3" xfId="13578"/>
    <cellStyle name="40% - Accent2 3 6 2 3 2" xfId="27728"/>
    <cellStyle name="40% - Accent2 3 6 2 3 2 2" xfId="49973"/>
    <cellStyle name="40% - Accent2 3 6 2 3 3" xfId="25423"/>
    <cellStyle name="40% - Accent2 3 6 2 3 3 2" xfId="47668"/>
    <cellStyle name="40% - Accent2 3 6 2 3 4" xfId="36999"/>
    <cellStyle name="40% - Accent2 3 6 2 4" xfId="26385"/>
    <cellStyle name="40% - Accent2 3 6 2 4 2" xfId="48630"/>
    <cellStyle name="40% - Accent2 3 6 2 5" xfId="24181"/>
    <cellStyle name="40% - Accent2 3 6 2 5 2" xfId="46427"/>
    <cellStyle name="40% - Accent2 3 6 2 6" xfId="30367"/>
    <cellStyle name="40% - Accent2 3 6 3" xfId="8524"/>
    <cellStyle name="40% - Accent2 3 6 3 2" xfId="15236"/>
    <cellStyle name="40% - Accent2 3 6 3 2 2" xfId="26726"/>
    <cellStyle name="40% - Accent2 3 6 3 2 2 2" xfId="48971"/>
    <cellStyle name="40% - Accent2 3 6 3 2 3" xfId="38657"/>
    <cellStyle name="40% - Accent2 3 6 3 3" xfId="24513"/>
    <cellStyle name="40% - Accent2 3 6 3 3 2" xfId="46758"/>
    <cellStyle name="40% - Accent2 3 6 3 4" xfId="32025"/>
    <cellStyle name="40% - Accent2 3 6 4" xfId="11918"/>
    <cellStyle name="40% - Accent2 3 6 4 2" xfId="27392"/>
    <cellStyle name="40% - Accent2 3 6 4 2 2" xfId="49637"/>
    <cellStyle name="40% - Accent2 3 6 4 3" xfId="25087"/>
    <cellStyle name="40% - Accent2 3 6 4 3 2" xfId="47332"/>
    <cellStyle name="40% - Accent2 3 6 4 4" xfId="35341"/>
    <cellStyle name="40% - Accent2 3 6 5" xfId="26063"/>
    <cellStyle name="40% - Accent2 3 6 5 2" xfId="48308"/>
    <cellStyle name="40% - Accent2 3 6 6" xfId="23872"/>
    <cellStyle name="40% - Accent2 3 6 6 2" xfId="46118"/>
    <cellStyle name="40% - Accent2 3 6 7" xfId="28709"/>
    <cellStyle name="40% - Accent2 3 7" xfId="23387"/>
    <cellStyle name="40% - Accent2 3 7 2" xfId="24679"/>
    <cellStyle name="40% - Accent2 3 7 2 2" xfId="26892"/>
    <cellStyle name="40% - Accent2 3 7 2 2 2" xfId="49137"/>
    <cellStyle name="40% - Accent2 3 7 2 3" xfId="46924"/>
    <cellStyle name="40% - Accent2 3 7 3" xfId="25255"/>
    <cellStyle name="40% - Accent2 3 7 3 2" xfId="27560"/>
    <cellStyle name="40% - Accent2 3 7 3 2 2" xfId="49805"/>
    <cellStyle name="40% - Accent2 3 7 3 3" xfId="47500"/>
    <cellStyle name="40% - Accent2 3 7 4" xfId="26220"/>
    <cellStyle name="40% - Accent2 3 7 4 2" xfId="48465"/>
    <cellStyle name="40% - Accent2 3 7 5" xfId="45732"/>
    <cellStyle name="40% - Accent2 3 8" xfId="24357"/>
    <cellStyle name="40% - Accent2 3 8 2" xfId="26560"/>
    <cellStyle name="40% - Accent2 3 8 2 2" xfId="48805"/>
    <cellStyle name="40% - Accent2 3 8 3" xfId="46602"/>
    <cellStyle name="40% - Accent2 3 9" xfId="25011"/>
    <cellStyle name="40% - Accent2 3 9 2" xfId="27224"/>
    <cellStyle name="40% - Accent2 3 9 2 2" xfId="49469"/>
    <cellStyle name="40% - Accent2 3 9 3" xfId="47256"/>
    <cellStyle name="40% - Accent2 4" xfId="3142"/>
    <cellStyle name="40% - Accent2 4 2" xfId="25662"/>
    <cellStyle name="40% - Accent2 4 2 2" xfId="47907"/>
    <cellStyle name="40% - Accent2 5" xfId="7720"/>
    <cellStyle name="40% - Accent2 5 2" xfId="11049"/>
    <cellStyle name="40% - Accent2 5 2 2" xfId="17753"/>
    <cellStyle name="40% - Accent2 5 2 2 2" xfId="41174"/>
    <cellStyle name="40% - Accent2 5 2 3" xfId="34542"/>
    <cellStyle name="40% - Accent2 5 3" xfId="14437"/>
    <cellStyle name="40% - Accent2 5 3 2" xfId="37858"/>
    <cellStyle name="40% - Accent2 5 4" xfId="31226"/>
    <cellStyle name="40% - Accent2 6" xfId="9391"/>
    <cellStyle name="40% - Accent2 6 2" xfId="16095"/>
    <cellStyle name="40% - Accent2 6 2 2" xfId="39516"/>
    <cellStyle name="40% - Accent2 6 3" xfId="32884"/>
    <cellStyle name="40% - Accent2 7" xfId="12779"/>
    <cellStyle name="40% - Accent2 7 2" xfId="36200"/>
    <cellStyle name="40% - Accent2 8" xfId="23796"/>
    <cellStyle name="40% - Accent2 8 2" xfId="46061"/>
    <cellStyle name="40% - Accent2 9" xfId="29568"/>
    <cellStyle name="40% - Accent3" xfId="6049" builtinId="39" customBuiltin="1"/>
    <cellStyle name="40% - Accent3 2" xfId="203"/>
    <cellStyle name="40% - Accent3 2 2" xfId="204"/>
    <cellStyle name="40% - Accent3 3" xfId="1036"/>
    <cellStyle name="40% - Accent3 3 10" xfId="23594"/>
    <cellStyle name="40% - Accent3 3 2" xfId="3152"/>
    <cellStyle name="40% - Accent3 3 2 10" xfId="28716"/>
    <cellStyle name="40% - Accent3 3 2 2" xfId="3153"/>
    <cellStyle name="40% - Accent3 3 2 2 2" xfId="6866"/>
    <cellStyle name="40% - Accent3 3 2 2 2 2" xfId="10198"/>
    <cellStyle name="40% - Accent3 3 2 2 2 2 2" xfId="16902"/>
    <cellStyle name="40% - Accent3 3 2 2 2 2 2 2" xfId="27163"/>
    <cellStyle name="40% - Accent3 3 2 2 2 2 2 2 2" xfId="49408"/>
    <cellStyle name="40% - Accent3 3 2 2 2 2 2 3" xfId="24950"/>
    <cellStyle name="40% - Accent3 3 2 2 2 2 2 3 2" xfId="47195"/>
    <cellStyle name="40% - Accent3 3 2 2 2 2 2 4" xfId="40323"/>
    <cellStyle name="40% - Accent3 3 2 2 2 2 3" xfId="25529"/>
    <cellStyle name="40% - Accent3 3 2 2 2 2 3 2" xfId="27834"/>
    <cellStyle name="40% - Accent3 3 2 2 2 2 3 2 2" xfId="50079"/>
    <cellStyle name="40% - Accent3 3 2 2 2 2 3 3" xfId="47774"/>
    <cellStyle name="40% - Accent3 3 2 2 2 2 4" xfId="26489"/>
    <cellStyle name="40% - Accent3 3 2 2 2 2 4 2" xfId="48734"/>
    <cellStyle name="40% - Accent3 3 2 2 2 2 5" xfId="24285"/>
    <cellStyle name="40% - Accent3 3 2 2 2 2 5 2" xfId="46531"/>
    <cellStyle name="40% - Accent3 3 2 2 2 2 6" xfId="33691"/>
    <cellStyle name="40% - Accent3 3 2 2 2 3" xfId="13586"/>
    <cellStyle name="40% - Accent3 3 2 2 2 3 2" xfId="26831"/>
    <cellStyle name="40% - Accent3 3 2 2 2 3 2 2" xfId="49076"/>
    <cellStyle name="40% - Accent3 3 2 2 2 3 3" xfId="24618"/>
    <cellStyle name="40% - Accent3 3 2 2 2 3 3 2" xfId="46863"/>
    <cellStyle name="40% - Accent3 3 2 2 2 3 4" xfId="37007"/>
    <cellStyle name="40% - Accent3 3 2 2 2 4" xfId="25193"/>
    <cellStyle name="40% - Accent3 3 2 2 2 4 2" xfId="27498"/>
    <cellStyle name="40% - Accent3 3 2 2 2 4 2 2" xfId="49743"/>
    <cellStyle name="40% - Accent3 3 2 2 2 4 3" xfId="47438"/>
    <cellStyle name="40% - Accent3 3 2 2 2 5" xfId="26160"/>
    <cellStyle name="40% - Accent3 3 2 2 2 5 2" xfId="48405"/>
    <cellStyle name="40% - Accent3 3 2 2 2 6" xfId="23969"/>
    <cellStyle name="40% - Accent3 3 2 2 2 6 2" xfId="46215"/>
    <cellStyle name="40% - Accent3 3 2 2 2 7" xfId="30375"/>
    <cellStyle name="40% - Accent3 3 2 2 3" xfId="8532"/>
    <cellStyle name="40% - Accent3 3 2 2 3 2" xfId="15244"/>
    <cellStyle name="40% - Accent3 3 2 2 3 2 2" xfId="26997"/>
    <cellStyle name="40% - Accent3 3 2 2 3 2 2 2" xfId="49242"/>
    <cellStyle name="40% - Accent3 3 2 2 3 2 3" xfId="24784"/>
    <cellStyle name="40% - Accent3 3 2 2 3 2 3 2" xfId="47029"/>
    <cellStyle name="40% - Accent3 3 2 2 3 2 4" xfId="38665"/>
    <cellStyle name="40% - Accent3 3 2 2 3 3" xfId="25361"/>
    <cellStyle name="40% - Accent3 3 2 2 3 3 2" xfId="27666"/>
    <cellStyle name="40% - Accent3 3 2 2 3 3 2 2" xfId="49911"/>
    <cellStyle name="40% - Accent3 3 2 2 3 3 3" xfId="47606"/>
    <cellStyle name="40% - Accent3 3 2 2 3 4" xfId="26324"/>
    <cellStyle name="40% - Accent3 3 2 2 3 4 2" xfId="48569"/>
    <cellStyle name="40% - Accent3 3 2 2 3 5" xfId="24120"/>
    <cellStyle name="40% - Accent3 3 2 2 3 5 2" xfId="46366"/>
    <cellStyle name="40% - Accent3 3 2 2 3 6" xfId="32033"/>
    <cellStyle name="40% - Accent3 3 2 2 4" xfId="11926"/>
    <cellStyle name="40% - Accent3 3 2 2 4 2" xfId="26665"/>
    <cellStyle name="40% - Accent3 3 2 2 4 2 2" xfId="48910"/>
    <cellStyle name="40% - Accent3 3 2 2 4 3" xfId="24452"/>
    <cellStyle name="40% - Accent3 3 2 2 4 3 2" xfId="46697"/>
    <cellStyle name="40% - Accent3 3 2 2 4 4" xfId="35349"/>
    <cellStyle name="40% - Accent3 3 2 2 5" xfId="23262"/>
    <cellStyle name="40% - Accent3 3 2 2 5 2" xfId="27330"/>
    <cellStyle name="40% - Accent3 3 2 2 5 2 2" xfId="49575"/>
    <cellStyle name="40% - Accent3 3 2 2 5 3" xfId="45654"/>
    <cellStyle name="40% - Accent3 3 2 2 6" xfId="25721"/>
    <cellStyle name="40% - Accent3 3 2 2 6 2" xfId="47966"/>
    <cellStyle name="40% - Accent3 3 2 2 7" xfId="28717"/>
    <cellStyle name="40% - Accent3 3 2 3" xfId="3154"/>
    <cellStyle name="40% - Accent3 3 2 3 2" xfId="6867"/>
    <cellStyle name="40% - Accent3 3 2 3 2 2" xfId="10199"/>
    <cellStyle name="40% - Accent3 3 2 3 2 2 2" xfId="16903"/>
    <cellStyle name="40% - Accent3 3 2 3 2 2 2 2" xfId="27122"/>
    <cellStyle name="40% - Accent3 3 2 3 2 2 2 2 2" xfId="49367"/>
    <cellStyle name="40% - Accent3 3 2 3 2 2 2 3" xfId="24909"/>
    <cellStyle name="40% - Accent3 3 2 3 2 2 2 3 2" xfId="47154"/>
    <cellStyle name="40% - Accent3 3 2 3 2 2 2 4" xfId="40324"/>
    <cellStyle name="40% - Accent3 3 2 3 2 2 3" xfId="25487"/>
    <cellStyle name="40% - Accent3 3 2 3 2 2 3 2" xfId="27792"/>
    <cellStyle name="40% - Accent3 3 2 3 2 2 3 2 2" xfId="50037"/>
    <cellStyle name="40% - Accent3 3 2 3 2 2 3 3" xfId="47732"/>
    <cellStyle name="40% - Accent3 3 2 3 2 2 4" xfId="26449"/>
    <cellStyle name="40% - Accent3 3 2 3 2 2 4 2" xfId="48694"/>
    <cellStyle name="40% - Accent3 3 2 3 2 2 5" xfId="24245"/>
    <cellStyle name="40% - Accent3 3 2 3 2 2 5 2" xfId="46491"/>
    <cellStyle name="40% - Accent3 3 2 3 2 2 6" xfId="33692"/>
    <cellStyle name="40% - Accent3 3 2 3 2 3" xfId="13587"/>
    <cellStyle name="40% - Accent3 3 2 3 2 3 2" xfId="26790"/>
    <cellStyle name="40% - Accent3 3 2 3 2 3 2 2" xfId="49035"/>
    <cellStyle name="40% - Accent3 3 2 3 2 3 3" xfId="24577"/>
    <cellStyle name="40% - Accent3 3 2 3 2 3 3 2" xfId="46822"/>
    <cellStyle name="40% - Accent3 3 2 3 2 3 4" xfId="37008"/>
    <cellStyle name="40% - Accent3 3 2 3 2 4" xfId="25151"/>
    <cellStyle name="40% - Accent3 3 2 3 2 4 2" xfId="27456"/>
    <cellStyle name="40% - Accent3 3 2 3 2 4 2 2" xfId="49701"/>
    <cellStyle name="40% - Accent3 3 2 3 2 4 3" xfId="47396"/>
    <cellStyle name="40% - Accent3 3 2 3 2 5" xfId="26120"/>
    <cellStyle name="40% - Accent3 3 2 3 2 5 2" xfId="48365"/>
    <cellStyle name="40% - Accent3 3 2 3 2 6" xfId="23929"/>
    <cellStyle name="40% - Accent3 3 2 3 2 6 2" xfId="46175"/>
    <cellStyle name="40% - Accent3 3 2 3 2 7" xfId="30376"/>
    <cellStyle name="40% - Accent3 3 2 3 3" xfId="8533"/>
    <cellStyle name="40% - Accent3 3 2 3 3 2" xfId="15245"/>
    <cellStyle name="40% - Accent3 3 2 3 3 2 2" xfId="26956"/>
    <cellStyle name="40% - Accent3 3 2 3 3 2 2 2" xfId="49201"/>
    <cellStyle name="40% - Accent3 3 2 3 3 2 3" xfId="24743"/>
    <cellStyle name="40% - Accent3 3 2 3 3 2 3 2" xfId="46988"/>
    <cellStyle name="40% - Accent3 3 2 3 3 2 4" xfId="38666"/>
    <cellStyle name="40% - Accent3 3 2 3 3 3" xfId="25319"/>
    <cellStyle name="40% - Accent3 3 2 3 3 3 2" xfId="27624"/>
    <cellStyle name="40% - Accent3 3 2 3 3 3 2 2" xfId="49869"/>
    <cellStyle name="40% - Accent3 3 2 3 3 3 3" xfId="47564"/>
    <cellStyle name="40% - Accent3 3 2 3 3 4" xfId="26284"/>
    <cellStyle name="40% - Accent3 3 2 3 3 4 2" xfId="48529"/>
    <cellStyle name="40% - Accent3 3 2 3 3 5" xfId="24080"/>
    <cellStyle name="40% - Accent3 3 2 3 3 5 2" xfId="46326"/>
    <cellStyle name="40% - Accent3 3 2 3 3 6" xfId="32034"/>
    <cellStyle name="40% - Accent3 3 2 3 4" xfId="11927"/>
    <cellStyle name="40% - Accent3 3 2 3 4 2" xfId="26624"/>
    <cellStyle name="40% - Accent3 3 2 3 4 2 2" xfId="48869"/>
    <cellStyle name="40% - Accent3 3 2 3 4 3" xfId="24411"/>
    <cellStyle name="40% - Accent3 3 2 3 4 3 2" xfId="46656"/>
    <cellStyle name="40% - Accent3 3 2 3 4 4" xfId="35350"/>
    <cellStyle name="40% - Accent3 3 2 3 5" xfId="23381"/>
    <cellStyle name="40% - Accent3 3 2 3 5 2" xfId="27288"/>
    <cellStyle name="40% - Accent3 3 2 3 5 2 2" xfId="49533"/>
    <cellStyle name="40% - Accent3 3 2 3 5 3" xfId="45726"/>
    <cellStyle name="40% - Accent3 3 2 3 6" xfId="25722"/>
    <cellStyle name="40% - Accent3 3 2 3 6 2" xfId="47967"/>
    <cellStyle name="40% - Accent3 3 2 3 7" xfId="28718"/>
    <cellStyle name="40% - Accent3 3 2 4" xfId="6865"/>
    <cellStyle name="40% - Accent3 3 2 4 2" xfId="10197"/>
    <cellStyle name="40% - Accent3 3 2 4 2 2" xfId="16901"/>
    <cellStyle name="40% - Accent3 3 2 4 2 2 2" xfId="24991"/>
    <cellStyle name="40% - Accent3 3 2 4 2 2 2 2" xfId="27204"/>
    <cellStyle name="40% - Accent3 3 2 4 2 2 2 2 2" xfId="49449"/>
    <cellStyle name="40% - Accent3 3 2 4 2 2 2 3" xfId="47236"/>
    <cellStyle name="40% - Accent3 3 2 4 2 2 3" xfId="25571"/>
    <cellStyle name="40% - Accent3 3 2 4 2 2 3 2" xfId="27876"/>
    <cellStyle name="40% - Accent3 3 2 4 2 2 3 2 2" xfId="50121"/>
    <cellStyle name="40% - Accent3 3 2 4 2 2 3 3" xfId="47816"/>
    <cellStyle name="40% - Accent3 3 2 4 2 2 4" xfId="26530"/>
    <cellStyle name="40% - Accent3 3 2 4 2 2 4 2" xfId="48775"/>
    <cellStyle name="40% - Accent3 3 2 4 2 2 5" xfId="24326"/>
    <cellStyle name="40% - Accent3 3 2 4 2 2 5 2" xfId="46572"/>
    <cellStyle name="40% - Accent3 3 2 4 2 2 6" xfId="40322"/>
    <cellStyle name="40% - Accent3 3 2 4 2 3" xfId="24659"/>
    <cellStyle name="40% - Accent3 3 2 4 2 3 2" xfId="26872"/>
    <cellStyle name="40% - Accent3 3 2 4 2 3 2 2" xfId="49117"/>
    <cellStyle name="40% - Accent3 3 2 4 2 3 3" xfId="46904"/>
    <cellStyle name="40% - Accent3 3 2 4 2 4" xfId="25235"/>
    <cellStyle name="40% - Accent3 3 2 4 2 4 2" xfId="27540"/>
    <cellStyle name="40% - Accent3 3 2 4 2 4 2 2" xfId="49785"/>
    <cellStyle name="40% - Accent3 3 2 4 2 4 3" xfId="47480"/>
    <cellStyle name="40% - Accent3 3 2 4 2 5" xfId="26201"/>
    <cellStyle name="40% - Accent3 3 2 4 2 5 2" xfId="48446"/>
    <cellStyle name="40% - Accent3 3 2 4 2 6" xfId="24010"/>
    <cellStyle name="40% - Accent3 3 2 4 2 6 2" xfId="46256"/>
    <cellStyle name="40% - Accent3 3 2 4 2 7" xfId="33690"/>
    <cellStyle name="40% - Accent3 3 2 4 3" xfId="13585"/>
    <cellStyle name="40% - Accent3 3 2 4 3 2" xfId="24825"/>
    <cellStyle name="40% - Accent3 3 2 4 3 2 2" xfId="27038"/>
    <cellStyle name="40% - Accent3 3 2 4 3 2 2 2" xfId="49283"/>
    <cellStyle name="40% - Accent3 3 2 4 3 2 3" xfId="47070"/>
    <cellStyle name="40% - Accent3 3 2 4 3 3" xfId="25403"/>
    <cellStyle name="40% - Accent3 3 2 4 3 3 2" xfId="27708"/>
    <cellStyle name="40% - Accent3 3 2 4 3 3 2 2" xfId="49953"/>
    <cellStyle name="40% - Accent3 3 2 4 3 3 3" xfId="47648"/>
    <cellStyle name="40% - Accent3 3 2 4 3 4" xfId="26365"/>
    <cellStyle name="40% - Accent3 3 2 4 3 4 2" xfId="48610"/>
    <cellStyle name="40% - Accent3 3 2 4 3 5" xfId="24161"/>
    <cellStyle name="40% - Accent3 3 2 4 3 5 2" xfId="46407"/>
    <cellStyle name="40% - Accent3 3 2 4 3 6" xfId="37006"/>
    <cellStyle name="40% - Accent3 3 2 4 4" xfId="24493"/>
    <cellStyle name="40% - Accent3 3 2 4 4 2" xfId="26706"/>
    <cellStyle name="40% - Accent3 3 2 4 4 2 2" xfId="48951"/>
    <cellStyle name="40% - Accent3 3 2 4 4 3" xfId="46738"/>
    <cellStyle name="40% - Accent3 3 2 4 5" xfId="25067"/>
    <cellStyle name="40% - Accent3 3 2 4 5 2" xfId="27372"/>
    <cellStyle name="40% - Accent3 3 2 4 5 2 2" xfId="49617"/>
    <cellStyle name="40% - Accent3 3 2 4 5 3" xfId="47312"/>
    <cellStyle name="40% - Accent3 3 2 4 6" xfId="26048"/>
    <cellStyle name="40% - Accent3 3 2 4 6 2" xfId="48293"/>
    <cellStyle name="40% - Accent3 3 2 4 7" xfId="23857"/>
    <cellStyle name="40% - Accent3 3 2 4 7 2" xfId="46103"/>
    <cellStyle name="40% - Accent3 3 2 4 8" xfId="30374"/>
    <cellStyle name="40% - Accent3 3 2 5" xfId="8531"/>
    <cellStyle name="40% - Accent3 3 2 5 2" xfId="15243"/>
    <cellStyle name="40% - Accent3 3 2 5 2 2" xfId="24867"/>
    <cellStyle name="40% - Accent3 3 2 5 2 2 2" xfId="27080"/>
    <cellStyle name="40% - Accent3 3 2 5 2 2 2 2" xfId="49325"/>
    <cellStyle name="40% - Accent3 3 2 5 2 2 3" xfId="47112"/>
    <cellStyle name="40% - Accent3 3 2 5 2 3" xfId="25445"/>
    <cellStyle name="40% - Accent3 3 2 5 2 3 2" xfId="27750"/>
    <cellStyle name="40% - Accent3 3 2 5 2 3 2 2" xfId="49995"/>
    <cellStyle name="40% - Accent3 3 2 5 2 3 3" xfId="47690"/>
    <cellStyle name="40% - Accent3 3 2 5 2 4" xfId="26407"/>
    <cellStyle name="40% - Accent3 3 2 5 2 4 2" xfId="48652"/>
    <cellStyle name="40% - Accent3 3 2 5 2 5" xfId="24203"/>
    <cellStyle name="40% - Accent3 3 2 5 2 5 2" xfId="46449"/>
    <cellStyle name="40% - Accent3 3 2 5 2 6" xfId="38664"/>
    <cellStyle name="40% - Accent3 3 2 5 3" xfId="24535"/>
    <cellStyle name="40% - Accent3 3 2 5 3 2" xfId="26748"/>
    <cellStyle name="40% - Accent3 3 2 5 3 2 2" xfId="48993"/>
    <cellStyle name="40% - Accent3 3 2 5 3 3" xfId="46780"/>
    <cellStyle name="40% - Accent3 3 2 5 4" xfId="25109"/>
    <cellStyle name="40% - Accent3 3 2 5 4 2" xfId="27414"/>
    <cellStyle name="40% - Accent3 3 2 5 4 2 2" xfId="49659"/>
    <cellStyle name="40% - Accent3 3 2 5 4 3" xfId="47354"/>
    <cellStyle name="40% - Accent3 3 2 5 5" xfId="26080"/>
    <cellStyle name="40% - Accent3 3 2 5 5 2" xfId="48325"/>
    <cellStyle name="40% - Accent3 3 2 5 6" xfId="23889"/>
    <cellStyle name="40% - Accent3 3 2 5 6 2" xfId="46135"/>
    <cellStyle name="40% - Accent3 3 2 5 7" xfId="32032"/>
    <cellStyle name="40% - Accent3 3 2 6" xfId="11925"/>
    <cellStyle name="40% - Accent3 3 2 6 2" xfId="24701"/>
    <cellStyle name="40% - Accent3 3 2 6 2 2" xfId="26914"/>
    <cellStyle name="40% - Accent3 3 2 6 2 2 2" xfId="49159"/>
    <cellStyle name="40% - Accent3 3 2 6 2 3" xfId="46946"/>
    <cellStyle name="40% - Accent3 3 2 6 3" xfId="25277"/>
    <cellStyle name="40% - Accent3 3 2 6 3 2" xfId="27582"/>
    <cellStyle name="40% - Accent3 3 2 6 3 2 2" xfId="49827"/>
    <cellStyle name="40% - Accent3 3 2 6 3 3" xfId="47522"/>
    <cellStyle name="40% - Accent3 3 2 6 4" xfId="26242"/>
    <cellStyle name="40% - Accent3 3 2 6 4 2" xfId="48487"/>
    <cellStyle name="40% - Accent3 3 2 6 5" xfId="24038"/>
    <cellStyle name="40% - Accent3 3 2 6 5 2" xfId="46284"/>
    <cellStyle name="40% - Accent3 3 2 6 6" xfId="35348"/>
    <cellStyle name="40% - Accent3 3 2 7" xfId="23382"/>
    <cellStyle name="40% - Accent3 3 2 7 2" xfId="26582"/>
    <cellStyle name="40% - Accent3 3 2 7 2 2" xfId="48827"/>
    <cellStyle name="40% - Accent3 3 2 7 3" xfId="45727"/>
    <cellStyle name="40% - Accent3 3 2 8" xfId="25033"/>
    <cellStyle name="40% - Accent3 3 2 8 2" xfId="27246"/>
    <cellStyle name="40% - Accent3 3 2 8 2 2" xfId="49491"/>
    <cellStyle name="40% - Accent3 3 2 8 3" xfId="47278"/>
    <cellStyle name="40% - Accent3 3 2 9" xfId="25720"/>
    <cellStyle name="40% - Accent3 3 2 9 2" xfId="47965"/>
    <cellStyle name="40% - Accent3 3 3" xfId="3155"/>
    <cellStyle name="40% - Accent3 3 3 2" xfId="6868"/>
    <cellStyle name="40% - Accent3 3 3 2 2" xfId="10200"/>
    <cellStyle name="40% - Accent3 3 3 2 2 2" xfId="16904"/>
    <cellStyle name="40% - Accent3 3 3 2 2 2 2" xfId="27143"/>
    <cellStyle name="40% - Accent3 3 3 2 2 2 2 2" xfId="49388"/>
    <cellStyle name="40% - Accent3 3 3 2 2 2 3" xfId="24930"/>
    <cellStyle name="40% - Accent3 3 3 2 2 2 3 2" xfId="47175"/>
    <cellStyle name="40% - Accent3 3 3 2 2 2 4" xfId="40325"/>
    <cellStyle name="40% - Accent3 3 3 2 2 3" xfId="25508"/>
    <cellStyle name="40% - Accent3 3 3 2 2 3 2" xfId="27813"/>
    <cellStyle name="40% - Accent3 3 3 2 2 3 2 2" xfId="50058"/>
    <cellStyle name="40% - Accent3 3 3 2 2 3 3" xfId="47753"/>
    <cellStyle name="40% - Accent3 3 3 2 2 4" xfId="26469"/>
    <cellStyle name="40% - Accent3 3 3 2 2 4 2" xfId="48714"/>
    <cellStyle name="40% - Accent3 3 3 2 2 5" xfId="24265"/>
    <cellStyle name="40% - Accent3 3 3 2 2 5 2" xfId="46511"/>
    <cellStyle name="40% - Accent3 3 3 2 2 6" xfId="33693"/>
    <cellStyle name="40% - Accent3 3 3 2 3" xfId="13588"/>
    <cellStyle name="40% - Accent3 3 3 2 3 2" xfId="26811"/>
    <cellStyle name="40% - Accent3 3 3 2 3 2 2" xfId="49056"/>
    <cellStyle name="40% - Accent3 3 3 2 3 3" xfId="24598"/>
    <cellStyle name="40% - Accent3 3 3 2 3 3 2" xfId="46843"/>
    <cellStyle name="40% - Accent3 3 3 2 3 4" xfId="37009"/>
    <cellStyle name="40% - Accent3 3 3 2 4" xfId="25172"/>
    <cellStyle name="40% - Accent3 3 3 2 4 2" xfId="27477"/>
    <cellStyle name="40% - Accent3 3 3 2 4 2 2" xfId="49722"/>
    <cellStyle name="40% - Accent3 3 3 2 4 3" xfId="47417"/>
    <cellStyle name="40% - Accent3 3 3 2 5" xfId="26140"/>
    <cellStyle name="40% - Accent3 3 3 2 5 2" xfId="48385"/>
    <cellStyle name="40% - Accent3 3 3 2 6" xfId="23949"/>
    <cellStyle name="40% - Accent3 3 3 2 6 2" xfId="46195"/>
    <cellStyle name="40% - Accent3 3 3 2 7" xfId="30377"/>
    <cellStyle name="40% - Accent3 3 3 3" xfId="8534"/>
    <cellStyle name="40% - Accent3 3 3 3 2" xfId="15246"/>
    <cellStyle name="40% - Accent3 3 3 3 2 2" xfId="26977"/>
    <cellStyle name="40% - Accent3 3 3 3 2 2 2" xfId="49222"/>
    <cellStyle name="40% - Accent3 3 3 3 2 3" xfId="24764"/>
    <cellStyle name="40% - Accent3 3 3 3 2 3 2" xfId="47009"/>
    <cellStyle name="40% - Accent3 3 3 3 2 4" xfId="38667"/>
    <cellStyle name="40% - Accent3 3 3 3 3" xfId="25340"/>
    <cellStyle name="40% - Accent3 3 3 3 3 2" xfId="27645"/>
    <cellStyle name="40% - Accent3 3 3 3 3 2 2" xfId="49890"/>
    <cellStyle name="40% - Accent3 3 3 3 3 3" xfId="47585"/>
    <cellStyle name="40% - Accent3 3 3 3 4" xfId="26304"/>
    <cellStyle name="40% - Accent3 3 3 3 4 2" xfId="48549"/>
    <cellStyle name="40% - Accent3 3 3 3 5" xfId="24100"/>
    <cellStyle name="40% - Accent3 3 3 3 5 2" xfId="46346"/>
    <cellStyle name="40% - Accent3 3 3 3 6" xfId="32035"/>
    <cellStyle name="40% - Accent3 3 3 4" xfId="11928"/>
    <cellStyle name="40% - Accent3 3 3 4 2" xfId="26645"/>
    <cellStyle name="40% - Accent3 3 3 4 2 2" xfId="48890"/>
    <cellStyle name="40% - Accent3 3 3 4 3" xfId="24432"/>
    <cellStyle name="40% - Accent3 3 3 4 3 2" xfId="46677"/>
    <cellStyle name="40% - Accent3 3 3 4 4" xfId="35351"/>
    <cellStyle name="40% - Accent3 3 3 5" xfId="23261"/>
    <cellStyle name="40% - Accent3 3 3 5 2" xfId="27309"/>
    <cellStyle name="40% - Accent3 3 3 5 2 2" xfId="49554"/>
    <cellStyle name="40% - Accent3 3 3 5 3" xfId="45653"/>
    <cellStyle name="40% - Accent3 3 3 6" xfId="25723"/>
    <cellStyle name="40% - Accent3 3 3 6 2" xfId="47968"/>
    <cellStyle name="40% - Accent3 3 3 7" xfId="28719"/>
    <cellStyle name="40% - Accent3 3 4" xfId="3156"/>
    <cellStyle name="40% - Accent3 3 4 2" xfId="6869"/>
    <cellStyle name="40% - Accent3 3 4 2 2" xfId="10201"/>
    <cellStyle name="40% - Accent3 3 4 2 2 2" xfId="16905"/>
    <cellStyle name="40% - Accent3 3 4 2 2 2 2" xfId="27101"/>
    <cellStyle name="40% - Accent3 3 4 2 2 2 2 2" xfId="49346"/>
    <cellStyle name="40% - Accent3 3 4 2 2 2 3" xfId="24888"/>
    <cellStyle name="40% - Accent3 3 4 2 2 2 3 2" xfId="47133"/>
    <cellStyle name="40% - Accent3 3 4 2 2 2 4" xfId="40326"/>
    <cellStyle name="40% - Accent3 3 4 2 2 3" xfId="25466"/>
    <cellStyle name="40% - Accent3 3 4 2 2 3 2" xfId="27771"/>
    <cellStyle name="40% - Accent3 3 4 2 2 3 2 2" xfId="50016"/>
    <cellStyle name="40% - Accent3 3 4 2 2 3 3" xfId="47711"/>
    <cellStyle name="40% - Accent3 3 4 2 2 4" xfId="26428"/>
    <cellStyle name="40% - Accent3 3 4 2 2 4 2" xfId="48673"/>
    <cellStyle name="40% - Accent3 3 4 2 2 5" xfId="24224"/>
    <cellStyle name="40% - Accent3 3 4 2 2 5 2" xfId="46470"/>
    <cellStyle name="40% - Accent3 3 4 2 2 6" xfId="33694"/>
    <cellStyle name="40% - Accent3 3 4 2 3" xfId="13589"/>
    <cellStyle name="40% - Accent3 3 4 2 3 2" xfId="26769"/>
    <cellStyle name="40% - Accent3 3 4 2 3 2 2" xfId="49014"/>
    <cellStyle name="40% - Accent3 3 4 2 3 3" xfId="24556"/>
    <cellStyle name="40% - Accent3 3 4 2 3 3 2" xfId="46801"/>
    <cellStyle name="40% - Accent3 3 4 2 3 4" xfId="37010"/>
    <cellStyle name="40% - Accent3 3 4 2 4" xfId="25130"/>
    <cellStyle name="40% - Accent3 3 4 2 4 2" xfId="27435"/>
    <cellStyle name="40% - Accent3 3 4 2 4 2 2" xfId="49680"/>
    <cellStyle name="40% - Accent3 3 4 2 4 3" xfId="47375"/>
    <cellStyle name="40% - Accent3 3 4 2 5" xfId="26100"/>
    <cellStyle name="40% - Accent3 3 4 2 5 2" xfId="48345"/>
    <cellStyle name="40% - Accent3 3 4 2 6" xfId="23909"/>
    <cellStyle name="40% - Accent3 3 4 2 6 2" xfId="46155"/>
    <cellStyle name="40% - Accent3 3 4 2 7" xfId="30378"/>
    <cellStyle name="40% - Accent3 3 4 3" xfId="8535"/>
    <cellStyle name="40% - Accent3 3 4 3 2" xfId="15247"/>
    <cellStyle name="40% - Accent3 3 4 3 2 2" xfId="26935"/>
    <cellStyle name="40% - Accent3 3 4 3 2 2 2" xfId="49180"/>
    <cellStyle name="40% - Accent3 3 4 3 2 3" xfId="24722"/>
    <cellStyle name="40% - Accent3 3 4 3 2 3 2" xfId="46967"/>
    <cellStyle name="40% - Accent3 3 4 3 2 4" xfId="38668"/>
    <cellStyle name="40% - Accent3 3 4 3 3" xfId="25298"/>
    <cellStyle name="40% - Accent3 3 4 3 3 2" xfId="27603"/>
    <cellStyle name="40% - Accent3 3 4 3 3 2 2" xfId="49848"/>
    <cellStyle name="40% - Accent3 3 4 3 3 3" xfId="47543"/>
    <cellStyle name="40% - Accent3 3 4 3 4" xfId="26263"/>
    <cellStyle name="40% - Accent3 3 4 3 4 2" xfId="48508"/>
    <cellStyle name="40% - Accent3 3 4 3 5" xfId="24059"/>
    <cellStyle name="40% - Accent3 3 4 3 5 2" xfId="46305"/>
    <cellStyle name="40% - Accent3 3 4 3 6" xfId="32036"/>
    <cellStyle name="40% - Accent3 3 4 4" xfId="11929"/>
    <cellStyle name="40% - Accent3 3 4 4 2" xfId="26603"/>
    <cellStyle name="40% - Accent3 3 4 4 2 2" xfId="48848"/>
    <cellStyle name="40% - Accent3 3 4 4 3" xfId="24390"/>
    <cellStyle name="40% - Accent3 3 4 4 3 2" xfId="46635"/>
    <cellStyle name="40% - Accent3 3 4 4 4" xfId="35352"/>
    <cellStyle name="40% - Accent3 3 4 5" xfId="23380"/>
    <cellStyle name="40% - Accent3 3 4 5 2" xfId="27267"/>
    <cellStyle name="40% - Accent3 3 4 5 2 2" xfId="49512"/>
    <cellStyle name="40% - Accent3 3 4 5 3" xfId="45725"/>
    <cellStyle name="40% - Accent3 3 4 6" xfId="25724"/>
    <cellStyle name="40% - Accent3 3 4 6 2" xfId="47969"/>
    <cellStyle name="40% - Accent3 3 4 7" xfId="28720"/>
    <cellStyle name="40% - Accent3 3 5" xfId="3157"/>
    <cellStyle name="40% - Accent3 3 5 2" xfId="23989"/>
    <cellStyle name="40% - Accent3 3 5 2 2" xfId="24305"/>
    <cellStyle name="40% - Accent3 3 5 2 2 2" xfId="24970"/>
    <cellStyle name="40% - Accent3 3 5 2 2 2 2" xfId="27183"/>
    <cellStyle name="40% - Accent3 3 5 2 2 2 2 2" xfId="49428"/>
    <cellStyle name="40% - Accent3 3 5 2 2 2 3" xfId="47215"/>
    <cellStyle name="40% - Accent3 3 5 2 2 3" xfId="25550"/>
    <cellStyle name="40% - Accent3 3 5 2 2 3 2" xfId="27855"/>
    <cellStyle name="40% - Accent3 3 5 2 2 3 2 2" xfId="50100"/>
    <cellStyle name="40% - Accent3 3 5 2 2 3 3" xfId="47795"/>
    <cellStyle name="40% - Accent3 3 5 2 2 4" xfId="26509"/>
    <cellStyle name="40% - Accent3 3 5 2 2 4 2" xfId="48754"/>
    <cellStyle name="40% - Accent3 3 5 2 2 5" xfId="46551"/>
    <cellStyle name="40% - Accent3 3 5 2 3" xfId="24638"/>
    <cellStyle name="40% - Accent3 3 5 2 3 2" xfId="26851"/>
    <cellStyle name="40% - Accent3 3 5 2 3 2 2" xfId="49096"/>
    <cellStyle name="40% - Accent3 3 5 2 3 3" xfId="46883"/>
    <cellStyle name="40% - Accent3 3 5 2 4" xfId="25214"/>
    <cellStyle name="40% - Accent3 3 5 2 4 2" xfId="27519"/>
    <cellStyle name="40% - Accent3 3 5 2 4 2 2" xfId="49764"/>
    <cellStyle name="40% - Accent3 3 5 2 4 3" xfId="47459"/>
    <cellStyle name="40% - Accent3 3 5 2 5" xfId="26180"/>
    <cellStyle name="40% - Accent3 3 5 2 5 2" xfId="48425"/>
    <cellStyle name="40% - Accent3 3 5 2 6" xfId="46235"/>
    <cellStyle name="40% - Accent3 3 5 3" xfId="24140"/>
    <cellStyle name="40% - Accent3 3 5 3 2" xfId="24804"/>
    <cellStyle name="40% - Accent3 3 5 3 2 2" xfId="27017"/>
    <cellStyle name="40% - Accent3 3 5 3 2 2 2" xfId="49262"/>
    <cellStyle name="40% - Accent3 3 5 3 2 3" xfId="47049"/>
    <cellStyle name="40% - Accent3 3 5 3 3" xfId="25382"/>
    <cellStyle name="40% - Accent3 3 5 3 3 2" xfId="27687"/>
    <cellStyle name="40% - Accent3 3 5 3 3 2 2" xfId="49932"/>
    <cellStyle name="40% - Accent3 3 5 3 3 3" xfId="47627"/>
    <cellStyle name="40% - Accent3 3 5 3 4" xfId="26344"/>
    <cellStyle name="40% - Accent3 3 5 3 4 2" xfId="48589"/>
    <cellStyle name="40% - Accent3 3 5 3 5" xfId="46386"/>
    <cellStyle name="40% - Accent3 3 5 4" xfId="24472"/>
    <cellStyle name="40% - Accent3 3 5 4 2" xfId="26685"/>
    <cellStyle name="40% - Accent3 3 5 4 2 2" xfId="48930"/>
    <cellStyle name="40% - Accent3 3 5 4 3" xfId="46717"/>
    <cellStyle name="40% - Accent3 3 5 5" xfId="25052"/>
    <cellStyle name="40% - Accent3 3 5 5 2" xfId="27351"/>
    <cellStyle name="40% - Accent3 3 5 5 2 2" xfId="49596"/>
    <cellStyle name="40% - Accent3 3 5 5 3" xfId="47297"/>
    <cellStyle name="40% - Accent3 3 5 6" xfId="23842"/>
    <cellStyle name="40% - Accent3 3 5 6 2" xfId="26033"/>
    <cellStyle name="40% - Accent3 3 5 6 2 2" xfId="48278"/>
    <cellStyle name="40% - Accent3 3 5 6 3" xfId="46088"/>
    <cellStyle name="40% - Accent3 3 6" xfId="3151"/>
    <cellStyle name="40% - Accent3 3 6 2" xfId="6864"/>
    <cellStyle name="40% - Accent3 3 6 2 2" xfId="10196"/>
    <cellStyle name="40% - Accent3 3 6 2 2 2" xfId="16900"/>
    <cellStyle name="40% - Accent3 3 6 2 2 2 2" xfId="27059"/>
    <cellStyle name="40% - Accent3 3 6 2 2 2 2 2" xfId="49304"/>
    <cellStyle name="40% - Accent3 3 6 2 2 2 3" xfId="40321"/>
    <cellStyle name="40% - Accent3 3 6 2 2 3" xfId="24846"/>
    <cellStyle name="40% - Accent3 3 6 2 2 3 2" xfId="47091"/>
    <cellStyle name="40% - Accent3 3 6 2 2 4" xfId="33689"/>
    <cellStyle name="40% - Accent3 3 6 2 3" xfId="13584"/>
    <cellStyle name="40% - Accent3 3 6 2 3 2" xfId="27729"/>
    <cellStyle name="40% - Accent3 3 6 2 3 2 2" xfId="49974"/>
    <cellStyle name="40% - Accent3 3 6 2 3 3" xfId="25424"/>
    <cellStyle name="40% - Accent3 3 6 2 3 3 2" xfId="47669"/>
    <cellStyle name="40% - Accent3 3 6 2 3 4" xfId="37005"/>
    <cellStyle name="40% - Accent3 3 6 2 4" xfId="26386"/>
    <cellStyle name="40% - Accent3 3 6 2 4 2" xfId="48631"/>
    <cellStyle name="40% - Accent3 3 6 2 5" xfId="24182"/>
    <cellStyle name="40% - Accent3 3 6 2 5 2" xfId="46428"/>
    <cellStyle name="40% - Accent3 3 6 2 6" xfId="30373"/>
    <cellStyle name="40% - Accent3 3 6 3" xfId="8530"/>
    <cellStyle name="40% - Accent3 3 6 3 2" xfId="15242"/>
    <cellStyle name="40% - Accent3 3 6 3 2 2" xfId="26727"/>
    <cellStyle name="40% - Accent3 3 6 3 2 2 2" xfId="48972"/>
    <cellStyle name="40% - Accent3 3 6 3 2 3" xfId="38663"/>
    <cellStyle name="40% - Accent3 3 6 3 3" xfId="24514"/>
    <cellStyle name="40% - Accent3 3 6 3 3 2" xfId="46759"/>
    <cellStyle name="40% - Accent3 3 6 3 4" xfId="32031"/>
    <cellStyle name="40% - Accent3 3 6 4" xfId="11924"/>
    <cellStyle name="40% - Accent3 3 6 4 2" xfId="27393"/>
    <cellStyle name="40% - Accent3 3 6 4 2 2" xfId="49638"/>
    <cellStyle name="40% - Accent3 3 6 4 3" xfId="25088"/>
    <cellStyle name="40% - Accent3 3 6 4 3 2" xfId="47333"/>
    <cellStyle name="40% - Accent3 3 6 4 4" xfId="35347"/>
    <cellStyle name="40% - Accent3 3 6 5" xfId="25719"/>
    <cellStyle name="40% - Accent3 3 6 5 2" xfId="47964"/>
    <cellStyle name="40% - Accent3 3 6 6" xfId="23804"/>
    <cellStyle name="40% - Accent3 3 6 6 2" xfId="46069"/>
    <cellStyle name="40% - Accent3 3 6 7" xfId="28715"/>
    <cellStyle name="40% - Accent3 3 7" xfId="23383"/>
    <cellStyle name="40% - Accent3 3 7 2" xfId="24680"/>
    <cellStyle name="40% - Accent3 3 7 2 2" xfId="26893"/>
    <cellStyle name="40% - Accent3 3 7 2 2 2" xfId="49138"/>
    <cellStyle name="40% - Accent3 3 7 2 3" xfId="46925"/>
    <cellStyle name="40% - Accent3 3 7 3" xfId="25256"/>
    <cellStyle name="40% - Accent3 3 7 3 2" xfId="27561"/>
    <cellStyle name="40% - Accent3 3 7 3 2 2" xfId="49806"/>
    <cellStyle name="40% - Accent3 3 7 3 3" xfId="47501"/>
    <cellStyle name="40% - Accent3 3 7 4" xfId="26221"/>
    <cellStyle name="40% - Accent3 3 7 4 2" xfId="48466"/>
    <cellStyle name="40% - Accent3 3 7 5" xfId="45728"/>
    <cellStyle name="40% - Accent3 3 8" xfId="24358"/>
    <cellStyle name="40% - Accent3 3 8 2" xfId="26561"/>
    <cellStyle name="40% - Accent3 3 8 2 2" xfId="48806"/>
    <cellStyle name="40% - Accent3 3 8 3" xfId="46603"/>
    <cellStyle name="40% - Accent3 3 9" xfId="25012"/>
    <cellStyle name="40% - Accent3 3 9 2" xfId="27225"/>
    <cellStyle name="40% - Accent3 3 9 2 2" xfId="49470"/>
    <cellStyle name="40% - Accent3 3 9 3" xfId="47257"/>
    <cellStyle name="40% - Accent3 4" xfId="3150"/>
    <cellStyle name="40% - Accent3 4 2" xfId="25664"/>
    <cellStyle name="40% - Accent3 4 2 2" xfId="47909"/>
    <cellStyle name="40% - Accent3 5" xfId="7721"/>
    <cellStyle name="40% - Accent3 5 2" xfId="11050"/>
    <cellStyle name="40% - Accent3 5 2 2" xfId="17754"/>
    <cellStyle name="40% - Accent3 5 2 2 2" xfId="41175"/>
    <cellStyle name="40% - Accent3 5 2 3" xfId="34543"/>
    <cellStyle name="40% - Accent3 5 3" xfId="14438"/>
    <cellStyle name="40% - Accent3 5 3 2" xfId="37859"/>
    <cellStyle name="40% - Accent3 5 4" xfId="31227"/>
    <cellStyle name="40% - Accent3 6" xfId="9392"/>
    <cellStyle name="40% - Accent3 6 2" xfId="16096"/>
    <cellStyle name="40% - Accent3 6 2 2" xfId="39517"/>
    <cellStyle name="40% - Accent3 6 3" xfId="32885"/>
    <cellStyle name="40% - Accent3 7" xfId="12780"/>
    <cellStyle name="40% - Accent3 7 2" xfId="36201"/>
    <cellStyle name="40% - Accent3 8" xfId="23790"/>
    <cellStyle name="40% - Accent3 8 2" xfId="46056"/>
    <cellStyle name="40% - Accent3 9" xfId="29569"/>
    <cellStyle name="40% - Accent4" xfId="6053" builtinId="43" customBuiltin="1"/>
    <cellStyle name="40% - Accent4 2" xfId="205"/>
    <cellStyle name="40% - Accent4 2 2" xfId="206"/>
    <cellStyle name="40% - Accent4 2 3" xfId="5074"/>
    <cellStyle name="40% - Accent4 2 4" xfId="3159"/>
    <cellStyle name="40% - Accent4 3" xfId="1037"/>
    <cellStyle name="40% - Accent4 3 10" xfId="23593"/>
    <cellStyle name="40% - Accent4 3 2" xfId="3161"/>
    <cellStyle name="40% - Accent4 3 2 10" xfId="28722"/>
    <cellStyle name="40% - Accent4 3 2 2" xfId="3162"/>
    <cellStyle name="40% - Accent4 3 2 2 2" xfId="6872"/>
    <cellStyle name="40% - Accent4 3 2 2 2 2" xfId="10204"/>
    <cellStyle name="40% - Accent4 3 2 2 2 2 2" xfId="16908"/>
    <cellStyle name="40% - Accent4 3 2 2 2 2 2 2" xfId="27164"/>
    <cellStyle name="40% - Accent4 3 2 2 2 2 2 2 2" xfId="49409"/>
    <cellStyle name="40% - Accent4 3 2 2 2 2 2 3" xfId="24951"/>
    <cellStyle name="40% - Accent4 3 2 2 2 2 2 3 2" xfId="47196"/>
    <cellStyle name="40% - Accent4 3 2 2 2 2 2 4" xfId="40329"/>
    <cellStyle name="40% - Accent4 3 2 2 2 2 3" xfId="25530"/>
    <cellStyle name="40% - Accent4 3 2 2 2 2 3 2" xfId="27835"/>
    <cellStyle name="40% - Accent4 3 2 2 2 2 3 2 2" xfId="50080"/>
    <cellStyle name="40% - Accent4 3 2 2 2 2 3 3" xfId="47775"/>
    <cellStyle name="40% - Accent4 3 2 2 2 2 4" xfId="26490"/>
    <cellStyle name="40% - Accent4 3 2 2 2 2 4 2" xfId="48735"/>
    <cellStyle name="40% - Accent4 3 2 2 2 2 5" xfId="24286"/>
    <cellStyle name="40% - Accent4 3 2 2 2 2 5 2" xfId="46532"/>
    <cellStyle name="40% - Accent4 3 2 2 2 2 6" xfId="33697"/>
    <cellStyle name="40% - Accent4 3 2 2 2 3" xfId="13592"/>
    <cellStyle name="40% - Accent4 3 2 2 2 3 2" xfId="26832"/>
    <cellStyle name="40% - Accent4 3 2 2 2 3 2 2" xfId="49077"/>
    <cellStyle name="40% - Accent4 3 2 2 2 3 3" xfId="24619"/>
    <cellStyle name="40% - Accent4 3 2 2 2 3 3 2" xfId="46864"/>
    <cellStyle name="40% - Accent4 3 2 2 2 3 4" xfId="37013"/>
    <cellStyle name="40% - Accent4 3 2 2 2 4" xfId="25194"/>
    <cellStyle name="40% - Accent4 3 2 2 2 4 2" xfId="27499"/>
    <cellStyle name="40% - Accent4 3 2 2 2 4 2 2" xfId="49744"/>
    <cellStyle name="40% - Accent4 3 2 2 2 4 3" xfId="47439"/>
    <cellStyle name="40% - Accent4 3 2 2 2 5" xfId="26161"/>
    <cellStyle name="40% - Accent4 3 2 2 2 5 2" xfId="48406"/>
    <cellStyle name="40% - Accent4 3 2 2 2 6" xfId="23970"/>
    <cellStyle name="40% - Accent4 3 2 2 2 6 2" xfId="46216"/>
    <cellStyle name="40% - Accent4 3 2 2 2 7" xfId="30381"/>
    <cellStyle name="40% - Accent4 3 2 2 3" xfId="8538"/>
    <cellStyle name="40% - Accent4 3 2 2 3 2" xfId="15250"/>
    <cellStyle name="40% - Accent4 3 2 2 3 2 2" xfId="26998"/>
    <cellStyle name="40% - Accent4 3 2 2 3 2 2 2" xfId="49243"/>
    <cellStyle name="40% - Accent4 3 2 2 3 2 3" xfId="24785"/>
    <cellStyle name="40% - Accent4 3 2 2 3 2 3 2" xfId="47030"/>
    <cellStyle name="40% - Accent4 3 2 2 3 2 4" xfId="38671"/>
    <cellStyle name="40% - Accent4 3 2 2 3 3" xfId="25362"/>
    <cellStyle name="40% - Accent4 3 2 2 3 3 2" xfId="27667"/>
    <cellStyle name="40% - Accent4 3 2 2 3 3 2 2" xfId="49912"/>
    <cellStyle name="40% - Accent4 3 2 2 3 3 3" xfId="47607"/>
    <cellStyle name="40% - Accent4 3 2 2 3 4" xfId="26325"/>
    <cellStyle name="40% - Accent4 3 2 2 3 4 2" xfId="48570"/>
    <cellStyle name="40% - Accent4 3 2 2 3 5" xfId="24121"/>
    <cellStyle name="40% - Accent4 3 2 2 3 5 2" xfId="46367"/>
    <cellStyle name="40% - Accent4 3 2 2 3 6" xfId="32039"/>
    <cellStyle name="40% - Accent4 3 2 2 4" xfId="11932"/>
    <cellStyle name="40% - Accent4 3 2 2 4 2" xfId="26666"/>
    <cellStyle name="40% - Accent4 3 2 2 4 2 2" xfId="48911"/>
    <cellStyle name="40% - Accent4 3 2 2 4 3" xfId="24453"/>
    <cellStyle name="40% - Accent4 3 2 2 4 3 2" xfId="46698"/>
    <cellStyle name="40% - Accent4 3 2 2 4 4" xfId="35355"/>
    <cellStyle name="40% - Accent4 3 2 2 5" xfId="23378"/>
    <cellStyle name="40% - Accent4 3 2 2 5 2" xfId="27331"/>
    <cellStyle name="40% - Accent4 3 2 2 5 2 2" xfId="49576"/>
    <cellStyle name="40% - Accent4 3 2 2 5 3" xfId="45723"/>
    <cellStyle name="40% - Accent4 3 2 2 6" xfId="25727"/>
    <cellStyle name="40% - Accent4 3 2 2 6 2" xfId="47972"/>
    <cellStyle name="40% - Accent4 3 2 2 7" xfId="28723"/>
    <cellStyle name="40% - Accent4 3 2 3" xfId="3163"/>
    <cellStyle name="40% - Accent4 3 2 3 2" xfId="6873"/>
    <cellStyle name="40% - Accent4 3 2 3 2 2" xfId="10205"/>
    <cellStyle name="40% - Accent4 3 2 3 2 2 2" xfId="16909"/>
    <cellStyle name="40% - Accent4 3 2 3 2 2 2 2" xfId="27123"/>
    <cellStyle name="40% - Accent4 3 2 3 2 2 2 2 2" xfId="49368"/>
    <cellStyle name="40% - Accent4 3 2 3 2 2 2 3" xfId="24910"/>
    <cellStyle name="40% - Accent4 3 2 3 2 2 2 3 2" xfId="47155"/>
    <cellStyle name="40% - Accent4 3 2 3 2 2 2 4" xfId="40330"/>
    <cellStyle name="40% - Accent4 3 2 3 2 2 3" xfId="25488"/>
    <cellStyle name="40% - Accent4 3 2 3 2 2 3 2" xfId="27793"/>
    <cellStyle name="40% - Accent4 3 2 3 2 2 3 2 2" xfId="50038"/>
    <cellStyle name="40% - Accent4 3 2 3 2 2 3 3" xfId="47733"/>
    <cellStyle name="40% - Accent4 3 2 3 2 2 4" xfId="26450"/>
    <cellStyle name="40% - Accent4 3 2 3 2 2 4 2" xfId="48695"/>
    <cellStyle name="40% - Accent4 3 2 3 2 2 5" xfId="24246"/>
    <cellStyle name="40% - Accent4 3 2 3 2 2 5 2" xfId="46492"/>
    <cellStyle name="40% - Accent4 3 2 3 2 2 6" xfId="33698"/>
    <cellStyle name="40% - Accent4 3 2 3 2 3" xfId="13593"/>
    <cellStyle name="40% - Accent4 3 2 3 2 3 2" xfId="26791"/>
    <cellStyle name="40% - Accent4 3 2 3 2 3 2 2" xfId="49036"/>
    <cellStyle name="40% - Accent4 3 2 3 2 3 3" xfId="24578"/>
    <cellStyle name="40% - Accent4 3 2 3 2 3 3 2" xfId="46823"/>
    <cellStyle name="40% - Accent4 3 2 3 2 3 4" xfId="37014"/>
    <cellStyle name="40% - Accent4 3 2 3 2 4" xfId="25152"/>
    <cellStyle name="40% - Accent4 3 2 3 2 4 2" xfId="27457"/>
    <cellStyle name="40% - Accent4 3 2 3 2 4 2 2" xfId="49702"/>
    <cellStyle name="40% - Accent4 3 2 3 2 4 3" xfId="47397"/>
    <cellStyle name="40% - Accent4 3 2 3 2 5" xfId="26121"/>
    <cellStyle name="40% - Accent4 3 2 3 2 5 2" xfId="48366"/>
    <cellStyle name="40% - Accent4 3 2 3 2 6" xfId="23930"/>
    <cellStyle name="40% - Accent4 3 2 3 2 6 2" xfId="46176"/>
    <cellStyle name="40% - Accent4 3 2 3 2 7" xfId="30382"/>
    <cellStyle name="40% - Accent4 3 2 3 3" xfId="8539"/>
    <cellStyle name="40% - Accent4 3 2 3 3 2" xfId="15251"/>
    <cellStyle name="40% - Accent4 3 2 3 3 2 2" xfId="26957"/>
    <cellStyle name="40% - Accent4 3 2 3 3 2 2 2" xfId="49202"/>
    <cellStyle name="40% - Accent4 3 2 3 3 2 3" xfId="24744"/>
    <cellStyle name="40% - Accent4 3 2 3 3 2 3 2" xfId="46989"/>
    <cellStyle name="40% - Accent4 3 2 3 3 2 4" xfId="38672"/>
    <cellStyle name="40% - Accent4 3 2 3 3 3" xfId="25320"/>
    <cellStyle name="40% - Accent4 3 2 3 3 3 2" xfId="27625"/>
    <cellStyle name="40% - Accent4 3 2 3 3 3 2 2" xfId="49870"/>
    <cellStyle name="40% - Accent4 3 2 3 3 3 3" xfId="47565"/>
    <cellStyle name="40% - Accent4 3 2 3 3 4" xfId="26285"/>
    <cellStyle name="40% - Accent4 3 2 3 3 4 2" xfId="48530"/>
    <cellStyle name="40% - Accent4 3 2 3 3 5" xfId="24081"/>
    <cellStyle name="40% - Accent4 3 2 3 3 5 2" xfId="46327"/>
    <cellStyle name="40% - Accent4 3 2 3 3 6" xfId="32040"/>
    <cellStyle name="40% - Accent4 3 2 3 4" xfId="11933"/>
    <cellStyle name="40% - Accent4 3 2 3 4 2" xfId="26625"/>
    <cellStyle name="40% - Accent4 3 2 3 4 2 2" xfId="48870"/>
    <cellStyle name="40% - Accent4 3 2 3 4 3" xfId="24412"/>
    <cellStyle name="40% - Accent4 3 2 3 4 3 2" xfId="46657"/>
    <cellStyle name="40% - Accent4 3 2 3 4 4" xfId="35356"/>
    <cellStyle name="40% - Accent4 3 2 3 5" xfId="23377"/>
    <cellStyle name="40% - Accent4 3 2 3 5 2" xfId="27289"/>
    <cellStyle name="40% - Accent4 3 2 3 5 2 2" xfId="49534"/>
    <cellStyle name="40% - Accent4 3 2 3 5 3" xfId="45722"/>
    <cellStyle name="40% - Accent4 3 2 3 6" xfId="25728"/>
    <cellStyle name="40% - Accent4 3 2 3 6 2" xfId="47973"/>
    <cellStyle name="40% - Accent4 3 2 3 7" xfId="28724"/>
    <cellStyle name="40% - Accent4 3 2 4" xfId="6871"/>
    <cellStyle name="40% - Accent4 3 2 4 2" xfId="10203"/>
    <cellStyle name="40% - Accent4 3 2 4 2 2" xfId="16907"/>
    <cellStyle name="40% - Accent4 3 2 4 2 2 2" xfId="24992"/>
    <cellStyle name="40% - Accent4 3 2 4 2 2 2 2" xfId="27205"/>
    <cellStyle name="40% - Accent4 3 2 4 2 2 2 2 2" xfId="49450"/>
    <cellStyle name="40% - Accent4 3 2 4 2 2 2 3" xfId="47237"/>
    <cellStyle name="40% - Accent4 3 2 4 2 2 3" xfId="25572"/>
    <cellStyle name="40% - Accent4 3 2 4 2 2 3 2" xfId="27877"/>
    <cellStyle name="40% - Accent4 3 2 4 2 2 3 2 2" xfId="50122"/>
    <cellStyle name="40% - Accent4 3 2 4 2 2 3 3" xfId="47817"/>
    <cellStyle name="40% - Accent4 3 2 4 2 2 4" xfId="26531"/>
    <cellStyle name="40% - Accent4 3 2 4 2 2 4 2" xfId="48776"/>
    <cellStyle name="40% - Accent4 3 2 4 2 2 5" xfId="24327"/>
    <cellStyle name="40% - Accent4 3 2 4 2 2 5 2" xfId="46573"/>
    <cellStyle name="40% - Accent4 3 2 4 2 2 6" xfId="40328"/>
    <cellStyle name="40% - Accent4 3 2 4 2 3" xfId="24660"/>
    <cellStyle name="40% - Accent4 3 2 4 2 3 2" xfId="26873"/>
    <cellStyle name="40% - Accent4 3 2 4 2 3 2 2" xfId="49118"/>
    <cellStyle name="40% - Accent4 3 2 4 2 3 3" xfId="46905"/>
    <cellStyle name="40% - Accent4 3 2 4 2 4" xfId="25236"/>
    <cellStyle name="40% - Accent4 3 2 4 2 4 2" xfId="27541"/>
    <cellStyle name="40% - Accent4 3 2 4 2 4 2 2" xfId="49786"/>
    <cellStyle name="40% - Accent4 3 2 4 2 4 3" xfId="47481"/>
    <cellStyle name="40% - Accent4 3 2 4 2 5" xfId="26202"/>
    <cellStyle name="40% - Accent4 3 2 4 2 5 2" xfId="48447"/>
    <cellStyle name="40% - Accent4 3 2 4 2 6" xfId="24011"/>
    <cellStyle name="40% - Accent4 3 2 4 2 6 2" xfId="46257"/>
    <cellStyle name="40% - Accent4 3 2 4 2 7" xfId="33696"/>
    <cellStyle name="40% - Accent4 3 2 4 3" xfId="13591"/>
    <cellStyle name="40% - Accent4 3 2 4 3 2" xfId="24826"/>
    <cellStyle name="40% - Accent4 3 2 4 3 2 2" xfId="27039"/>
    <cellStyle name="40% - Accent4 3 2 4 3 2 2 2" xfId="49284"/>
    <cellStyle name="40% - Accent4 3 2 4 3 2 3" xfId="47071"/>
    <cellStyle name="40% - Accent4 3 2 4 3 3" xfId="25404"/>
    <cellStyle name="40% - Accent4 3 2 4 3 3 2" xfId="27709"/>
    <cellStyle name="40% - Accent4 3 2 4 3 3 2 2" xfId="49954"/>
    <cellStyle name="40% - Accent4 3 2 4 3 3 3" xfId="47649"/>
    <cellStyle name="40% - Accent4 3 2 4 3 4" xfId="26366"/>
    <cellStyle name="40% - Accent4 3 2 4 3 4 2" xfId="48611"/>
    <cellStyle name="40% - Accent4 3 2 4 3 5" xfId="24162"/>
    <cellStyle name="40% - Accent4 3 2 4 3 5 2" xfId="46408"/>
    <cellStyle name="40% - Accent4 3 2 4 3 6" xfId="37012"/>
    <cellStyle name="40% - Accent4 3 2 4 4" xfId="24494"/>
    <cellStyle name="40% - Accent4 3 2 4 4 2" xfId="26707"/>
    <cellStyle name="40% - Accent4 3 2 4 4 2 2" xfId="48952"/>
    <cellStyle name="40% - Accent4 3 2 4 4 3" xfId="46739"/>
    <cellStyle name="40% - Accent4 3 2 4 5" xfId="25068"/>
    <cellStyle name="40% - Accent4 3 2 4 5 2" xfId="27373"/>
    <cellStyle name="40% - Accent4 3 2 4 5 2 2" xfId="49618"/>
    <cellStyle name="40% - Accent4 3 2 4 5 3" xfId="47313"/>
    <cellStyle name="40% - Accent4 3 2 4 6" xfId="26049"/>
    <cellStyle name="40% - Accent4 3 2 4 6 2" xfId="48294"/>
    <cellStyle name="40% - Accent4 3 2 4 7" xfId="23858"/>
    <cellStyle name="40% - Accent4 3 2 4 7 2" xfId="46104"/>
    <cellStyle name="40% - Accent4 3 2 4 8" xfId="30380"/>
    <cellStyle name="40% - Accent4 3 2 5" xfId="8537"/>
    <cellStyle name="40% - Accent4 3 2 5 2" xfId="15249"/>
    <cellStyle name="40% - Accent4 3 2 5 2 2" xfId="24868"/>
    <cellStyle name="40% - Accent4 3 2 5 2 2 2" xfId="27081"/>
    <cellStyle name="40% - Accent4 3 2 5 2 2 2 2" xfId="49326"/>
    <cellStyle name="40% - Accent4 3 2 5 2 2 3" xfId="47113"/>
    <cellStyle name="40% - Accent4 3 2 5 2 3" xfId="25446"/>
    <cellStyle name="40% - Accent4 3 2 5 2 3 2" xfId="27751"/>
    <cellStyle name="40% - Accent4 3 2 5 2 3 2 2" xfId="49996"/>
    <cellStyle name="40% - Accent4 3 2 5 2 3 3" xfId="47691"/>
    <cellStyle name="40% - Accent4 3 2 5 2 4" xfId="26408"/>
    <cellStyle name="40% - Accent4 3 2 5 2 4 2" xfId="48653"/>
    <cellStyle name="40% - Accent4 3 2 5 2 5" xfId="24204"/>
    <cellStyle name="40% - Accent4 3 2 5 2 5 2" xfId="46450"/>
    <cellStyle name="40% - Accent4 3 2 5 2 6" xfId="38670"/>
    <cellStyle name="40% - Accent4 3 2 5 3" xfId="24536"/>
    <cellStyle name="40% - Accent4 3 2 5 3 2" xfId="26749"/>
    <cellStyle name="40% - Accent4 3 2 5 3 2 2" xfId="48994"/>
    <cellStyle name="40% - Accent4 3 2 5 3 3" xfId="46781"/>
    <cellStyle name="40% - Accent4 3 2 5 4" xfId="25110"/>
    <cellStyle name="40% - Accent4 3 2 5 4 2" xfId="27415"/>
    <cellStyle name="40% - Accent4 3 2 5 4 2 2" xfId="49660"/>
    <cellStyle name="40% - Accent4 3 2 5 4 3" xfId="47355"/>
    <cellStyle name="40% - Accent4 3 2 5 5" xfId="26081"/>
    <cellStyle name="40% - Accent4 3 2 5 5 2" xfId="48326"/>
    <cellStyle name="40% - Accent4 3 2 5 6" xfId="23890"/>
    <cellStyle name="40% - Accent4 3 2 5 6 2" xfId="46136"/>
    <cellStyle name="40% - Accent4 3 2 5 7" xfId="32038"/>
    <cellStyle name="40% - Accent4 3 2 6" xfId="11931"/>
    <cellStyle name="40% - Accent4 3 2 6 2" xfId="24702"/>
    <cellStyle name="40% - Accent4 3 2 6 2 2" xfId="26915"/>
    <cellStyle name="40% - Accent4 3 2 6 2 2 2" xfId="49160"/>
    <cellStyle name="40% - Accent4 3 2 6 2 3" xfId="46947"/>
    <cellStyle name="40% - Accent4 3 2 6 3" xfId="25278"/>
    <cellStyle name="40% - Accent4 3 2 6 3 2" xfId="27583"/>
    <cellStyle name="40% - Accent4 3 2 6 3 2 2" xfId="49828"/>
    <cellStyle name="40% - Accent4 3 2 6 3 3" xfId="47523"/>
    <cellStyle name="40% - Accent4 3 2 6 4" xfId="26243"/>
    <cellStyle name="40% - Accent4 3 2 6 4 2" xfId="48488"/>
    <cellStyle name="40% - Accent4 3 2 6 5" xfId="24039"/>
    <cellStyle name="40% - Accent4 3 2 6 5 2" xfId="46285"/>
    <cellStyle name="40% - Accent4 3 2 6 6" xfId="35354"/>
    <cellStyle name="40% - Accent4 3 2 7" xfId="23260"/>
    <cellStyle name="40% - Accent4 3 2 7 2" xfId="26583"/>
    <cellStyle name="40% - Accent4 3 2 7 2 2" xfId="48828"/>
    <cellStyle name="40% - Accent4 3 2 7 3" xfId="45652"/>
    <cellStyle name="40% - Accent4 3 2 8" xfId="25034"/>
    <cellStyle name="40% - Accent4 3 2 8 2" xfId="27247"/>
    <cellStyle name="40% - Accent4 3 2 8 2 2" xfId="49492"/>
    <cellStyle name="40% - Accent4 3 2 8 3" xfId="47279"/>
    <cellStyle name="40% - Accent4 3 2 9" xfId="25726"/>
    <cellStyle name="40% - Accent4 3 2 9 2" xfId="47971"/>
    <cellStyle name="40% - Accent4 3 3" xfId="3164"/>
    <cellStyle name="40% - Accent4 3 3 2" xfId="6874"/>
    <cellStyle name="40% - Accent4 3 3 2 2" xfId="10206"/>
    <cellStyle name="40% - Accent4 3 3 2 2 2" xfId="16910"/>
    <cellStyle name="40% - Accent4 3 3 2 2 2 2" xfId="27144"/>
    <cellStyle name="40% - Accent4 3 3 2 2 2 2 2" xfId="49389"/>
    <cellStyle name="40% - Accent4 3 3 2 2 2 3" xfId="24931"/>
    <cellStyle name="40% - Accent4 3 3 2 2 2 3 2" xfId="47176"/>
    <cellStyle name="40% - Accent4 3 3 2 2 2 4" xfId="40331"/>
    <cellStyle name="40% - Accent4 3 3 2 2 3" xfId="25509"/>
    <cellStyle name="40% - Accent4 3 3 2 2 3 2" xfId="27814"/>
    <cellStyle name="40% - Accent4 3 3 2 2 3 2 2" xfId="50059"/>
    <cellStyle name="40% - Accent4 3 3 2 2 3 3" xfId="47754"/>
    <cellStyle name="40% - Accent4 3 3 2 2 4" xfId="26470"/>
    <cellStyle name="40% - Accent4 3 3 2 2 4 2" xfId="48715"/>
    <cellStyle name="40% - Accent4 3 3 2 2 5" xfId="24266"/>
    <cellStyle name="40% - Accent4 3 3 2 2 5 2" xfId="46512"/>
    <cellStyle name="40% - Accent4 3 3 2 2 6" xfId="33699"/>
    <cellStyle name="40% - Accent4 3 3 2 3" xfId="13594"/>
    <cellStyle name="40% - Accent4 3 3 2 3 2" xfId="26812"/>
    <cellStyle name="40% - Accent4 3 3 2 3 2 2" xfId="49057"/>
    <cellStyle name="40% - Accent4 3 3 2 3 3" xfId="24599"/>
    <cellStyle name="40% - Accent4 3 3 2 3 3 2" xfId="46844"/>
    <cellStyle name="40% - Accent4 3 3 2 3 4" xfId="37015"/>
    <cellStyle name="40% - Accent4 3 3 2 4" xfId="25173"/>
    <cellStyle name="40% - Accent4 3 3 2 4 2" xfId="27478"/>
    <cellStyle name="40% - Accent4 3 3 2 4 2 2" xfId="49723"/>
    <cellStyle name="40% - Accent4 3 3 2 4 3" xfId="47418"/>
    <cellStyle name="40% - Accent4 3 3 2 5" xfId="26141"/>
    <cellStyle name="40% - Accent4 3 3 2 5 2" xfId="48386"/>
    <cellStyle name="40% - Accent4 3 3 2 6" xfId="23950"/>
    <cellStyle name="40% - Accent4 3 3 2 6 2" xfId="46196"/>
    <cellStyle name="40% - Accent4 3 3 2 7" xfId="30383"/>
    <cellStyle name="40% - Accent4 3 3 3" xfId="8540"/>
    <cellStyle name="40% - Accent4 3 3 3 2" xfId="15252"/>
    <cellStyle name="40% - Accent4 3 3 3 2 2" xfId="26978"/>
    <cellStyle name="40% - Accent4 3 3 3 2 2 2" xfId="49223"/>
    <cellStyle name="40% - Accent4 3 3 3 2 3" xfId="24765"/>
    <cellStyle name="40% - Accent4 3 3 3 2 3 2" xfId="47010"/>
    <cellStyle name="40% - Accent4 3 3 3 2 4" xfId="38673"/>
    <cellStyle name="40% - Accent4 3 3 3 3" xfId="25341"/>
    <cellStyle name="40% - Accent4 3 3 3 3 2" xfId="27646"/>
    <cellStyle name="40% - Accent4 3 3 3 3 2 2" xfId="49891"/>
    <cellStyle name="40% - Accent4 3 3 3 3 3" xfId="47586"/>
    <cellStyle name="40% - Accent4 3 3 3 4" xfId="26305"/>
    <cellStyle name="40% - Accent4 3 3 3 4 2" xfId="48550"/>
    <cellStyle name="40% - Accent4 3 3 3 5" xfId="24101"/>
    <cellStyle name="40% - Accent4 3 3 3 5 2" xfId="46347"/>
    <cellStyle name="40% - Accent4 3 3 3 6" xfId="32041"/>
    <cellStyle name="40% - Accent4 3 3 4" xfId="11934"/>
    <cellStyle name="40% - Accent4 3 3 4 2" xfId="26646"/>
    <cellStyle name="40% - Accent4 3 3 4 2 2" xfId="48891"/>
    <cellStyle name="40% - Accent4 3 3 4 3" xfId="24433"/>
    <cellStyle name="40% - Accent4 3 3 4 3 2" xfId="46678"/>
    <cellStyle name="40% - Accent4 3 3 4 4" xfId="35357"/>
    <cellStyle name="40% - Accent4 3 3 5" xfId="23376"/>
    <cellStyle name="40% - Accent4 3 3 5 2" xfId="27310"/>
    <cellStyle name="40% - Accent4 3 3 5 2 2" xfId="49555"/>
    <cellStyle name="40% - Accent4 3 3 5 3" xfId="45721"/>
    <cellStyle name="40% - Accent4 3 3 6" xfId="25729"/>
    <cellStyle name="40% - Accent4 3 3 6 2" xfId="47974"/>
    <cellStyle name="40% - Accent4 3 3 7" xfId="28725"/>
    <cellStyle name="40% - Accent4 3 4" xfId="3165"/>
    <cellStyle name="40% - Accent4 3 4 2" xfId="6875"/>
    <cellStyle name="40% - Accent4 3 4 2 2" xfId="10207"/>
    <cellStyle name="40% - Accent4 3 4 2 2 2" xfId="16911"/>
    <cellStyle name="40% - Accent4 3 4 2 2 2 2" xfId="27102"/>
    <cellStyle name="40% - Accent4 3 4 2 2 2 2 2" xfId="49347"/>
    <cellStyle name="40% - Accent4 3 4 2 2 2 3" xfId="24889"/>
    <cellStyle name="40% - Accent4 3 4 2 2 2 3 2" xfId="47134"/>
    <cellStyle name="40% - Accent4 3 4 2 2 2 4" xfId="40332"/>
    <cellStyle name="40% - Accent4 3 4 2 2 3" xfId="25467"/>
    <cellStyle name="40% - Accent4 3 4 2 2 3 2" xfId="27772"/>
    <cellStyle name="40% - Accent4 3 4 2 2 3 2 2" xfId="50017"/>
    <cellStyle name="40% - Accent4 3 4 2 2 3 3" xfId="47712"/>
    <cellStyle name="40% - Accent4 3 4 2 2 4" xfId="26429"/>
    <cellStyle name="40% - Accent4 3 4 2 2 4 2" xfId="48674"/>
    <cellStyle name="40% - Accent4 3 4 2 2 5" xfId="24225"/>
    <cellStyle name="40% - Accent4 3 4 2 2 5 2" xfId="46471"/>
    <cellStyle name="40% - Accent4 3 4 2 2 6" xfId="33700"/>
    <cellStyle name="40% - Accent4 3 4 2 3" xfId="13595"/>
    <cellStyle name="40% - Accent4 3 4 2 3 2" xfId="26770"/>
    <cellStyle name="40% - Accent4 3 4 2 3 2 2" xfId="49015"/>
    <cellStyle name="40% - Accent4 3 4 2 3 3" xfId="24557"/>
    <cellStyle name="40% - Accent4 3 4 2 3 3 2" xfId="46802"/>
    <cellStyle name="40% - Accent4 3 4 2 3 4" xfId="37016"/>
    <cellStyle name="40% - Accent4 3 4 2 4" xfId="25131"/>
    <cellStyle name="40% - Accent4 3 4 2 4 2" xfId="27436"/>
    <cellStyle name="40% - Accent4 3 4 2 4 2 2" xfId="49681"/>
    <cellStyle name="40% - Accent4 3 4 2 4 3" xfId="47376"/>
    <cellStyle name="40% - Accent4 3 4 2 5" xfId="26101"/>
    <cellStyle name="40% - Accent4 3 4 2 5 2" xfId="48346"/>
    <cellStyle name="40% - Accent4 3 4 2 6" xfId="23910"/>
    <cellStyle name="40% - Accent4 3 4 2 6 2" xfId="46156"/>
    <cellStyle name="40% - Accent4 3 4 2 7" xfId="30384"/>
    <cellStyle name="40% - Accent4 3 4 3" xfId="8541"/>
    <cellStyle name="40% - Accent4 3 4 3 2" xfId="15253"/>
    <cellStyle name="40% - Accent4 3 4 3 2 2" xfId="26936"/>
    <cellStyle name="40% - Accent4 3 4 3 2 2 2" xfId="49181"/>
    <cellStyle name="40% - Accent4 3 4 3 2 3" xfId="24723"/>
    <cellStyle name="40% - Accent4 3 4 3 2 3 2" xfId="46968"/>
    <cellStyle name="40% - Accent4 3 4 3 2 4" xfId="38674"/>
    <cellStyle name="40% - Accent4 3 4 3 3" xfId="25299"/>
    <cellStyle name="40% - Accent4 3 4 3 3 2" xfId="27604"/>
    <cellStyle name="40% - Accent4 3 4 3 3 2 2" xfId="49849"/>
    <cellStyle name="40% - Accent4 3 4 3 3 3" xfId="47544"/>
    <cellStyle name="40% - Accent4 3 4 3 4" xfId="26264"/>
    <cellStyle name="40% - Accent4 3 4 3 4 2" xfId="48509"/>
    <cellStyle name="40% - Accent4 3 4 3 5" xfId="24060"/>
    <cellStyle name="40% - Accent4 3 4 3 5 2" xfId="46306"/>
    <cellStyle name="40% - Accent4 3 4 3 6" xfId="32042"/>
    <cellStyle name="40% - Accent4 3 4 4" xfId="11935"/>
    <cellStyle name="40% - Accent4 3 4 4 2" xfId="26604"/>
    <cellStyle name="40% - Accent4 3 4 4 2 2" xfId="48849"/>
    <cellStyle name="40% - Accent4 3 4 4 3" xfId="24391"/>
    <cellStyle name="40% - Accent4 3 4 4 3 2" xfId="46636"/>
    <cellStyle name="40% - Accent4 3 4 4 4" xfId="35358"/>
    <cellStyle name="40% - Accent4 3 4 5" xfId="23259"/>
    <cellStyle name="40% - Accent4 3 4 5 2" xfId="27268"/>
    <cellStyle name="40% - Accent4 3 4 5 2 2" xfId="49513"/>
    <cellStyle name="40% - Accent4 3 4 5 3" xfId="45651"/>
    <cellStyle name="40% - Accent4 3 4 6" xfId="25730"/>
    <cellStyle name="40% - Accent4 3 4 6 2" xfId="47975"/>
    <cellStyle name="40% - Accent4 3 4 7" xfId="28726"/>
    <cellStyle name="40% - Accent4 3 5" xfId="3166"/>
    <cellStyle name="40% - Accent4 3 5 2" xfId="23990"/>
    <cellStyle name="40% - Accent4 3 5 2 2" xfId="24306"/>
    <cellStyle name="40% - Accent4 3 5 2 2 2" xfId="24971"/>
    <cellStyle name="40% - Accent4 3 5 2 2 2 2" xfId="27184"/>
    <cellStyle name="40% - Accent4 3 5 2 2 2 2 2" xfId="49429"/>
    <cellStyle name="40% - Accent4 3 5 2 2 2 3" xfId="47216"/>
    <cellStyle name="40% - Accent4 3 5 2 2 3" xfId="25551"/>
    <cellStyle name="40% - Accent4 3 5 2 2 3 2" xfId="27856"/>
    <cellStyle name="40% - Accent4 3 5 2 2 3 2 2" xfId="50101"/>
    <cellStyle name="40% - Accent4 3 5 2 2 3 3" xfId="47796"/>
    <cellStyle name="40% - Accent4 3 5 2 2 4" xfId="26510"/>
    <cellStyle name="40% - Accent4 3 5 2 2 4 2" xfId="48755"/>
    <cellStyle name="40% - Accent4 3 5 2 2 5" xfId="46552"/>
    <cellStyle name="40% - Accent4 3 5 2 3" xfId="24639"/>
    <cellStyle name="40% - Accent4 3 5 2 3 2" xfId="26852"/>
    <cellStyle name="40% - Accent4 3 5 2 3 2 2" xfId="49097"/>
    <cellStyle name="40% - Accent4 3 5 2 3 3" xfId="46884"/>
    <cellStyle name="40% - Accent4 3 5 2 4" xfId="25215"/>
    <cellStyle name="40% - Accent4 3 5 2 4 2" xfId="27520"/>
    <cellStyle name="40% - Accent4 3 5 2 4 2 2" xfId="49765"/>
    <cellStyle name="40% - Accent4 3 5 2 4 3" xfId="47460"/>
    <cellStyle name="40% - Accent4 3 5 2 5" xfId="26181"/>
    <cellStyle name="40% - Accent4 3 5 2 5 2" xfId="48426"/>
    <cellStyle name="40% - Accent4 3 5 2 6" xfId="46236"/>
    <cellStyle name="40% - Accent4 3 5 3" xfId="24141"/>
    <cellStyle name="40% - Accent4 3 5 3 2" xfId="24805"/>
    <cellStyle name="40% - Accent4 3 5 3 2 2" xfId="27018"/>
    <cellStyle name="40% - Accent4 3 5 3 2 2 2" xfId="49263"/>
    <cellStyle name="40% - Accent4 3 5 3 2 3" xfId="47050"/>
    <cellStyle name="40% - Accent4 3 5 3 3" xfId="25383"/>
    <cellStyle name="40% - Accent4 3 5 3 3 2" xfId="27688"/>
    <cellStyle name="40% - Accent4 3 5 3 3 2 2" xfId="49933"/>
    <cellStyle name="40% - Accent4 3 5 3 3 3" xfId="47628"/>
    <cellStyle name="40% - Accent4 3 5 3 4" xfId="26345"/>
    <cellStyle name="40% - Accent4 3 5 3 4 2" xfId="48590"/>
    <cellStyle name="40% - Accent4 3 5 3 5" xfId="46387"/>
    <cellStyle name="40% - Accent4 3 5 4" xfId="24473"/>
    <cellStyle name="40% - Accent4 3 5 4 2" xfId="26686"/>
    <cellStyle name="40% - Accent4 3 5 4 2 2" xfId="48931"/>
    <cellStyle name="40% - Accent4 3 5 4 3" xfId="46718"/>
    <cellStyle name="40% - Accent4 3 5 5" xfId="25053"/>
    <cellStyle name="40% - Accent4 3 5 5 2" xfId="27352"/>
    <cellStyle name="40% - Accent4 3 5 5 2 2" xfId="49597"/>
    <cellStyle name="40% - Accent4 3 5 5 3" xfId="47298"/>
    <cellStyle name="40% - Accent4 3 5 6" xfId="23843"/>
    <cellStyle name="40% - Accent4 3 5 6 2" xfId="26034"/>
    <cellStyle name="40% - Accent4 3 5 6 2 2" xfId="48279"/>
    <cellStyle name="40% - Accent4 3 5 6 3" xfId="46089"/>
    <cellStyle name="40% - Accent4 3 6" xfId="3160"/>
    <cellStyle name="40% - Accent4 3 6 2" xfId="6870"/>
    <cellStyle name="40% - Accent4 3 6 2 2" xfId="10202"/>
    <cellStyle name="40% - Accent4 3 6 2 2 2" xfId="16906"/>
    <cellStyle name="40% - Accent4 3 6 2 2 2 2" xfId="27060"/>
    <cellStyle name="40% - Accent4 3 6 2 2 2 2 2" xfId="49305"/>
    <cellStyle name="40% - Accent4 3 6 2 2 2 3" xfId="40327"/>
    <cellStyle name="40% - Accent4 3 6 2 2 3" xfId="24847"/>
    <cellStyle name="40% - Accent4 3 6 2 2 3 2" xfId="47092"/>
    <cellStyle name="40% - Accent4 3 6 2 2 4" xfId="33695"/>
    <cellStyle name="40% - Accent4 3 6 2 3" xfId="13590"/>
    <cellStyle name="40% - Accent4 3 6 2 3 2" xfId="27730"/>
    <cellStyle name="40% - Accent4 3 6 2 3 2 2" xfId="49975"/>
    <cellStyle name="40% - Accent4 3 6 2 3 3" xfId="25425"/>
    <cellStyle name="40% - Accent4 3 6 2 3 3 2" xfId="47670"/>
    <cellStyle name="40% - Accent4 3 6 2 3 4" xfId="37011"/>
    <cellStyle name="40% - Accent4 3 6 2 4" xfId="26387"/>
    <cellStyle name="40% - Accent4 3 6 2 4 2" xfId="48632"/>
    <cellStyle name="40% - Accent4 3 6 2 5" xfId="24183"/>
    <cellStyle name="40% - Accent4 3 6 2 5 2" xfId="46429"/>
    <cellStyle name="40% - Accent4 3 6 2 6" xfId="30379"/>
    <cellStyle name="40% - Accent4 3 6 3" xfId="8536"/>
    <cellStyle name="40% - Accent4 3 6 3 2" xfId="15248"/>
    <cellStyle name="40% - Accent4 3 6 3 2 2" xfId="26728"/>
    <cellStyle name="40% - Accent4 3 6 3 2 2 2" xfId="48973"/>
    <cellStyle name="40% - Accent4 3 6 3 2 3" xfId="38669"/>
    <cellStyle name="40% - Accent4 3 6 3 3" xfId="24515"/>
    <cellStyle name="40% - Accent4 3 6 3 3 2" xfId="46760"/>
    <cellStyle name="40% - Accent4 3 6 3 4" xfId="32037"/>
    <cellStyle name="40% - Accent4 3 6 4" xfId="11930"/>
    <cellStyle name="40% - Accent4 3 6 4 2" xfId="27394"/>
    <cellStyle name="40% - Accent4 3 6 4 2 2" xfId="49639"/>
    <cellStyle name="40% - Accent4 3 6 4 3" xfId="25089"/>
    <cellStyle name="40% - Accent4 3 6 4 3 2" xfId="47334"/>
    <cellStyle name="40% - Accent4 3 6 4 4" xfId="35353"/>
    <cellStyle name="40% - Accent4 3 6 5" xfId="25725"/>
    <cellStyle name="40% - Accent4 3 6 5 2" xfId="47970"/>
    <cellStyle name="40% - Accent4 3 6 6" xfId="23798"/>
    <cellStyle name="40% - Accent4 3 6 6 2" xfId="46063"/>
    <cellStyle name="40% - Accent4 3 6 7" xfId="28721"/>
    <cellStyle name="40% - Accent4 3 7" xfId="23379"/>
    <cellStyle name="40% - Accent4 3 7 2" xfId="24681"/>
    <cellStyle name="40% - Accent4 3 7 2 2" xfId="26894"/>
    <cellStyle name="40% - Accent4 3 7 2 2 2" xfId="49139"/>
    <cellStyle name="40% - Accent4 3 7 2 3" xfId="46926"/>
    <cellStyle name="40% - Accent4 3 7 3" xfId="25257"/>
    <cellStyle name="40% - Accent4 3 7 3 2" xfId="27562"/>
    <cellStyle name="40% - Accent4 3 7 3 2 2" xfId="49807"/>
    <cellStyle name="40% - Accent4 3 7 3 3" xfId="47502"/>
    <cellStyle name="40% - Accent4 3 7 4" xfId="26222"/>
    <cellStyle name="40% - Accent4 3 7 4 2" xfId="48467"/>
    <cellStyle name="40% - Accent4 3 7 5" xfId="45724"/>
    <cellStyle name="40% - Accent4 3 8" xfId="24359"/>
    <cellStyle name="40% - Accent4 3 8 2" xfId="26562"/>
    <cellStyle name="40% - Accent4 3 8 2 2" xfId="48807"/>
    <cellStyle name="40% - Accent4 3 8 3" xfId="46604"/>
    <cellStyle name="40% - Accent4 3 9" xfId="25013"/>
    <cellStyle name="40% - Accent4 3 9 2" xfId="27226"/>
    <cellStyle name="40% - Accent4 3 9 2 2" xfId="49471"/>
    <cellStyle name="40% - Accent4 3 9 3" xfId="47258"/>
    <cellStyle name="40% - Accent4 4" xfId="3158"/>
    <cellStyle name="40% - Accent4 4 2" xfId="25666"/>
    <cellStyle name="40% - Accent4 4 2 2" xfId="47911"/>
    <cellStyle name="40% - Accent4 5" xfId="7723"/>
    <cellStyle name="40% - Accent4 5 2" xfId="11052"/>
    <cellStyle name="40% - Accent4 5 2 2" xfId="17756"/>
    <cellStyle name="40% - Accent4 5 2 2 2" xfId="41177"/>
    <cellStyle name="40% - Accent4 5 2 3" xfId="34545"/>
    <cellStyle name="40% - Accent4 5 3" xfId="14440"/>
    <cellStyle name="40% - Accent4 5 3 2" xfId="37861"/>
    <cellStyle name="40% - Accent4 5 4" xfId="31229"/>
    <cellStyle name="40% - Accent4 6" xfId="9394"/>
    <cellStyle name="40% - Accent4 6 2" xfId="16098"/>
    <cellStyle name="40% - Accent4 6 2 2" xfId="39519"/>
    <cellStyle name="40% - Accent4 6 3" xfId="32887"/>
    <cellStyle name="40% - Accent4 7" xfId="12782"/>
    <cellStyle name="40% - Accent4 7 2" xfId="36203"/>
    <cellStyle name="40% - Accent4 8" xfId="23290"/>
    <cellStyle name="40% - Accent4 8 2" xfId="45662"/>
    <cellStyle name="40% - Accent4 9" xfId="29571"/>
    <cellStyle name="40% - Accent5" xfId="6057" builtinId="47" customBuiltin="1"/>
    <cellStyle name="40% - Accent5 2" xfId="207"/>
    <cellStyle name="40% - Accent5 2 2" xfId="208"/>
    <cellStyle name="40% - Accent5 2 3" xfId="5075"/>
    <cellStyle name="40% - Accent5 2 4" xfId="3168"/>
    <cellStyle name="40% - Accent5 3" xfId="1038"/>
    <cellStyle name="40% - Accent5 3 10" xfId="25731"/>
    <cellStyle name="40% - Accent5 3 10 2" xfId="47976"/>
    <cellStyle name="40% - Accent5 3 2" xfId="3170"/>
    <cellStyle name="40% - Accent5 3 2 10" xfId="28728"/>
    <cellStyle name="40% - Accent5 3 2 2" xfId="3171"/>
    <cellStyle name="40% - Accent5 3 2 2 2" xfId="6878"/>
    <cellStyle name="40% - Accent5 3 2 2 2 2" xfId="10210"/>
    <cellStyle name="40% - Accent5 3 2 2 2 2 2" xfId="16914"/>
    <cellStyle name="40% - Accent5 3 2 2 2 2 2 2" xfId="27165"/>
    <cellStyle name="40% - Accent5 3 2 2 2 2 2 2 2" xfId="49410"/>
    <cellStyle name="40% - Accent5 3 2 2 2 2 2 3" xfId="24952"/>
    <cellStyle name="40% - Accent5 3 2 2 2 2 2 3 2" xfId="47197"/>
    <cellStyle name="40% - Accent5 3 2 2 2 2 2 4" xfId="40335"/>
    <cellStyle name="40% - Accent5 3 2 2 2 2 3" xfId="25531"/>
    <cellStyle name="40% - Accent5 3 2 2 2 2 3 2" xfId="27836"/>
    <cellStyle name="40% - Accent5 3 2 2 2 2 3 2 2" xfId="50081"/>
    <cellStyle name="40% - Accent5 3 2 2 2 2 3 3" xfId="47776"/>
    <cellStyle name="40% - Accent5 3 2 2 2 2 4" xfId="26491"/>
    <cellStyle name="40% - Accent5 3 2 2 2 2 4 2" xfId="48736"/>
    <cellStyle name="40% - Accent5 3 2 2 2 2 5" xfId="24287"/>
    <cellStyle name="40% - Accent5 3 2 2 2 2 5 2" xfId="46533"/>
    <cellStyle name="40% - Accent5 3 2 2 2 2 6" xfId="33703"/>
    <cellStyle name="40% - Accent5 3 2 2 2 3" xfId="13598"/>
    <cellStyle name="40% - Accent5 3 2 2 2 3 2" xfId="26833"/>
    <cellStyle name="40% - Accent5 3 2 2 2 3 2 2" xfId="49078"/>
    <cellStyle name="40% - Accent5 3 2 2 2 3 3" xfId="24620"/>
    <cellStyle name="40% - Accent5 3 2 2 2 3 3 2" xfId="46865"/>
    <cellStyle name="40% - Accent5 3 2 2 2 3 4" xfId="37019"/>
    <cellStyle name="40% - Accent5 3 2 2 2 4" xfId="25195"/>
    <cellStyle name="40% - Accent5 3 2 2 2 4 2" xfId="27500"/>
    <cellStyle name="40% - Accent5 3 2 2 2 4 2 2" xfId="49745"/>
    <cellStyle name="40% - Accent5 3 2 2 2 4 3" xfId="47440"/>
    <cellStyle name="40% - Accent5 3 2 2 2 5" xfId="26162"/>
    <cellStyle name="40% - Accent5 3 2 2 2 5 2" xfId="48407"/>
    <cellStyle name="40% - Accent5 3 2 2 2 6" xfId="23971"/>
    <cellStyle name="40% - Accent5 3 2 2 2 6 2" xfId="46217"/>
    <cellStyle name="40% - Accent5 3 2 2 2 7" xfId="30387"/>
    <cellStyle name="40% - Accent5 3 2 2 3" xfId="8544"/>
    <cellStyle name="40% - Accent5 3 2 2 3 2" xfId="15256"/>
    <cellStyle name="40% - Accent5 3 2 2 3 2 2" xfId="26999"/>
    <cellStyle name="40% - Accent5 3 2 2 3 2 2 2" xfId="49244"/>
    <cellStyle name="40% - Accent5 3 2 2 3 2 3" xfId="24786"/>
    <cellStyle name="40% - Accent5 3 2 2 3 2 3 2" xfId="47031"/>
    <cellStyle name="40% - Accent5 3 2 2 3 2 4" xfId="38677"/>
    <cellStyle name="40% - Accent5 3 2 2 3 3" xfId="25363"/>
    <cellStyle name="40% - Accent5 3 2 2 3 3 2" xfId="27668"/>
    <cellStyle name="40% - Accent5 3 2 2 3 3 2 2" xfId="49913"/>
    <cellStyle name="40% - Accent5 3 2 2 3 3 3" xfId="47608"/>
    <cellStyle name="40% - Accent5 3 2 2 3 4" xfId="26326"/>
    <cellStyle name="40% - Accent5 3 2 2 3 4 2" xfId="48571"/>
    <cellStyle name="40% - Accent5 3 2 2 3 5" xfId="24122"/>
    <cellStyle name="40% - Accent5 3 2 2 3 5 2" xfId="46368"/>
    <cellStyle name="40% - Accent5 3 2 2 3 6" xfId="32045"/>
    <cellStyle name="40% - Accent5 3 2 2 4" xfId="11938"/>
    <cellStyle name="40% - Accent5 3 2 2 4 2" xfId="26667"/>
    <cellStyle name="40% - Accent5 3 2 2 4 2 2" xfId="48912"/>
    <cellStyle name="40% - Accent5 3 2 2 4 3" xfId="24454"/>
    <cellStyle name="40% - Accent5 3 2 2 4 3 2" xfId="46699"/>
    <cellStyle name="40% - Accent5 3 2 2 4 4" xfId="35361"/>
    <cellStyle name="40% - Accent5 3 2 2 5" xfId="23234"/>
    <cellStyle name="40% - Accent5 3 2 2 5 2" xfId="27332"/>
    <cellStyle name="40% - Accent5 3 2 2 5 2 2" xfId="49577"/>
    <cellStyle name="40% - Accent5 3 2 2 5 3" xfId="45634"/>
    <cellStyle name="40% - Accent5 3 2 2 6" xfId="25733"/>
    <cellStyle name="40% - Accent5 3 2 2 6 2" xfId="47978"/>
    <cellStyle name="40% - Accent5 3 2 2 7" xfId="28729"/>
    <cellStyle name="40% - Accent5 3 2 3" xfId="3172"/>
    <cellStyle name="40% - Accent5 3 2 3 2" xfId="6879"/>
    <cellStyle name="40% - Accent5 3 2 3 2 2" xfId="10211"/>
    <cellStyle name="40% - Accent5 3 2 3 2 2 2" xfId="16915"/>
    <cellStyle name="40% - Accent5 3 2 3 2 2 2 2" xfId="27124"/>
    <cellStyle name="40% - Accent5 3 2 3 2 2 2 2 2" xfId="49369"/>
    <cellStyle name="40% - Accent5 3 2 3 2 2 2 3" xfId="24911"/>
    <cellStyle name="40% - Accent5 3 2 3 2 2 2 3 2" xfId="47156"/>
    <cellStyle name="40% - Accent5 3 2 3 2 2 2 4" xfId="40336"/>
    <cellStyle name="40% - Accent5 3 2 3 2 2 3" xfId="25489"/>
    <cellStyle name="40% - Accent5 3 2 3 2 2 3 2" xfId="27794"/>
    <cellStyle name="40% - Accent5 3 2 3 2 2 3 2 2" xfId="50039"/>
    <cellStyle name="40% - Accent5 3 2 3 2 2 3 3" xfId="47734"/>
    <cellStyle name="40% - Accent5 3 2 3 2 2 4" xfId="26451"/>
    <cellStyle name="40% - Accent5 3 2 3 2 2 4 2" xfId="48696"/>
    <cellStyle name="40% - Accent5 3 2 3 2 2 5" xfId="24247"/>
    <cellStyle name="40% - Accent5 3 2 3 2 2 5 2" xfId="46493"/>
    <cellStyle name="40% - Accent5 3 2 3 2 2 6" xfId="33704"/>
    <cellStyle name="40% - Accent5 3 2 3 2 3" xfId="13599"/>
    <cellStyle name="40% - Accent5 3 2 3 2 3 2" xfId="26792"/>
    <cellStyle name="40% - Accent5 3 2 3 2 3 2 2" xfId="49037"/>
    <cellStyle name="40% - Accent5 3 2 3 2 3 3" xfId="24579"/>
    <cellStyle name="40% - Accent5 3 2 3 2 3 3 2" xfId="46824"/>
    <cellStyle name="40% - Accent5 3 2 3 2 3 4" xfId="37020"/>
    <cellStyle name="40% - Accent5 3 2 3 2 4" xfId="25153"/>
    <cellStyle name="40% - Accent5 3 2 3 2 4 2" xfId="27458"/>
    <cellStyle name="40% - Accent5 3 2 3 2 4 2 2" xfId="49703"/>
    <cellStyle name="40% - Accent5 3 2 3 2 4 3" xfId="47398"/>
    <cellStyle name="40% - Accent5 3 2 3 2 5" xfId="26122"/>
    <cellStyle name="40% - Accent5 3 2 3 2 5 2" xfId="48367"/>
    <cellStyle name="40% - Accent5 3 2 3 2 6" xfId="23931"/>
    <cellStyle name="40% - Accent5 3 2 3 2 6 2" xfId="46177"/>
    <cellStyle name="40% - Accent5 3 2 3 2 7" xfId="30388"/>
    <cellStyle name="40% - Accent5 3 2 3 3" xfId="8545"/>
    <cellStyle name="40% - Accent5 3 2 3 3 2" xfId="15257"/>
    <cellStyle name="40% - Accent5 3 2 3 3 2 2" xfId="26958"/>
    <cellStyle name="40% - Accent5 3 2 3 3 2 2 2" xfId="49203"/>
    <cellStyle name="40% - Accent5 3 2 3 3 2 3" xfId="24745"/>
    <cellStyle name="40% - Accent5 3 2 3 3 2 3 2" xfId="46990"/>
    <cellStyle name="40% - Accent5 3 2 3 3 2 4" xfId="38678"/>
    <cellStyle name="40% - Accent5 3 2 3 3 3" xfId="25321"/>
    <cellStyle name="40% - Accent5 3 2 3 3 3 2" xfId="27626"/>
    <cellStyle name="40% - Accent5 3 2 3 3 3 2 2" xfId="49871"/>
    <cellStyle name="40% - Accent5 3 2 3 3 3 3" xfId="47566"/>
    <cellStyle name="40% - Accent5 3 2 3 3 4" xfId="26286"/>
    <cellStyle name="40% - Accent5 3 2 3 3 4 2" xfId="48531"/>
    <cellStyle name="40% - Accent5 3 2 3 3 5" xfId="24082"/>
    <cellStyle name="40% - Accent5 3 2 3 3 5 2" xfId="46328"/>
    <cellStyle name="40% - Accent5 3 2 3 3 6" xfId="32046"/>
    <cellStyle name="40% - Accent5 3 2 3 4" xfId="11939"/>
    <cellStyle name="40% - Accent5 3 2 3 4 2" xfId="26626"/>
    <cellStyle name="40% - Accent5 3 2 3 4 2 2" xfId="48871"/>
    <cellStyle name="40% - Accent5 3 2 3 4 3" xfId="24413"/>
    <cellStyle name="40% - Accent5 3 2 3 4 3 2" xfId="46658"/>
    <cellStyle name="40% - Accent5 3 2 3 4 4" xfId="35362"/>
    <cellStyle name="40% - Accent5 3 2 3 5" xfId="23233"/>
    <cellStyle name="40% - Accent5 3 2 3 5 2" xfId="27290"/>
    <cellStyle name="40% - Accent5 3 2 3 5 2 2" xfId="49535"/>
    <cellStyle name="40% - Accent5 3 2 3 5 3" xfId="45633"/>
    <cellStyle name="40% - Accent5 3 2 3 6" xfId="25734"/>
    <cellStyle name="40% - Accent5 3 2 3 6 2" xfId="47979"/>
    <cellStyle name="40% - Accent5 3 2 3 7" xfId="28730"/>
    <cellStyle name="40% - Accent5 3 2 4" xfId="6877"/>
    <cellStyle name="40% - Accent5 3 2 4 2" xfId="10209"/>
    <cellStyle name="40% - Accent5 3 2 4 2 2" xfId="16913"/>
    <cellStyle name="40% - Accent5 3 2 4 2 2 2" xfId="24993"/>
    <cellStyle name="40% - Accent5 3 2 4 2 2 2 2" xfId="27206"/>
    <cellStyle name="40% - Accent5 3 2 4 2 2 2 2 2" xfId="49451"/>
    <cellStyle name="40% - Accent5 3 2 4 2 2 2 3" xfId="47238"/>
    <cellStyle name="40% - Accent5 3 2 4 2 2 3" xfId="25573"/>
    <cellStyle name="40% - Accent5 3 2 4 2 2 3 2" xfId="27878"/>
    <cellStyle name="40% - Accent5 3 2 4 2 2 3 2 2" xfId="50123"/>
    <cellStyle name="40% - Accent5 3 2 4 2 2 3 3" xfId="47818"/>
    <cellStyle name="40% - Accent5 3 2 4 2 2 4" xfId="26532"/>
    <cellStyle name="40% - Accent5 3 2 4 2 2 4 2" xfId="48777"/>
    <cellStyle name="40% - Accent5 3 2 4 2 2 5" xfId="24328"/>
    <cellStyle name="40% - Accent5 3 2 4 2 2 5 2" xfId="46574"/>
    <cellStyle name="40% - Accent5 3 2 4 2 2 6" xfId="40334"/>
    <cellStyle name="40% - Accent5 3 2 4 2 3" xfId="24661"/>
    <cellStyle name="40% - Accent5 3 2 4 2 3 2" xfId="26874"/>
    <cellStyle name="40% - Accent5 3 2 4 2 3 2 2" xfId="49119"/>
    <cellStyle name="40% - Accent5 3 2 4 2 3 3" xfId="46906"/>
    <cellStyle name="40% - Accent5 3 2 4 2 4" xfId="25237"/>
    <cellStyle name="40% - Accent5 3 2 4 2 4 2" xfId="27542"/>
    <cellStyle name="40% - Accent5 3 2 4 2 4 2 2" xfId="49787"/>
    <cellStyle name="40% - Accent5 3 2 4 2 4 3" xfId="47482"/>
    <cellStyle name="40% - Accent5 3 2 4 2 5" xfId="26203"/>
    <cellStyle name="40% - Accent5 3 2 4 2 5 2" xfId="48448"/>
    <cellStyle name="40% - Accent5 3 2 4 2 6" xfId="24012"/>
    <cellStyle name="40% - Accent5 3 2 4 2 6 2" xfId="46258"/>
    <cellStyle name="40% - Accent5 3 2 4 2 7" xfId="33702"/>
    <cellStyle name="40% - Accent5 3 2 4 3" xfId="13597"/>
    <cellStyle name="40% - Accent5 3 2 4 3 2" xfId="24827"/>
    <cellStyle name="40% - Accent5 3 2 4 3 2 2" xfId="27040"/>
    <cellStyle name="40% - Accent5 3 2 4 3 2 2 2" xfId="49285"/>
    <cellStyle name="40% - Accent5 3 2 4 3 2 3" xfId="47072"/>
    <cellStyle name="40% - Accent5 3 2 4 3 3" xfId="25405"/>
    <cellStyle name="40% - Accent5 3 2 4 3 3 2" xfId="27710"/>
    <cellStyle name="40% - Accent5 3 2 4 3 3 2 2" xfId="49955"/>
    <cellStyle name="40% - Accent5 3 2 4 3 3 3" xfId="47650"/>
    <cellStyle name="40% - Accent5 3 2 4 3 4" xfId="26367"/>
    <cellStyle name="40% - Accent5 3 2 4 3 4 2" xfId="48612"/>
    <cellStyle name="40% - Accent5 3 2 4 3 5" xfId="24163"/>
    <cellStyle name="40% - Accent5 3 2 4 3 5 2" xfId="46409"/>
    <cellStyle name="40% - Accent5 3 2 4 3 6" xfId="37018"/>
    <cellStyle name="40% - Accent5 3 2 4 4" xfId="24495"/>
    <cellStyle name="40% - Accent5 3 2 4 4 2" xfId="26708"/>
    <cellStyle name="40% - Accent5 3 2 4 4 2 2" xfId="48953"/>
    <cellStyle name="40% - Accent5 3 2 4 4 3" xfId="46740"/>
    <cellStyle name="40% - Accent5 3 2 4 5" xfId="25069"/>
    <cellStyle name="40% - Accent5 3 2 4 5 2" xfId="27374"/>
    <cellStyle name="40% - Accent5 3 2 4 5 2 2" xfId="49619"/>
    <cellStyle name="40% - Accent5 3 2 4 5 3" xfId="47314"/>
    <cellStyle name="40% - Accent5 3 2 4 6" xfId="26050"/>
    <cellStyle name="40% - Accent5 3 2 4 6 2" xfId="48295"/>
    <cellStyle name="40% - Accent5 3 2 4 7" xfId="23859"/>
    <cellStyle name="40% - Accent5 3 2 4 7 2" xfId="46105"/>
    <cellStyle name="40% - Accent5 3 2 4 8" xfId="30386"/>
    <cellStyle name="40% - Accent5 3 2 5" xfId="8543"/>
    <cellStyle name="40% - Accent5 3 2 5 2" xfId="15255"/>
    <cellStyle name="40% - Accent5 3 2 5 2 2" xfId="24869"/>
    <cellStyle name="40% - Accent5 3 2 5 2 2 2" xfId="27082"/>
    <cellStyle name="40% - Accent5 3 2 5 2 2 2 2" xfId="49327"/>
    <cellStyle name="40% - Accent5 3 2 5 2 2 3" xfId="47114"/>
    <cellStyle name="40% - Accent5 3 2 5 2 3" xfId="25447"/>
    <cellStyle name="40% - Accent5 3 2 5 2 3 2" xfId="27752"/>
    <cellStyle name="40% - Accent5 3 2 5 2 3 2 2" xfId="49997"/>
    <cellStyle name="40% - Accent5 3 2 5 2 3 3" xfId="47692"/>
    <cellStyle name="40% - Accent5 3 2 5 2 4" xfId="26409"/>
    <cellStyle name="40% - Accent5 3 2 5 2 4 2" xfId="48654"/>
    <cellStyle name="40% - Accent5 3 2 5 2 5" xfId="24205"/>
    <cellStyle name="40% - Accent5 3 2 5 2 5 2" xfId="46451"/>
    <cellStyle name="40% - Accent5 3 2 5 2 6" xfId="38676"/>
    <cellStyle name="40% - Accent5 3 2 5 3" xfId="24537"/>
    <cellStyle name="40% - Accent5 3 2 5 3 2" xfId="26750"/>
    <cellStyle name="40% - Accent5 3 2 5 3 2 2" xfId="48995"/>
    <cellStyle name="40% - Accent5 3 2 5 3 3" xfId="46782"/>
    <cellStyle name="40% - Accent5 3 2 5 4" xfId="25111"/>
    <cellStyle name="40% - Accent5 3 2 5 4 2" xfId="27416"/>
    <cellStyle name="40% - Accent5 3 2 5 4 2 2" xfId="49661"/>
    <cellStyle name="40% - Accent5 3 2 5 4 3" xfId="47356"/>
    <cellStyle name="40% - Accent5 3 2 5 5" xfId="26082"/>
    <cellStyle name="40% - Accent5 3 2 5 5 2" xfId="48327"/>
    <cellStyle name="40% - Accent5 3 2 5 6" xfId="23891"/>
    <cellStyle name="40% - Accent5 3 2 5 6 2" xfId="46137"/>
    <cellStyle name="40% - Accent5 3 2 5 7" xfId="32044"/>
    <cellStyle name="40% - Accent5 3 2 6" xfId="11937"/>
    <cellStyle name="40% - Accent5 3 2 6 2" xfId="24703"/>
    <cellStyle name="40% - Accent5 3 2 6 2 2" xfId="26916"/>
    <cellStyle name="40% - Accent5 3 2 6 2 2 2" xfId="49161"/>
    <cellStyle name="40% - Accent5 3 2 6 2 3" xfId="46948"/>
    <cellStyle name="40% - Accent5 3 2 6 3" xfId="25279"/>
    <cellStyle name="40% - Accent5 3 2 6 3 2" xfId="27584"/>
    <cellStyle name="40% - Accent5 3 2 6 3 2 2" xfId="49829"/>
    <cellStyle name="40% - Accent5 3 2 6 3 3" xfId="47524"/>
    <cellStyle name="40% - Accent5 3 2 6 4" xfId="26244"/>
    <cellStyle name="40% - Accent5 3 2 6 4 2" xfId="48489"/>
    <cellStyle name="40% - Accent5 3 2 6 5" xfId="24040"/>
    <cellStyle name="40% - Accent5 3 2 6 5 2" xfId="46286"/>
    <cellStyle name="40% - Accent5 3 2 6 6" xfId="35360"/>
    <cellStyle name="40% - Accent5 3 2 7" xfId="23375"/>
    <cellStyle name="40% - Accent5 3 2 7 2" xfId="26584"/>
    <cellStyle name="40% - Accent5 3 2 7 2 2" xfId="48829"/>
    <cellStyle name="40% - Accent5 3 2 7 3" xfId="45720"/>
    <cellStyle name="40% - Accent5 3 2 8" xfId="25035"/>
    <cellStyle name="40% - Accent5 3 2 8 2" xfId="27248"/>
    <cellStyle name="40% - Accent5 3 2 8 2 2" xfId="49493"/>
    <cellStyle name="40% - Accent5 3 2 8 3" xfId="47280"/>
    <cellStyle name="40% - Accent5 3 2 9" xfId="25732"/>
    <cellStyle name="40% - Accent5 3 2 9 2" xfId="47977"/>
    <cellStyle name="40% - Accent5 3 3" xfId="3173"/>
    <cellStyle name="40% - Accent5 3 3 2" xfId="6880"/>
    <cellStyle name="40% - Accent5 3 3 2 2" xfId="10212"/>
    <cellStyle name="40% - Accent5 3 3 2 2 2" xfId="16916"/>
    <cellStyle name="40% - Accent5 3 3 2 2 2 2" xfId="27145"/>
    <cellStyle name="40% - Accent5 3 3 2 2 2 2 2" xfId="49390"/>
    <cellStyle name="40% - Accent5 3 3 2 2 2 3" xfId="24932"/>
    <cellStyle name="40% - Accent5 3 3 2 2 2 3 2" xfId="47177"/>
    <cellStyle name="40% - Accent5 3 3 2 2 2 4" xfId="40337"/>
    <cellStyle name="40% - Accent5 3 3 2 2 3" xfId="25510"/>
    <cellStyle name="40% - Accent5 3 3 2 2 3 2" xfId="27815"/>
    <cellStyle name="40% - Accent5 3 3 2 2 3 2 2" xfId="50060"/>
    <cellStyle name="40% - Accent5 3 3 2 2 3 3" xfId="47755"/>
    <cellStyle name="40% - Accent5 3 3 2 2 4" xfId="26471"/>
    <cellStyle name="40% - Accent5 3 3 2 2 4 2" xfId="48716"/>
    <cellStyle name="40% - Accent5 3 3 2 2 5" xfId="24267"/>
    <cellStyle name="40% - Accent5 3 3 2 2 5 2" xfId="46513"/>
    <cellStyle name="40% - Accent5 3 3 2 2 6" xfId="33705"/>
    <cellStyle name="40% - Accent5 3 3 2 3" xfId="13600"/>
    <cellStyle name="40% - Accent5 3 3 2 3 2" xfId="26813"/>
    <cellStyle name="40% - Accent5 3 3 2 3 2 2" xfId="49058"/>
    <cellStyle name="40% - Accent5 3 3 2 3 3" xfId="24600"/>
    <cellStyle name="40% - Accent5 3 3 2 3 3 2" xfId="46845"/>
    <cellStyle name="40% - Accent5 3 3 2 3 4" xfId="37021"/>
    <cellStyle name="40% - Accent5 3 3 2 4" xfId="25174"/>
    <cellStyle name="40% - Accent5 3 3 2 4 2" xfId="27479"/>
    <cellStyle name="40% - Accent5 3 3 2 4 2 2" xfId="49724"/>
    <cellStyle name="40% - Accent5 3 3 2 4 3" xfId="47419"/>
    <cellStyle name="40% - Accent5 3 3 2 5" xfId="26142"/>
    <cellStyle name="40% - Accent5 3 3 2 5 2" xfId="48387"/>
    <cellStyle name="40% - Accent5 3 3 2 6" xfId="23951"/>
    <cellStyle name="40% - Accent5 3 3 2 6 2" xfId="46197"/>
    <cellStyle name="40% - Accent5 3 3 2 7" xfId="30389"/>
    <cellStyle name="40% - Accent5 3 3 3" xfId="8546"/>
    <cellStyle name="40% - Accent5 3 3 3 2" xfId="15258"/>
    <cellStyle name="40% - Accent5 3 3 3 2 2" xfId="26979"/>
    <cellStyle name="40% - Accent5 3 3 3 2 2 2" xfId="49224"/>
    <cellStyle name="40% - Accent5 3 3 3 2 3" xfId="24766"/>
    <cellStyle name="40% - Accent5 3 3 3 2 3 2" xfId="47011"/>
    <cellStyle name="40% - Accent5 3 3 3 2 4" xfId="38679"/>
    <cellStyle name="40% - Accent5 3 3 3 3" xfId="25342"/>
    <cellStyle name="40% - Accent5 3 3 3 3 2" xfId="27647"/>
    <cellStyle name="40% - Accent5 3 3 3 3 2 2" xfId="49892"/>
    <cellStyle name="40% - Accent5 3 3 3 3 3" xfId="47587"/>
    <cellStyle name="40% - Accent5 3 3 3 4" xfId="26306"/>
    <cellStyle name="40% - Accent5 3 3 3 4 2" xfId="48551"/>
    <cellStyle name="40% - Accent5 3 3 3 5" xfId="24102"/>
    <cellStyle name="40% - Accent5 3 3 3 5 2" xfId="46348"/>
    <cellStyle name="40% - Accent5 3 3 3 6" xfId="32047"/>
    <cellStyle name="40% - Accent5 3 3 4" xfId="11940"/>
    <cellStyle name="40% - Accent5 3 3 4 2" xfId="26647"/>
    <cellStyle name="40% - Accent5 3 3 4 2 2" xfId="48892"/>
    <cellStyle name="40% - Accent5 3 3 4 3" xfId="24434"/>
    <cellStyle name="40% - Accent5 3 3 4 3 2" xfId="46679"/>
    <cellStyle name="40% - Accent5 3 3 4 4" xfId="35363"/>
    <cellStyle name="40% - Accent5 3 3 5" xfId="23373"/>
    <cellStyle name="40% - Accent5 3 3 5 2" xfId="27311"/>
    <cellStyle name="40% - Accent5 3 3 5 2 2" xfId="49556"/>
    <cellStyle name="40% - Accent5 3 3 5 3" xfId="45718"/>
    <cellStyle name="40% - Accent5 3 3 6" xfId="25735"/>
    <cellStyle name="40% - Accent5 3 3 6 2" xfId="47980"/>
    <cellStyle name="40% - Accent5 3 3 7" xfId="28731"/>
    <cellStyle name="40% - Accent5 3 4" xfId="3174"/>
    <cellStyle name="40% - Accent5 3 4 2" xfId="6881"/>
    <cellStyle name="40% - Accent5 3 4 2 2" xfId="10213"/>
    <cellStyle name="40% - Accent5 3 4 2 2 2" xfId="16917"/>
    <cellStyle name="40% - Accent5 3 4 2 2 2 2" xfId="27103"/>
    <cellStyle name="40% - Accent5 3 4 2 2 2 2 2" xfId="49348"/>
    <cellStyle name="40% - Accent5 3 4 2 2 2 3" xfId="24890"/>
    <cellStyle name="40% - Accent5 3 4 2 2 2 3 2" xfId="47135"/>
    <cellStyle name="40% - Accent5 3 4 2 2 2 4" xfId="40338"/>
    <cellStyle name="40% - Accent5 3 4 2 2 3" xfId="25468"/>
    <cellStyle name="40% - Accent5 3 4 2 2 3 2" xfId="27773"/>
    <cellStyle name="40% - Accent5 3 4 2 2 3 2 2" xfId="50018"/>
    <cellStyle name="40% - Accent5 3 4 2 2 3 3" xfId="47713"/>
    <cellStyle name="40% - Accent5 3 4 2 2 4" xfId="26430"/>
    <cellStyle name="40% - Accent5 3 4 2 2 4 2" xfId="48675"/>
    <cellStyle name="40% - Accent5 3 4 2 2 5" xfId="24226"/>
    <cellStyle name="40% - Accent5 3 4 2 2 5 2" xfId="46472"/>
    <cellStyle name="40% - Accent5 3 4 2 2 6" xfId="33706"/>
    <cellStyle name="40% - Accent5 3 4 2 3" xfId="13601"/>
    <cellStyle name="40% - Accent5 3 4 2 3 2" xfId="26771"/>
    <cellStyle name="40% - Accent5 3 4 2 3 2 2" xfId="49016"/>
    <cellStyle name="40% - Accent5 3 4 2 3 3" xfId="24558"/>
    <cellStyle name="40% - Accent5 3 4 2 3 3 2" xfId="46803"/>
    <cellStyle name="40% - Accent5 3 4 2 3 4" xfId="37022"/>
    <cellStyle name="40% - Accent5 3 4 2 4" xfId="25132"/>
    <cellStyle name="40% - Accent5 3 4 2 4 2" xfId="27437"/>
    <cellStyle name="40% - Accent5 3 4 2 4 2 2" xfId="49682"/>
    <cellStyle name="40% - Accent5 3 4 2 4 3" xfId="47377"/>
    <cellStyle name="40% - Accent5 3 4 2 5" xfId="26102"/>
    <cellStyle name="40% - Accent5 3 4 2 5 2" xfId="48347"/>
    <cellStyle name="40% - Accent5 3 4 2 6" xfId="23911"/>
    <cellStyle name="40% - Accent5 3 4 2 6 2" xfId="46157"/>
    <cellStyle name="40% - Accent5 3 4 2 7" xfId="30390"/>
    <cellStyle name="40% - Accent5 3 4 3" xfId="8547"/>
    <cellStyle name="40% - Accent5 3 4 3 2" xfId="15259"/>
    <cellStyle name="40% - Accent5 3 4 3 2 2" xfId="26937"/>
    <cellStyle name="40% - Accent5 3 4 3 2 2 2" xfId="49182"/>
    <cellStyle name="40% - Accent5 3 4 3 2 3" xfId="24724"/>
    <cellStyle name="40% - Accent5 3 4 3 2 3 2" xfId="46969"/>
    <cellStyle name="40% - Accent5 3 4 3 2 4" xfId="38680"/>
    <cellStyle name="40% - Accent5 3 4 3 3" xfId="25300"/>
    <cellStyle name="40% - Accent5 3 4 3 3 2" xfId="27605"/>
    <cellStyle name="40% - Accent5 3 4 3 3 2 2" xfId="49850"/>
    <cellStyle name="40% - Accent5 3 4 3 3 3" xfId="47545"/>
    <cellStyle name="40% - Accent5 3 4 3 4" xfId="26265"/>
    <cellStyle name="40% - Accent5 3 4 3 4 2" xfId="48510"/>
    <cellStyle name="40% - Accent5 3 4 3 5" xfId="24061"/>
    <cellStyle name="40% - Accent5 3 4 3 5 2" xfId="46307"/>
    <cellStyle name="40% - Accent5 3 4 3 6" xfId="32048"/>
    <cellStyle name="40% - Accent5 3 4 4" xfId="11941"/>
    <cellStyle name="40% - Accent5 3 4 4 2" xfId="26605"/>
    <cellStyle name="40% - Accent5 3 4 4 2 2" xfId="48850"/>
    <cellStyle name="40% - Accent5 3 4 4 3" xfId="24392"/>
    <cellStyle name="40% - Accent5 3 4 4 3 2" xfId="46637"/>
    <cellStyle name="40% - Accent5 3 4 4 4" xfId="35364"/>
    <cellStyle name="40% - Accent5 3 4 5" xfId="23374"/>
    <cellStyle name="40% - Accent5 3 4 5 2" xfId="27269"/>
    <cellStyle name="40% - Accent5 3 4 5 2 2" xfId="49514"/>
    <cellStyle name="40% - Accent5 3 4 5 3" xfId="45719"/>
    <cellStyle name="40% - Accent5 3 4 6" xfId="25736"/>
    <cellStyle name="40% - Accent5 3 4 6 2" xfId="47981"/>
    <cellStyle name="40% - Accent5 3 4 7" xfId="28732"/>
    <cellStyle name="40% - Accent5 3 5" xfId="3175"/>
    <cellStyle name="40% - Accent5 3 5 2" xfId="23991"/>
    <cellStyle name="40% - Accent5 3 5 2 2" xfId="24307"/>
    <cellStyle name="40% - Accent5 3 5 2 2 2" xfId="24972"/>
    <cellStyle name="40% - Accent5 3 5 2 2 2 2" xfId="27185"/>
    <cellStyle name="40% - Accent5 3 5 2 2 2 2 2" xfId="49430"/>
    <cellStyle name="40% - Accent5 3 5 2 2 2 3" xfId="47217"/>
    <cellStyle name="40% - Accent5 3 5 2 2 3" xfId="25552"/>
    <cellStyle name="40% - Accent5 3 5 2 2 3 2" xfId="27857"/>
    <cellStyle name="40% - Accent5 3 5 2 2 3 2 2" xfId="50102"/>
    <cellStyle name="40% - Accent5 3 5 2 2 3 3" xfId="47797"/>
    <cellStyle name="40% - Accent5 3 5 2 2 4" xfId="26511"/>
    <cellStyle name="40% - Accent5 3 5 2 2 4 2" xfId="48756"/>
    <cellStyle name="40% - Accent5 3 5 2 2 5" xfId="46553"/>
    <cellStyle name="40% - Accent5 3 5 2 3" xfId="24640"/>
    <cellStyle name="40% - Accent5 3 5 2 3 2" xfId="26853"/>
    <cellStyle name="40% - Accent5 3 5 2 3 2 2" xfId="49098"/>
    <cellStyle name="40% - Accent5 3 5 2 3 3" xfId="46885"/>
    <cellStyle name="40% - Accent5 3 5 2 4" xfId="25216"/>
    <cellStyle name="40% - Accent5 3 5 2 4 2" xfId="27521"/>
    <cellStyle name="40% - Accent5 3 5 2 4 2 2" xfId="49766"/>
    <cellStyle name="40% - Accent5 3 5 2 4 3" xfId="47461"/>
    <cellStyle name="40% - Accent5 3 5 2 5" xfId="26182"/>
    <cellStyle name="40% - Accent5 3 5 2 5 2" xfId="48427"/>
    <cellStyle name="40% - Accent5 3 5 2 6" xfId="46237"/>
    <cellStyle name="40% - Accent5 3 5 3" xfId="24142"/>
    <cellStyle name="40% - Accent5 3 5 3 2" xfId="24806"/>
    <cellStyle name="40% - Accent5 3 5 3 2 2" xfId="27019"/>
    <cellStyle name="40% - Accent5 3 5 3 2 2 2" xfId="49264"/>
    <cellStyle name="40% - Accent5 3 5 3 2 3" xfId="47051"/>
    <cellStyle name="40% - Accent5 3 5 3 3" xfId="25384"/>
    <cellStyle name="40% - Accent5 3 5 3 3 2" xfId="27689"/>
    <cellStyle name="40% - Accent5 3 5 3 3 2 2" xfId="49934"/>
    <cellStyle name="40% - Accent5 3 5 3 3 3" xfId="47629"/>
    <cellStyle name="40% - Accent5 3 5 3 4" xfId="26346"/>
    <cellStyle name="40% - Accent5 3 5 3 4 2" xfId="48591"/>
    <cellStyle name="40% - Accent5 3 5 3 5" xfId="46388"/>
    <cellStyle name="40% - Accent5 3 5 4" xfId="24474"/>
    <cellStyle name="40% - Accent5 3 5 4 2" xfId="26687"/>
    <cellStyle name="40% - Accent5 3 5 4 2 2" xfId="48932"/>
    <cellStyle name="40% - Accent5 3 5 4 3" xfId="46719"/>
    <cellStyle name="40% - Accent5 3 5 5" xfId="25054"/>
    <cellStyle name="40% - Accent5 3 5 5 2" xfId="27353"/>
    <cellStyle name="40% - Accent5 3 5 5 2 2" xfId="49598"/>
    <cellStyle name="40% - Accent5 3 5 5 3" xfId="47299"/>
    <cellStyle name="40% - Accent5 3 5 6" xfId="23844"/>
    <cellStyle name="40% - Accent5 3 5 6 2" xfId="26035"/>
    <cellStyle name="40% - Accent5 3 5 6 2 2" xfId="48280"/>
    <cellStyle name="40% - Accent5 3 5 6 3" xfId="46090"/>
    <cellStyle name="40% - Accent5 3 6" xfId="3169"/>
    <cellStyle name="40% - Accent5 3 6 2" xfId="6876"/>
    <cellStyle name="40% - Accent5 3 6 2 2" xfId="10208"/>
    <cellStyle name="40% - Accent5 3 6 2 2 2" xfId="16912"/>
    <cellStyle name="40% - Accent5 3 6 2 2 2 2" xfId="27061"/>
    <cellStyle name="40% - Accent5 3 6 2 2 2 2 2" xfId="49306"/>
    <cellStyle name="40% - Accent5 3 6 2 2 2 3" xfId="40333"/>
    <cellStyle name="40% - Accent5 3 6 2 2 3" xfId="24848"/>
    <cellStyle name="40% - Accent5 3 6 2 2 3 2" xfId="47093"/>
    <cellStyle name="40% - Accent5 3 6 2 2 4" xfId="33701"/>
    <cellStyle name="40% - Accent5 3 6 2 3" xfId="13596"/>
    <cellStyle name="40% - Accent5 3 6 2 3 2" xfId="27731"/>
    <cellStyle name="40% - Accent5 3 6 2 3 2 2" xfId="49976"/>
    <cellStyle name="40% - Accent5 3 6 2 3 3" xfId="25426"/>
    <cellStyle name="40% - Accent5 3 6 2 3 3 2" xfId="47671"/>
    <cellStyle name="40% - Accent5 3 6 2 3 4" xfId="37017"/>
    <cellStyle name="40% - Accent5 3 6 2 4" xfId="26388"/>
    <cellStyle name="40% - Accent5 3 6 2 4 2" xfId="48633"/>
    <cellStyle name="40% - Accent5 3 6 2 5" xfId="24184"/>
    <cellStyle name="40% - Accent5 3 6 2 5 2" xfId="46430"/>
    <cellStyle name="40% - Accent5 3 6 2 6" xfId="30385"/>
    <cellStyle name="40% - Accent5 3 6 3" xfId="8542"/>
    <cellStyle name="40% - Accent5 3 6 3 2" xfId="15254"/>
    <cellStyle name="40% - Accent5 3 6 3 2 2" xfId="26729"/>
    <cellStyle name="40% - Accent5 3 6 3 2 2 2" xfId="48974"/>
    <cellStyle name="40% - Accent5 3 6 3 2 3" xfId="38675"/>
    <cellStyle name="40% - Accent5 3 6 3 3" xfId="24516"/>
    <cellStyle name="40% - Accent5 3 6 3 3 2" xfId="46761"/>
    <cellStyle name="40% - Accent5 3 6 3 4" xfId="32043"/>
    <cellStyle name="40% - Accent5 3 6 4" xfId="11936"/>
    <cellStyle name="40% - Accent5 3 6 4 2" xfId="27395"/>
    <cellStyle name="40% - Accent5 3 6 4 2 2" xfId="49640"/>
    <cellStyle name="40% - Accent5 3 6 4 3" xfId="25090"/>
    <cellStyle name="40% - Accent5 3 6 4 3 2" xfId="47335"/>
    <cellStyle name="40% - Accent5 3 6 4 4" xfId="35359"/>
    <cellStyle name="40% - Accent5 3 6 5" xfId="26064"/>
    <cellStyle name="40% - Accent5 3 6 5 2" xfId="48309"/>
    <cellStyle name="40% - Accent5 3 6 6" xfId="23873"/>
    <cellStyle name="40% - Accent5 3 6 6 2" xfId="46119"/>
    <cellStyle name="40% - Accent5 3 6 7" xfId="28727"/>
    <cellStyle name="40% - Accent5 3 7" xfId="23292"/>
    <cellStyle name="40% - Accent5 3 7 2" xfId="24682"/>
    <cellStyle name="40% - Accent5 3 7 2 2" xfId="26895"/>
    <cellStyle name="40% - Accent5 3 7 2 2 2" xfId="49140"/>
    <cellStyle name="40% - Accent5 3 7 2 3" xfId="46927"/>
    <cellStyle name="40% - Accent5 3 7 3" xfId="25258"/>
    <cellStyle name="40% - Accent5 3 7 3 2" xfId="27563"/>
    <cellStyle name="40% - Accent5 3 7 3 2 2" xfId="49808"/>
    <cellStyle name="40% - Accent5 3 7 3 3" xfId="47503"/>
    <cellStyle name="40% - Accent5 3 7 4" xfId="26223"/>
    <cellStyle name="40% - Accent5 3 7 4 2" xfId="48468"/>
    <cellStyle name="40% - Accent5 3 7 5" xfId="45663"/>
    <cellStyle name="40% - Accent5 3 8" xfId="24360"/>
    <cellStyle name="40% - Accent5 3 8 2" xfId="26563"/>
    <cellStyle name="40% - Accent5 3 8 2 2" xfId="48808"/>
    <cellStyle name="40% - Accent5 3 8 3" xfId="46605"/>
    <cellStyle name="40% - Accent5 3 9" xfId="25014"/>
    <cellStyle name="40% - Accent5 3 9 2" xfId="27227"/>
    <cellStyle name="40% - Accent5 3 9 2 2" xfId="49472"/>
    <cellStyle name="40% - Accent5 3 9 3" xfId="47259"/>
    <cellStyle name="40% - Accent5 4" xfId="3167"/>
    <cellStyle name="40% - Accent5 4 2" xfId="25668"/>
    <cellStyle name="40% - Accent5 4 2 2" xfId="47913"/>
    <cellStyle name="40% - Accent5 5" xfId="7725"/>
    <cellStyle name="40% - Accent5 5 2" xfId="11054"/>
    <cellStyle name="40% - Accent5 5 2 2" xfId="17758"/>
    <cellStyle name="40% - Accent5 5 2 2 2" xfId="41179"/>
    <cellStyle name="40% - Accent5 5 2 3" xfId="34547"/>
    <cellStyle name="40% - Accent5 5 3" xfId="14442"/>
    <cellStyle name="40% - Accent5 5 3 2" xfId="37863"/>
    <cellStyle name="40% - Accent5 5 4" xfId="31231"/>
    <cellStyle name="40% - Accent5 6" xfId="9396"/>
    <cellStyle name="40% - Accent5 6 2" xfId="16100"/>
    <cellStyle name="40% - Accent5 6 2 2" xfId="39521"/>
    <cellStyle name="40% - Accent5 6 3" xfId="32889"/>
    <cellStyle name="40% - Accent5 7" xfId="12784"/>
    <cellStyle name="40% - Accent5 7 2" xfId="36205"/>
    <cellStyle name="40% - Accent5 8" xfId="23216"/>
    <cellStyle name="40% - Accent5 8 2" xfId="45625"/>
    <cellStyle name="40% - Accent5 9" xfId="29573"/>
    <cellStyle name="40% - Accent6" xfId="6059" builtinId="51" customBuiltin="1"/>
    <cellStyle name="40% - Accent6 2" xfId="209"/>
    <cellStyle name="40% - Accent6 2 2" xfId="210"/>
    <cellStyle name="40% - Accent6 2 3" xfId="5076"/>
    <cellStyle name="40% - Accent6 2 4" xfId="3177"/>
    <cellStyle name="40% - Accent6 3" xfId="1039"/>
    <cellStyle name="40% - Accent6 3 10" xfId="23592"/>
    <cellStyle name="40% - Accent6 3 2" xfId="3179"/>
    <cellStyle name="40% - Accent6 3 2 10" xfId="28734"/>
    <cellStyle name="40% - Accent6 3 2 2" xfId="3180"/>
    <cellStyle name="40% - Accent6 3 2 2 2" xfId="6884"/>
    <cellStyle name="40% - Accent6 3 2 2 2 2" xfId="10216"/>
    <cellStyle name="40% - Accent6 3 2 2 2 2 2" xfId="16920"/>
    <cellStyle name="40% - Accent6 3 2 2 2 2 2 2" xfId="27166"/>
    <cellStyle name="40% - Accent6 3 2 2 2 2 2 2 2" xfId="49411"/>
    <cellStyle name="40% - Accent6 3 2 2 2 2 2 3" xfId="24953"/>
    <cellStyle name="40% - Accent6 3 2 2 2 2 2 3 2" xfId="47198"/>
    <cellStyle name="40% - Accent6 3 2 2 2 2 2 4" xfId="40341"/>
    <cellStyle name="40% - Accent6 3 2 2 2 2 3" xfId="25532"/>
    <cellStyle name="40% - Accent6 3 2 2 2 2 3 2" xfId="27837"/>
    <cellStyle name="40% - Accent6 3 2 2 2 2 3 2 2" xfId="50082"/>
    <cellStyle name="40% - Accent6 3 2 2 2 2 3 3" xfId="47777"/>
    <cellStyle name="40% - Accent6 3 2 2 2 2 4" xfId="26492"/>
    <cellStyle name="40% - Accent6 3 2 2 2 2 4 2" xfId="48737"/>
    <cellStyle name="40% - Accent6 3 2 2 2 2 5" xfId="24288"/>
    <cellStyle name="40% - Accent6 3 2 2 2 2 5 2" xfId="46534"/>
    <cellStyle name="40% - Accent6 3 2 2 2 2 6" xfId="33709"/>
    <cellStyle name="40% - Accent6 3 2 2 2 3" xfId="13604"/>
    <cellStyle name="40% - Accent6 3 2 2 2 3 2" xfId="26834"/>
    <cellStyle name="40% - Accent6 3 2 2 2 3 2 2" xfId="49079"/>
    <cellStyle name="40% - Accent6 3 2 2 2 3 3" xfId="24621"/>
    <cellStyle name="40% - Accent6 3 2 2 2 3 3 2" xfId="46866"/>
    <cellStyle name="40% - Accent6 3 2 2 2 3 4" xfId="37025"/>
    <cellStyle name="40% - Accent6 3 2 2 2 4" xfId="25196"/>
    <cellStyle name="40% - Accent6 3 2 2 2 4 2" xfId="27501"/>
    <cellStyle name="40% - Accent6 3 2 2 2 4 2 2" xfId="49746"/>
    <cellStyle name="40% - Accent6 3 2 2 2 4 3" xfId="47441"/>
    <cellStyle name="40% - Accent6 3 2 2 2 5" xfId="26163"/>
    <cellStyle name="40% - Accent6 3 2 2 2 5 2" xfId="48408"/>
    <cellStyle name="40% - Accent6 3 2 2 2 6" xfId="23972"/>
    <cellStyle name="40% - Accent6 3 2 2 2 6 2" xfId="46218"/>
    <cellStyle name="40% - Accent6 3 2 2 2 7" xfId="30393"/>
    <cellStyle name="40% - Accent6 3 2 2 3" xfId="8550"/>
    <cellStyle name="40% - Accent6 3 2 2 3 2" xfId="15262"/>
    <cellStyle name="40% - Accent6 3 2 2 3 2 2" xfId="27000"/>
    <cellStyle name="40% - Accent6 3 2 2 3 2 2 2" xfId="49245"/>
    <cellStyle name="40% - Accent6 3 2 2 3 2 3" xfId="24787"/>
    <cellStyle name="40% - Accent6 3 2 2 3 2 3 2" xfId="47032"/>
    <cellStyle name="40% - Accent6 3 2 2 3 2 4" xfId="38683"/>
    <cellStyle name="40% - Accent6 3 2 2 3 3" xfId="25364"/>
    <cellStyle name="40% - Accent6 3 2 2 3 3 2" xfId="27669"/>
    <cellStyle name="40% - Accent6 3 2 2 3 3 2 2" xfId="49914"/>
    <cellStyle name="40% - Accent6 3 2 2 3 3 3" xfId="47609"/>
    <cellStyle name="40% - Accent6 3 2 2 3 4" xfId="26327"/>
    <cellStyle name="40% - Accent6 3 2 2 3 4 2" xfId="48572"/>
    <cellStyle name="40% - Accent6 3 2 2 3 5" xfId="24123"/>
    <cellStyle name="40% - Accent6 3 2 2 3 5 2" xfId="46369"/>
    <cellStyle name="40% - Accent6 3 2 2 3 6" xfId="32051"/>
    <cellStyle name="40% - Accent6 3 2 2 4" xfId="11944"/>
    <cellStyle name="40% - Accent6 3 2 2 4 2" xfId="26668"/>
    <cellStyle name="40% - Accent6 3 2 2 4 2 2" xfId="48913"/>
    <cellStyle name="40% - Accent6 3 2 2 4 3" xfId="24455"/>
    <cellStyle name="40% - Accent6 3 2 2 4 3 2" xfId="46700"/>
    <cellStyle name="40% - Accent6 3 2 2 4 4" xfId="35367"/>
    <cellStyle name="40% - Accent6 3 2 2 5" xfId="23371"/>
    <cellStyle name="40% - Accent6 3 2 2 5 2" xfId="27333"/>
    <cellStyle name="40% - Accent6 3 2 2 5 2 2" xfId="49578"/>
    <cellStyle name="40% - Accent6 3 2 2 5 3" xfId="45716"/>
    <cellStyle name="40% - Accent6 3 2 2 6" xfId="25739"/>
    <cellStyle name="40% - Accent6 3 2 2 6 2" xfId="47984"/>
    <cellStyle name="40% - Accent6 3 2 2 7" xfId="28735"/>
    <cellStyle name="40% - Accent6 3 2 3" xfId="3181"/>
    <cellStyle name="40% - Accent6 3 2 3 2" xfId="6885"/>
    <cellStyle name="40% - Accent6 3 2 3 2 2" xfId="10217"/>
    <cellStyle name="40% - Accent6 3 2 3 2 2 2" xfId="16921"/>
    <cellStyle name="40% - Accent6 3 2 3 2 2 2 2" xfId="27125"/>
    <cellStyle name="40% - Accent6 3 2 3 2 2 2 2 2" xfId="49370"/>
    <cellStyle name="40% - Accent6 3 2 3 2 2 2 3" xfId="24912"/>
    <cellStyle name="40% - Accent6 3 2 3 2 2 2 3 2" xfId="47157"/>
    <cellStyle name="40% - Accent6 3 2 3 2 2 2 4" xfId="40342"/>
    <cellStyle name="40% - Accent6 3 2 3 2 2 3" xfId="25490"/>
    <cellStyle name="40% - Accent6 3 2 3 2 2 3 2" xfId="27795"/>
    <cellStyle name="40% - Accent6 3 2 3 2 2 3 2 2" xfId="50040"/>
    <cellStyle name="40% - Accent6 3 2 3 2 2 3 3" xfId="47735"/>
    <cellStyle name="40% - Accent6 3 2 3 2 2 4" xfId="26452"/>
    <cellStyle name="40% - Accent6 3 2 3 2 2 4 2" xfId="48697"/>
    <cellStyle name="40% - Accent6 3 2 3 2 2 5" xfId="24248"/>
    <cellStyle name="40% - Accent6 3 2 3 2 2 5 2" xfId="46494"/>
    <cellStyle name="40% - Accent6 3 2 3 2 2 6" xfId="33710"/>
    <cellStyle name="40% - Accent6 3 2 3 2 3" xfId="13605"/>
    <cellStyle name="40% - Accent6 3 2 3 2 3 2" xfId="26793"/>
    <cellStyle name="40% - Accent6 3 2 3 2 3 2 2" xfId="49038"/>
    <cellStyle name="40% - Accent6 3 2 3 2 3 3" xfId="24580"/>
    <cellStyle name="40% - Accent6 3 2 3 2 3 3 2" xfId="46825"/>
    <cellStyle name="40% - Accent6 3 2 3 2 3 4" xfId="37026"/>
    <cellStyle name="40% - Accent6 3 2 3 2 4" xfId="25154"/>
    <cellStyle name="40% - Accent6 3 2 3 2 4 2" xfId="27459"/>
    <cellStyle name="40% - Accent6 3 2 3 2 4 2 2" xfId="49704"/>
    <cellStyle name="40% - Accent6 3 2 3 2 4 3" xfId="47399"/>
    <cellStyle name="40% - Accent6 3 2 3 2 5" xfId="26123"/>
    <cellStyle name="40% - Accent6 3 2 3 2 5 2" xfId="48368"/>
    <cellStyle name="40% - Accent6 3 2 3 2 6" xfId="23932"/>
    <cellStyle name="40% - Accent6 3 2 3 2 6 2" xfId="46178"/>
    <cellStyle name="40% - Accent6 3 2 3 2 7" xfId="30394"/>
    <cellStyle name="40% - Accent6 3 2 3 3" xfId="8551"/>
    <cellStyle name="40% - Accent6 3 2 3 3 2" xfId="15263"/>
    <cellStyle name="40% - Accent6 3 2 3 3 2 2" xfId="26959"/>
    <cellStyle name="40% - Accent6 3 2 3 3 2 2 2" xfId="49204"/>
    <cellStyle name="40% - Accent6 3 2 3 3 2 3" xfId="24746"/>
    <cellStyle name="40% - Accent6 3 2 3 3 2 3 2" xfId="46991"/>
    <cellStyle name="40% - Accent6 3 2 3 3 2 4" xfId="38684"/>
    <cellStyle name="40% - Accent6 3 2 3 3 3" xfId="25322"/>
    <cellStyle name="40% - Accent6 3 2 3 3 3 2" xfId="27627"/>
    <cellStyle name="40% - Accent6 3 2 3 3 3 2 2" xfId="49872"/>
    <cellStyle name="40% - Accent6 3 2 3 3 3 3" xfId="47567"/>
    <cellStyle name="40% - Accent6 3 2 3 3 4" xfId="26287"/>
    <cellStyle name="40% - Accent6 3 2 3 3 4 2" xfId="48532"/>
    <cellStyle name="40% - Accent6 3 2 3 3 5" xfId="24083"/>
    <cellStyle name="40% - Accent6 3 2 3 3 5 2" xfId="46329"/>
    <cellStyle name="40% - Accent6 3 2 3 3 6" xfId="32052"/>
    <cellStyle name="40% - Accent6 3 2 3 4" xfId="11945"/>
    <cellStyle name="40% - Accent6 3 2 3 4 2" xfId="26627"/>
    <cellStyle name="40% - Accent6 3 2 3 4 2 2" xfId="48872"/>
    <cellStyle name="40% - Accent6 3 2 3 4 3" xfId="24414"/>
    <cellStyle name="40% - Accent6 3 2 3 4 3 2" xfId="46659"/>
    <cellStyle name="40% - Accent6 3 2 3 4 4" xfId="35368"/>
    <cellStyle name="40% - Accent6 3 2 3 5" xfId="23370"/>
    <cellStyle name="40% - Accent6 3 2 3 5 2" xfId="27291"/>
    <cellStyle name="40% - Accent6 3 2 3 5 2 2" xfId="49536"/>
    <cellStyle name="40% - Accent6 3 2 3 5 3" xfId="45715"/>
    <cellStyle name="40% - Accent6 3 2 3 6" xfId="25740"/>
    <cellStyle name="40% - Accent6 3 2 3 6 2" xfId="47985"/>
    <cellStyle name="40% - Accent6 3 2 3 7" xfId="28736"/>
    <cellStyle name="40% - Accent6 3 2 4" xfId="6883"/>
    <cellStyle name="40% - Accent6 3 2 4 2" xfId="10215"/>
    <cellStyle name="40% - Accent6 3 2 4 2 2" xfId="16919"/>
    <cellStyle name="40% - Accent6 3 2 4 2 2 2" xfId="24994"/>
    <cellStyle name="40% - Accent6 3 2 4 2 2 2 2" xfId="27207"/>
    <cellStyle name="40% - Accent6 3 2 4 2 2 2 2 2" xfId="49452"/>
    <cellStyle name="40% - Accent6 3 2 4 2 2 2 3" xfId="47239"/>
    <cellStyle name="40% - Accent6 3 2 4 2 2 3" xfId="25574"/>
    <cellStyle name="40% - Accent6 3 2 4 2 2 3 2" xfId="27879"/>
    <cellStyle name="40% - Accent6 3 2 4 2 2 3 2 2" xfId="50124"/>
    <cellStyle name="40% - Accent6 3 2 4 2 2 3 3" xfId="47819"/>
    <cellStyle name="40% - Accent6 3 2 4 2 2 4" xfId="26533"/>
    <cellStyle name="40% - Accent6 3 2 4 2 2 4 2" xfId="48778"/>
    <cellStyle name="40% - Accent6 3 2 4 2 2 5" xfId="24329"/>
    <cellStyle name="40% - Accent6 3 2 4 2 2 5 2" xfId="46575"/>
    <cellStyle name="40% - Accent6 3 2 4 2 2 6" xfId="40340"/>
    <cellStyle name="40% - Accent6 3 2 4 2 3" xfId="24662"/>
    <cellStyle name="40% - Accent6 3 2 4 2 3 2" xfId="26875"/>
    <cellStyle name="40% - Accent6 3 2 4 2 3 2 2" xfId="49120"/>
    <cellStyle name="40% - Accent6 3 2 4 2 3 3" xfId="46907"/>
    <cellStyle name="40% - Accent6 3 2 4 2 4" xfId="25238"/>
    <cellStyle name="40% - Accent6 3 2 4 2 4 2" xfId="27543"/>
    <cellStyle name="40% - Accent6 3 2 4 2 4 2 2" xfId="49788"/>
    <cellStyle name="40% - Accent6 3 2 4 2 4 3" xfId="47483"/>
    <cellStyle name="40% - Accent6 3 2 4 2 5" xfId="26204"/>
    <cellStyle name="40% - Accent6 3 2 4 2 5 2" xfId="48449"/>
    <cellStyle name="40% - Accent6 3 2 4 2 6" xfId="24013"/>
    <cellStyle name="40% - Accent6 3 2 4 2 6 2" xfId="46259"/>
    <cellStyle name="40% - Accent6 3 2 4 2 7" xfId="33708"/>
    <cellStyle name="40% - Accent6 3 2 4 3" xfId="13603"/>
    <cellStyle name="40% - Accent6 3 2 4 3 2" xfId="24828"/>
    <cellStyle name="40% - Accent6 3 2 4 3 2 2" xfId="27041"/>
    <cellStyle name="40% - Accent6 3 2 4 3 2 2 2" xfId="49286"/>
    <cellStyle name="40% - Accent6 3 2 4 3 2 3" xfId="47073"/>
    <cellStyle name="40% - Accent6 3 2 4 3 3" xfId="25406"/>
    <cellStyle name="40% - Accent6 3 2 4 3 3 2" xfId="27711"/>
    <cellStyle name="40% - Accent6 3 2 4 3 3 2 2" xfId="49956"/>
    <cellStyle name="40% - Accent6 3 2 4 3 3 3" xfId="47651"/>
    <cellStyle name="40% - Accent6 3 2 4 3 4" xfId="26368"/>
    <cellStyle name="40% - Accent6 3 2 4 3 4 2" xfId="48613"/>
    <cellStyle name="40% - Accent6 3 2 4 3 5" xfId="24164"/>
    <cellStyle name="40% - Accent6 3 2 4 3 5 2" xfId="46410"/>
    <cellStyle name="40% - Accent6 3 2 4 3 6" xfId="37024"/>
    <cellStyle name="40% - Accent6 3 2 4 4" xfId="24496"/>
    <cellStyle name="40% - Accent6 3 2 4 4 2" xfId="26709"/>
    <cellStyle name="40% - Accent6 3 2 4 4 2 2" xfId="48954"/>
    <cellStyle name="40% - Accent6 3 2 4 4 3" xfId="46741"/>
    <cellStyle name="40% - Accent6 3 2 4 5" xfId="25070"/>
    <cellStyle name="40% - Accent6 3 2 4 5 2" xfId="27375"/>
    <cellStyle name="40% - Accent6 3 2 4 5 2 2" xfId="49620"/>
    <cellStyle name="40% - Accent6 3 2 4 5 3" xfId="47315"/>
    <cellStyle name="40% - Accent6 3 2 4 6" xfId="26051"/>
    <cellStyle name="40% - Accent6 3 2 4 6 2" xfId="48296"/>
    <cellStyle name="40% - Accent6 3 2 4 7" xfId="23860"/>
    <cellStyle name="40% - Accent6 3 2 4 7 2" xfId="46106"/>
    <cellStyle name="40% - Accent6 3 2 4 8" xfId="30392"/>
    <cellStyle name="40% - Accent6 3 2 5" xfId="8549"/>
    <cellStyle name="40% - Accent6 3 2 5 2" xfId="15261"/>
    <cellStyle name="40% - Accent6 3 2 5 2 2" xfId="24870"/>
    <cellStyle name="40% - Accent6 3 2 5 2 2 2" xfId="27083"/>
    <cellStyle name="40% - Accent6 3 2 5 2 2 2 2" xfId="49328"/>
    <cellStyle name="40% - Accent6 3 2 5 2 2 3" xfId="47115"/>
    <cellStyle name="40% - Accent6 3 2 5 2 3" xfId="25448"/>
    <cellStyle name="40% - Accent6 3 2 5 2 3 2" xfId="27753"/>
    <cellStyle name="40% - Accent6 3 2 5 2 3 2 2" xfId="49998"/>
    <cellStyle name="40% - Accent6 3 2 5 2 3 3" xfId="47693"/>
    <cellStyle name="40% - Accent6 3 2 5 2 4" xfId="26410"/>
    <cellStyle name="40% - Accent6 3 2 5 2 4 2" xfId="48655"/>
    <cellStyle name="40% - Accent6 3 2 5 2 5" xfId="24206"/>
    <cellStyle name="40% - Accent6 3 2 5 2 5 2" xfId="46452"/>
    <cellStyle name="40% - Accent6 3 2 5 2 6" xfId="38682"/>
    <cellStyle name="40% - Accent6 3 2 5 3" xfId="24538"/>
    <cellStyle name="40% - Accent6 3 2 5 3 2" xfId="26751"/>
    <cellStyle name="40% - Accent6 3 2 5 3 2 2" xfId="48996"/>
    <cellStyle name="40% - Accent6 3 2 5 3 3" xfId="46783"/>
    <cellStyle name="40% - Accent6 3 2 5 4" xfId="25112"/>
    <cellStyle name="40% - Accent6 3 2 5 4 2" xfId="27417"/>
    <cellStyle name="40% - Accent6 3 2 5 4 2 2" xfId="49662"/>
    <cellStyle name="40% - Accent6 3 2 5 4 3" xfId="47357"/>
    <cellStyle name="40% - Accent6 3 2 5 5" xfId="26083"/>
    <cellStyle name="40% - Accent6 3 2 5 5 2" xfId="48328"/>
    <cellStyle name="40% - Accent6 3 2 5 6" xfId="23892"/>
    <cellStyle name="40% - Accent6 3 2 5 6 2" xfId="46138"/>
    <cellStyle name="40% - Accent6 3 2 5 7" xfId="32050"/>
    <cellStyle name="40% - Accent6 3 2 6" xfId="11943"/>
    <cellStyle name="40% - Accent6 3 2 6 2" xfId="24704"/>
    <cellStyle name="40% - Accent6 3 2 6 2 2" xfId="26917"/>
    <cellStyle name="40% - Accent6 3 2 6 2 2 2" xfId="49162"/>
    <cellStyle name="40% - Accent6 3 2 6 2 3" xfId="46949"/>
    <cellStyle name="40% - Accent6 3 2 6 3" xfId="25280"/>
    <cellStyle name="40% - Accent6 3 2 6 3 2" xfId="27585"/>
    <cellStyle name="40% - Accent6 3 2 6 3 2 2" xfId="49830"/>
    <cellStyle name="40% - Accent6 3 2 6 3 3" xfId="47525"/>
    <cellStyle name="40% - Accent6 3 2 6 4" xfId="26245"/>
    <cellStyle name="40% - Accent6 3 2 6 4 2" xfId="48490"/>
    <cellStyle name="40% - Accent6 3 2 6 5" xfId="24041"/>
    <cellStyle name="40% - Accent6 3 2 6 5 2" xfId="46287"/>
    <cellStyle name="40% - Accent6 3 2 6 6" xfId="35366"/>
    <cellStyle name="40% - Accent6 3 2 7" xfId="23258"/>
    <cellStyle name="40% - Accent6 3 2 7 2" xfId="26585"/>
    <cellStyle name="40% - Accent6 3 2 7 2 2" xfId="48830"/>
    <cellStyle name="40% - Accent6 3 2 7 3" xfId="45650"/>
    <cellStyle name="40% - Accent6 3 2 8" xfId="25036"/>
    <cellStyle name="40% - Accent6 3 2 8 2" xfId="27249"/>
    <cellStyle name="40% - Accent6 3 2 8 2 2" xfId="49494"/>
    <cellStyle name="40% - Accent6 3 2 8 3" xfId="47281"/>
    <cellStyle name="40% - Accent6 3 2 9" xfId="25738"/>
    <cellStyle name="40% - Accent6 3 2 9 2" xfId="47983"/>
    <cellStyle name="40% - Accent6 3 3" xfId="3182"/>
    <cellStyle name="40% - Accent6 3 3 2" xfId="6886"/>
    <cellStyle name="40% - Accent6 3 3 2 2" xfId="10218"/>
    <cellStyle name="40% - Accent6 3 3 2 2 2" xfId="16922"/>
    <cellStyle name="40% - Accent6 3 3 2 2 2 2" xfId="27146"/>
    <cellStyle name="40% - Accent6 3 3 2 2 2 2 2" xfId="49391"/>
    <cellStyle name="40% - Accent6 3 3 2 2 2 3" xfId="24933"/>
    <cellStyle name="40% - Accent6 3 3 2 2 2 3 2" xfId="47178"/>
    <cellStyle name="40% - Accent6 3 3 2 2 2 4" xfId="40343"/>
    <cellStyle name="40% - Accent6 3 3 2 2 3" xfId="25511"/>
    <cellStyle name="40% - Accent6 3 3 2 2 3 2" xfId="27816"/>
    <cellStyle name="40% - Accent6 3 3 2 2 3 2 2" xfId="50061"/>
    <cellStyle name="40% - Accent6 3 3 2 2 3 3" xfId="47756"/>
    <cellStyle name="40% - Accent6 3 3 2 2 4" xfId="26472"/>
    <cellStyle name="40% - Accent6 3 3 2 2 4 2" xfId="48717"/>
    <cellStyle name="40% - Accent6 3 3 2 2 5" xfId="24268"/>
    <cellStyle name="40% - Accent6 3 3 2 2 5 2" xfId="46514"/>
    <cellStyle name="40% - Accent6 3 3 2 2 6" xfId="33711"/>
    <cellStyle name="40% - Accent6 3 3 2 3" xfId="13606"/>
    <cellStyle name="40% - Accent6 3 3 2 3 2" xfId="26814"/>
    <cellStyle name="40% - Accent6 3 3 2 3 2 2" xfId="49059"/>
    <cellStyle name="40% - Accent6 3 3 2 3 3" xfId="24601"/>
    <cellStyle name="40% - Accent6 3 3 2 3 3 2" xfId="46846"/>
    <cellStyle name="40% - Accent6 3 3 2 3 4" xfId="37027"/>
    <cellStyle name="40% - Accent6 3 3 2 4" xfId="25175"/>
    <cellStyle name="40% - Accent6 3 3 2 4 2" xfId="27480"/>
    <cellStyle name="40% - Accent6 3 3 2 4 2 2" xfId="49725"/>
    <cellStyle name="40% - Accent6 3 3 2 4 3" xfId="47420"/>
    <cellStyle name="40% - Accent6 3 3 2 5" xfId="26143"/>
    <cellStyle name="40% - Accent6 3 3 2 5 2" xfId="48388"/>
    <cellStyle name="40% - Accent6 3 3 2 6" xfId="23952"/>
    <cellStyle name="40% - Accent6 3 3 2 6 2" xfId="46198"/>
    <cellStyle name="40% - Accent6 3 3 2 7" xfId="30395"/>
    <cellStyle name="40% - Accent6 3 3 3" xfId="8552"/>
    <cellStyle name="40% - Accent6 3 3 3 2" xfId="15264"/>
    <cellStyle name="40% - Accent6 3 3 3 2 2" xfId="26980"/>
    <cellStyle name="40% - Accent6 3 3 3 2 2 2" xfId="49225"/>
    <cellStyle name="40% - Accent6 3 3 3 2 3" xfId="24767"/>
    <cellStyle name="40% - Accent6 3 3 3 2 3 2" xfId="47012"/>
    <cellStyle name="40% - Accent6 3 3 3 2 4" xfId="38685"/>
    <cellStyle name="40% - Accent6 3 3 3 3" xfId="25343"/>
    <cellStyle name="40% - Accent6 3 3 3 3 2" xfId="27648"/>
    <cellStyle name="40% - Accent6 3 3 3 3 2 2" xfId="49893"/>
    <cellStyle name="40% - Accent6 3 3 3 3 3" xfId="47588"/>
    <cellStyle name="40% - Accent6 3 3 3 4" xfId="26307"/>
    <cellStyle name="40% - Accent6 3 3 3 4 2" xfId="48552"/>
    <cellStyle name="40% - Accent6 3 3 3 5" xfId="24103"/>
    <cellStyle name="40% - Accent6 3 3 3 5 2" xfId="46349"/>
    <cellStyle name="40% - Accent6 3 3 3 6" xfId="32053"/>
    <cellStyle name="40% - Accent6 3 3 4" xfId="11946"/>
    <cellStyle name="40% - Accent6 3 3 4 2" xfId="26648"/>
    <cellStyle name="40% - Accent6 3 3 4 2 2" xfId="48893"/>
    <cellStyle name="40% - Accent6 3 3 4 3" xfId="24435"/>
    <cellStyle name="40% - Accent6 3 3 4 3 2" xfId="46680"/>
    <cellStyle name="40% - Accent6 3 3 4 4" xfId="35369"/>
    <cellStyle name="40% - Accent6 3 3 5" xfId="23256"/>
    <cellStyle name="40% - Accent6 3 3 5 2" xfId="27312"/>
    <cellStyle name="40% - Accent6 3 3 5 2 2" xfId="49557"/>
    <cellStyle name="40% - Accent6 3 3 5 3" xfId="45648"/>
    <cellStyle name="40% - Accent6 3 3 6" xfId="25741"/>
    <cellStyle name="40% - Accent6 3 3 6 2" xfId="47986"/>
    <cellStyle name="40% - Accent6 3 3 7" xfId="28737"/>
    <cellStyle name="40% - Accent6 3 4" xfId="3183"/>
    <cellStyle name="40% - Accent6 3 4 2" xfId="6887"/>
    <cellStyle name="40% - Accent6 3 4 2 2" xfId="10219"/>
    <cellStyle name="40% - Accent6 3 4 2 2 2" xfId="16923"/>
    <cellStyle name="40% - Accent6 3 4 2 2 2 2" xfId="27104"/>
    <cellStyle name="40% - Accent6 3 4 2 2 2 2 2" xfId="49349"/>
    <cellStyle name="40% - Accent6 3 4 2 2 2 3" xfId="24891"/>
    <cellStyle name="40% - Accent6 3 4 2 2 2 3 2" xfId="47136"/>
    <cellStyle name="40% - Accent6 3 4 2 2 2 4" xfId="40344"/>
    <cellStyle name="40% - Accent6 3 4 2 2 3" xfId="25469"/>
    <cellStyle name="40% - Accent6 3 4 2 2 3 2" xfId="27774"/>
    <cellStyle name="40% - Accent6 3 4 2 2 3 2 2" xfId="50019"/>
    <cellStyle name="40% - Accent6 3 4 2 2 3 3" xfId="47714"/>
    <cellStyle name="40% - Accent6 3 4 2 2 4" xfId="26431"/>
    <cellStyle name="40% - Accent6 3 4 2 2 4 2" xfId="48676"/>
    <cellStyle name="40% - Accent6 3 4 2 2 5" xfId="24227"/>
    <cellStyle name="40% - Accent6 3 4 2 2 5 2" xfId="46473"/>
    <cellStyle name="40% - Accent6 3 4 2 2 6" xfId="33712"/>
    <cellStyle name="40% - Accent6 3 4 2 3" xfId="13607"/>
    <cellStyle name="40% - Accent6 3 4 2 3 2" xfId="26772"/>
    <cellStyle name="40% - Accent6 3 4 2 3 2 2" xfId="49017"/>
    <cellStyle name="40% - Accent6 3 4 2 3 3" xfId="24559"/>
    <cellStyle name="40% - Accent6 3 4 2 3 3 2" xfId="46804"/>
    <cellStyle name="40% - Accent6 3 4 2 3 4" xfId="37028"/>
    <cellStyle name="40% - Accent6 3 4 2 4" xfId="25133"/>
    <cellStyle name="40% - Accent6 3 4 2 4 2" xfId="27438"/>
    <cellStyle name="40% - Accent6 3 4 2 4 2 2" xfId="49683"/>
    <cellStyle name="40% - Accent6 3 4 2 4 3" xfId="47378"/>
    <cellStyle name="40% - Accent6 3 4 2 5" xfId="26103"/>
    <cellStyle name="40% - Accent6 3 4 2 5 2" xfId="48348"/>
    <cellStyle name="40% - Accent6 3 4 2 6" xfId="23912"/>
    <cellStyle name="40% - Accent6 3 4 2 6 2" xfId="46158"/>
    <cellStyle name="40% - Accent6 3 4 2 7" xfId="30396"/>
    <cellStyle name="40% - Accent6 3 4 3" xfId="8553"/>
    <cellStyle name="40% - Accent6 3 4 3 2" xfId="15265"/>
    <cellStyle name="40% - Accent6 3 4 3 2 2" xfId="26938"/>
    <cellStyle name="40% - Accent6 3 4 3 2 2 2" xfId="49183"/>
    <cellStyle name="40% - Accent6 3 4 3 2 3" xfId="24725"/>
    <cellStyle name="40% - Accent6 3 4 3 2 3 2" xfId="46970"/>
    <cellStyle name="40% - Accent6 3 4 3 2 4" xfId="38686"/>
    <cellStyle name="40% - Accent6 3 4 3 3" xfId="25301"/>
    <cellStyle name="40% - Accent6 3 4 3 3 2" xfId="27606"/>
    <cellStyle name="40% - Accent6 3 4 3 3 2 2" xfId="49851"/>
    <cellStyle name="40% - Accent6 3 4 3 3 3" xfId="47546"/>
    <cellStyle name="40% - Accent6 3 4 3 4" xfId="26266"/>
    <cellStyle name="40% - Accent6 3 4 3 4 2" xfId="48511"/>
    <cellStyle name="40% - Accent6 3 4 3 5" xfId="24062"/>
    <cellStyle name="40% - Accent6 3 4 3 5 2" xfId="46308"/>
    <cellStyle name="40% - Accent6 3 4 3 6" xfId="32054"/>
    <cellStyle name="40% - Accent6 3 4 4" xfId="11947"/>
    <cellStyle name="40% - Accent6 3 4 4 2" xfId="26606"/>
    <cellStyle name="40% - Accent6 3 4 4 2 2" xfId="48851"/>
    <cellStyle name="40% - Accent6 3 4 4 3" xfId="24393"/>
    <cellStyle name="40% - Accent6 3 4 4 3 2" xfId="46638"/>
    <cellStyle name="40% - Accent6 3 4 4 4" xfId="35370"/>
    <cellStyle name="40% - Accent6 3 4 5" xfId="23369"/>
    <cellStyle name="40% - Accent6 3 4 5 2" xfId="27270"/>
    <cellStyle name="40% - Accent6 3 4 5 2 2" xfId="49515"/>
    <cellStyle name="40% - Accent6 3 4 5 3" xfId="45714"/>
    <cellStyle name="40% - Accent6 3 4 6" xfId="25742"/>
    <cellStyle name="40% - Accent6 3 4 6 2" xfId="47987"/>
    <cellStyle name="40% - Accent6 3 4 7" xfId="28738"/>
    <cellStyle name="40% - Accent6 3 5" xfId="3184"/>
    <cellStyle name="40% - Accent6 3 5 2" xfId="23992"/>
    <cellStyle name="40% - Accent6 3 5 2 2" xfId="24308"/>
    <cellStyle name="40% - Accent6 3 5 2 2 2" xfId="24973"/>
    <cellStyle name="40% - Accent6 3 5 2 2 2 2" xfId="27186"/>
    <cellStyle name="40% - Accent6 3 5 2 2 2 2 2" xfId="49431"/>
    <cellStyle name="40% - Accent6 3 5 2 2 2 3" xfId="47218"/>
    <cellStyle name="40% - Accent6 3 5 2 2 3" xfId="25553"/>
    <cellStyle name="40% - Accent6 3 5 2 2 3 2" xfId="27858"/>
    <cellStyle name="40% - Accent6 3 5 2 2 3 2 2" xfId="50103"/>
    <cellStyle name="40% - Accent6 3 5 2 2 3 3" xfId="47798"/>
    <cellStyle name="40% - Accent6 3 5 2 2 4" xfId="26512"/>
    <cellStyle name="40% - Accent6 3 5 2 2 4 2" xfId="48757"/>
    <cellStyle name="40% - Accent6 3 5 2 2 5" xfId="46554"/>
    <cellStyle name="40% - Accent6 3 5 2 3" xfId="24641"/>
    <cellStyle name="40% - Accent6 3 5 2 3 2" xfId="26854"/>
    <cellStyle name="40% - Accent6 3 5 2 3 2 2" xfId="49099"/>
    <cellStyle name="40% - Accent6 3 5 2 3 3" xfId="46886"/>
    <cellStyle name="40% - Accent6 3 5 2 4" xfId="25217"/>
    <cellStyle name="40% - Accent6 3 5 2 4 2" xfId="27522"/>
    <cellStyle name="40% - Accent6 3 5 2 4 2 2" xfId="49767"/>
    <cellStyle name="40% - Accent6 3 5 2 4 3" xfId="47462"/>
    <cellStyle name="40% - Accent6 3 5 2 5" xfId="26183"/>
    <cellStyle name="40% - Accent6 3 5 2 5 2" xfId="48428"/>
    <cellStyle name="40% - Accent6 3 5 2 6" xfId="46238"/>
    <cellStyle name="40% - Accent6 3 5 3" xfId="24143"/>
    <cellStyle name="40% - Accent6 3 5 3 2" xfId="24807"/>
    <cellStyle name="40% - Accent6 3 5 3 2 2" xfId="27020"/>
    <cellStyle name="40% - Accent6 3 5 3 2 2 2" xfId="49265"/>
    <cellStyle name="40% - Accent6 3 5 3 2 3" xfId="47052"/>
    <cellStyle name="40% - Accent6 3 5 3 3" xfId="25385"/>
    <cellStyle name="40% - Accent6 3 5 3 3 2" xfId="27690"/>
    <cellStyle name="40% - Accent6 3 5 3 3 2 2" xfId="49935"/>
    <cellStyle name="40% - Accent6 3 5 3 3 3" xfId="47630"/>
    <cellStyle name="40% - Accent6 3 5 3 4" xfId="26347"/>
    <cellStyle name="40% - Accent6 3 5 3 4 2" xfId="48592"/>
    <cellStyle name="40% - Accent6 3 5 3 5" xfId="46389"/>
    <cellStyle name="40% - Accent6 3 5 4" xfId="24475"/>
    <cellStyle name="40% - Accent6 3 5 4 2" xfId="26688"/>
    <cellStyle name="40% - Accent6 3 5 4 2 2" xfId="48933"/>
    <cellStyle name="40% - Accent6 3 5 4 3" xfId="46720"/>
    <cellStyle name="40% - Accent6 3 5 5" xfId="25055"/>
    <cellStyle name="40% - Accent6 3 5 5 2" xfId="27354"/>
    <cellStyle name="40% - Accent6 3 5 5 2 2" xfId="49599"/>
    <cellStyle name="40% - Accent6 3 5 5 3" xfId="47300"/>
    <cellStyle name="40% - Accent6 3 5 6" xfId="23845"/>
    <cellStyle name="40% - Accent6 3 5 6 2" xfId="26036"/>
    <cellStyle name="40% - Accent6 3 5 6 2 2" xfId="48281"/>
    <cellStyle name="40% - Accent6 3 5 6 3" xfId="46091"/>
    <cellStyle name="40% - Accent6 3 6" xfId="3178"/>
    <cellStyle name="40% - Accent6 3 6 2" xfId="6882"/>
    <cellStyle name="40% - Accent6 3 6 2 2" xfId="10214"/>
    <cellStyle name="40% - Accent6 3 6 2 2 2" xfId="16918"/>
    <cellStyle name="40% - Accent6 3 6 2 2 2 2" xfId="27062"/>
    <cellStyle name="40% - Accent6 3 6 2 2 2 2 2" xfId="49307"/>
    <cellStyle name="40% - Accent6 3 6 2 2 2 3" xfId="40339"/>
    <cellStyle name="40% - Accent6 3 6 2 2 3" xfId="24849"/>
    <cellStyle name="40% - Accent6 3 6 2 2 3 2" xfId="47094"/>
    <cellStyle name="40% - Accent6 3 6 2 2 4" xfId="33707"/>
    <cellStyle name="40% - Accent6 3 6 2 3" xfId="13602"/>
    <cellStyle name="40% - Accent6 3 6 2 3 2" xfId="27732"/>
    <cellStyle name="40% - Accent6 3 6 2 3 2 2" xfId="49977"/>
    <cellStyle name="40% - Accent6 3 6 2 3 3" xfId="25427"/>
    <cellStyle name="40% - Accent6 3 6 2 3 3 2" xfId="47672"/>
    <cellStyle name="40% - Accent6 3 6 2 3 4" xfId="37023"/>
    <cellStyle name="40% - Accent6 3 6 2 4" xfId="26389"/>
    <cellStyle name="40% - Accent6 3 6 2 4 2" xfId="48634"/>
    <cellStyle name="40% - Accent6 3 6 2 5" xfId="24185"/>
    <cellStyle name="40% - Accent6 3 6 2 5 2" xfId="46431"/>
    <cellStyle name="40% - Accent6 3 6 2 6" xfId="30391"/>
    <cellStyle name="40% - Accent6 3 6 3" xfId="8548"/>
    <cellStyle name="40% - Accent6 3 6 3 2" xfId="15260"/>
    <cellStyle name="40% - Accent6 3 6 3 2 2" xfId="26730"/>
    <cellStyle name="40% - Accent6 3 6 3 2 2 2" xfId="48975"/>
    <cellStyle name="40% - Accent6 3 6 3 2 3" xfId="38681"/>
    <cellStyle name="40% - Accent6 3 6 3 3" xfId="24517"/>
    <cellStyle name="40% - Accent6 3 6 3 3 2" xfId="46762"/>
    <cellStyle name="40% - Accent6 3 6 3 4" xfId="32049"/>
    <cellStyle name="40% - Accent6 3 6 4" xfId="11942"/>
    <cellStyle name="40% - Accent6 3 6 4 2" xfId="27396"/>
    <cellStyle name="40% - Accent6 3 6 4 2 2" xfId="49641"/>
    <cellStyle name="40% - Accent6 3 6 4 3" xfId="25091"/>
    <cellStyle name="40% - Accent6 3 6 4 3 2" xfId="47336"/>
    <cellStyle name="40% - Accent6 3 6 4 4" xfId="35365"/>
    <cellStyle name="40% - Accent6 3 6 5" xfId="25737"/>
    <cellStyle name="40% - Accent6 3 6 5 2" xfId="47982"/>
    <cellStyle name="40% - Accent6 3 6 6" xfId="23361"/>
    <cellStyle name="40% - Accent6 3 6 6 2" xfId="45706"/>
    <cellStyle name="40% - Accent6 3 6 7" xfId="28733"/>
    <cellStyle name="40% - Accent6 3 7" xfId="23372"/>
    <cellStyle name="40% - Accent6 3 7 2" xfId="24683"/>
    <cellStyle name="40% - Accent6 3 7 2 2" xfId="26896"/>
    <cellStyle name="40% - Accent6 3 7 2 2 2" xfId="49141"/>
    <cellStyle name="40% - Accent6 3 7 2 3" xfId="46928"/>
    <cellStyle name="40% - Accent6 3 7 3" xfId="25259"/>
    <cellStyle name="40% - Accent6 3 7 3 2" xfId="27564"/>
    <cellStyle name="40% - Accent6 3 7 3 2 2" xfId="49809"/>
    <cellStyle name="40% - Accent6 3 7 3 3" xfId="47504"/>
    <cellStyle name="40% - Accent6 3 7 4" xfId="26224"/>
    <cellStyle name="40% - Accent6 3 7 4 2" xfId="48469"/>
    <cellStyle name="40% - Accent6 3 7 5" xfId="45717"/>
    <cellStyle name="40% - Accent6 3 8" xfId="24361"/>
    <cellStyle name="40% - Accent6 3 8 2" xfId="26564"/>
    <cellStyle name="40% - Accent6 3 8 2 2" xfId="48809"/>
    <cellStyle name="40% - Accent6 3 8 3" xfId="46606"/>
    <cellStyle name="40% - Accent6 3 9" xfId="25015"/>
    <cellStyle name="40% - Accent6 3 9 2" xfId="27228"/>
    <cellStyle name="40% - Accent6 3 9 2 2" xfId="49473"/>
    <cellStyle name="40% - Accent6 3 9 3" xfId="47260"/>
    <cellStyle name="40% - Accent6 4" xfId="3176"/>
    <cellStyle name="40% - Accent6 4 2" xfId="25670"/>
    <cellStyle name="40% - Accent6 4 2 2" xfId="47915"/>
    <cellStyle name="40% - Accent6 5" xfId="7726"/>
    <cellStyle name="40% - Accent6 5 2" xfId="11055"/>
    <cellStyle name="40% - Accent6 5 2 2" xfId="17759"/>
    <cellStyle name="40% - Accent6 5 2 2 2" xfId="41180"/>
    <cellStyle name="40% - Accent6 5 2 3" xfId="34548"/>
    <cellStyle name="40% - Accent6 5 3" xfId="14443"/>
    <cellStyle name="40% - Accent6 5 3 2" xfId="37864"/>
    <cellStyle name="40% - Accent6 5 4" xfId="31232"/>
    <cellStyle name="40% - Accent6 6" xfId="9397"/>
    <cellStyle name="40% - Accent6 6 2" xfId="16101"/>
    <cellStyle name="40% - Accent6 6 2 2" xfId="39522"/>
    <cellStyle name="40% - Accent6 6 3" xfId="32890"/>
    <cellStyle name="40% - Accent6 7" xfId="12785"/>
    <cellStyle name="40% - Accent6 7 2" xfId="36206"/>
    <cellStyle name="40% - Accent6 8" xfId="23249"/>
    <cellStyle name="40% - Accent6 8 2" xfId="45644"/>
    <cellStyle name="40% - Accent6 9" xfId="29574"/>
    <cellStyle name="60% - Accent1" xfId="6043" builtinId="32" customBuiltin="1"/>
    <cellStyle name="60% - Accent1 2" xfId="211"/>
    <cellStyle name="60% - Accent1 2 2" xfId="3187"/>
    <cellStyle name="60% - Accent1 2 3" xfId="5077"/>
    <cellStyle name="60% - Accent1 2 4" xfId="3186"/>
    <cellStyle name="60% - Accent1 3" xfId="1040"/>
    <cellStyle name="60% - Accent1 3 2" xfId="3189"/>
    <cellStyle name="60% - Accent1 3 3" xfId="3188"/>
    <cellStyle name="60% - Accent1 3 4" xfId="23591"/>
    <cellStyle name="60% - Accent1 4" xfId="3185"/>
    <cellStyle name="60% - Accent2" xfId="6047" builtinId="36" customBuiltin="1"/>
    <cellStyle name="60% - Accent2 2" xfId="212"/>
    <cellStyle name="60% - Accent2 2 2" xfId="3192"/>
    <cellStyle name="60% - Accent2 2 3" xfId="5078"/>
    <cellStyle name="60% - Accent2 2 4" xfId="3191"/>
    <cellStyle name="60% - Accent2 3" xfId="1041"/>
    <cellStyle name="60% - Accent2 3 2" xfId="3194"/>
    <cellStyle name="60% - Accent2 3 3" xfId="3193"/>
    <cellStyle name="60% - Accent2 4" xfId="3190"/>
    <cellStyle name="60% - Accent3" xfId="6050" builtinId="40" customBuiltin="1"/>
    <cellStyle name="60% - Accent3 2" xfId="213"/>
    <cellStyle name="60% - Accent3 2 2" xfId="3197"/>
    <cellStyle name="60% - Accent3 2 3" xfId="5079"/>
    <cellStyle name="60% - Accent3 2 4" xfId="3196"/>
    <cellStyle name="60% - Accent3 3" xfId="1042"/>
    <cellStyle name="60% - Accent3 3 2" xfId="3199"/>
    <cellStyle name="60% - Accent3 3 3" xfId="3198"/>
    <cellStyle name="60% - Accent3 3 4" xfId="23590"/>
    <cellStyle name="60% - Accent3 4" xfId="3195"/>
    <cellStyle name="60% - Accent4" xfId="6054" builtinId="44" customBuiltin="1"/>
    <cellStyle name="60% - Accent4 2" xfId="214"/>
    <cellStyle name="60% - Accent4 2 2" xfId="3202"/>
    <cellStyle name="60% - Accent4 2 3" xfId="5080"/>
    <cellStyle name="60% - Accent4 2 4" xfId="3201"/>
    <cellStyle name="60% - Accent4 3" xfId="1043"/>
    <cellStyle name="60% - Accent4 3 2" xfId="3204"/>
    <cellStyle name="60% - Accent4 3 3" xfId="3203"/>
    <cellStyle name="60% - Accent4 3 4" xfId="23589"/>
    <cellStyle name="60% - Accent4 4" xfId="3200"/>
    <cellStyle name="60% - Accent5" xfId="6058" builtinId="48" customBuiltin="1"/>
    <cellStyle name="60% - Accent5 2" xfId="215"/>
    <cellStyle name="60% - Accent5 2 2" xfId="3207"/>
    <cellStyle name="60% - Accent5 2 3" xfId="5081"/>
    <cellStyle name="60% - Accent5 2 4" xfId="3206"/>
    <cellStyle name="60% - Accent5 3" xfId="1044"/>
    <cellStyle name="60% - Accent5 3 2" xfId="3209"/>
    <cellStyle name="60% - Accent5 3 3" xfId="3208"/>
    <cellStyle name="60% - Accent5 4" xfId="3205"/>
    <cellStyle name="60% - Accent6" xfId="6060" builtinId="52" customBuiltin="1"/>
    <cellStyle name="60% - Accent6 2" xfId="216"/>
    <cellStyle name="60% - Accent6 2 2" xfId="3212"/>
    <cellStyle name="60% - Accent6 2 3" xfId="5082"/>
    <cellStyle name="60% - Accent6 2 4" xfId="3211"/>
    <cellStyle name="60% - Accent6 3" xfId="1045"/>
    <cellStyle name="60% - Accent6 3 2" xfId="3214"/>
    <cellStyle name="60% - Accent6 3 3" xfId="3213"/>
    <cellStyle name="60% - Accent6 3 4" xfId="23588"/>
    <cellStyle name="60% - Accent6 4" xfId="3210"/>
    <cellStyle name="752131" xfId="217"/>
    <cellStyle name="752131 2" xfId="1992"/>
    <cellStyle name="752131 2 2" xfId="5407"/>
    <cellStyle name="752131 2 3" xfId="3215"/>
    <cellStyle name="A¨­￠￢￠O [0]_¨oCAuCoEⓒ÷ " xfId="3216"/>
    <cellStyle name="A¨­￠￢￠O_¨oCAuCoEⓒ÷ " xfId="3217"/>
    <cellStyle name="Accent1" xfId="6040" builtinId="29" customBuiltin="1"/>
    <cellStyle name="Accent1 2" xfId="218"/>
    <cellStyle name="Accent1 2 2" xfId="3220"/>
    <cellStyle name="Accent1 2 3" xfId="5083"/>
    <cellStyle name="Accent1 2 4" xfId="3219"/>
    <cellStyle name="Accent1 3" xfId="1046"/>
    <cellStyle name="Accent1 3 2" xfId="3222"/>
    <cellStyle name="Accent1 3 3" xfId="3221"/>
    <cellStyle name="Accent1 3 4" xfId="23587"/>
    <cellStyle name="Accent1 4" xfId="3218"/>
    <cellStyle name="Accent2" xfId="6044" builtinId="33" customBuiltin="1"/>
    <cellStyle name="Accent2 2" xfId="219"/>
    <cellStyle name="Accent2 2 2" xfId="3225"/>
    <cellStyle name="Accent2 2 3" xfId="5084"/>
    <cellStyle name="Accent2 2 4" xfId="3224"/>
    <cellStyle name="Accent2 3" xfId="1047"/>
    <cellStyle name="Accent2 3 2" xfId="3227"/>
    <cellStyle name="Accent2 3 3" xfId="3226"/>
    <cellStyle name="Accent2 3 4" xfId="23586"/>
    <cellStyle name="Accent2 4" xfId="3223"/>
    <cellStyle name="Accent3" xfId="6048" builtinId="37" customBuiltin="1"/>
    <cellStyle name="Accent3 2" xfId="220"/>
    <cellStyle name="Accent3 2 2" xfId="3230"/>
    <cellStyle name="Accent3 2 3" xfId="5085"/>
    <cellStyle name="Accent3 2 4" xfId="3229"/>
    <cellStyle name="Accent3 3" xfId="1048"/>
    <cellStyle name="Accent3 3 2" xfId="3232"/>
    <cellStyle name="Accent3 3 3" xfId="3231"/>
    <cellStyle name="Accent3 3 4" xfId="23585"/>
    <cellStyle name="Accent3 4" xfId="3228"/>
    <cellStyle name="Accent4" xfId="6051" builtinId="41" customBuiltin="1"/>
    <cellStyle name="Accent4 2" xfId="221"/>
    <cellStyle name="Accent4 3" xfId="1049"/>
    <cellStyle name="Accent4 3 2" xfId="3235"/>
    <cellStyle name="Accent4 3 3" xfId="3234"/>
    <cellStyle name="Accent4 3 4" xfId="23584"/>
    <cellStyle name="Accent4 4" xfId="3233"/>
    <cellStyle name="Accent5" xfId="6055" builtinId="45" customBuiltin="1"/>
    <cellStyle name="Accent5 2" xfId="222"/>
    <cellStyle name="Accent5 3" xfId="1050"/>
    <cellStyle name="Accent5 3 2" xfId="3238"/>
    <cellStyle name="Accent5 3 3" xfId="3237"/>
    <cellStyle name="Accent5 4" xfId="3236"/>
    <cellStyle name="Accent6" xfId="2839" builtinId="49" customBuiltin="1"/>
    <cellStyle name="Accent6 2" xfId="223"/>
    <cellStyle name="Accent6 2 2" xfId="3241"/>
    <cellStyle name="Accent6 2 3" xfId="5086"/>
    <cellStyle name="Accent6 2 4" xfId="3240"/>
    <cellStyle name="Accent6 3" xfId="1051"/>
    <cellStyle name="Accent6 3 2" xfId="3243"/>
    <cellStyle name="Accent6 3 3" xfId="3242"/>
    <cellStyle name="Accent6 3 4" xfId="23583"/>
    <cellStyle name="Accent6 4" xfId="3239"/>
    <cellStyle name="Acctg" xfId="224"/>
    <cellStyle name="ActgNumber" xfId="1197"/>
    <cellStyle name="ActgNumber 2" xfId="1524"/>
    <cellStyle name="ActgNumber 3" xfId="1993"/>
    <cellStyle name="ActgNumber 3 2" xfId="17858"/>
    <cellStyle name="AeE­ [0]_¼oAa½CAu " xfId="3244"/>
    <cellStyle name="ÅëÈ­ [0]_cover " xfId="3245"/>
    <cellStyle name="AeE­ [0]_INQUIRY ¿μ¾÷AßAø " xfId="3246"/>
    <cellStyle name="AeE­_¼oAa½CAu " xfId="3247"/>
    <cellStyle name="ÅëÈ­_cover " xfId="3248"/>
    <cellStyle name="AeE­_INQUIRY ¿μ¾÷AßAø " xfId="3249"/>
    <cellStyle name="AeE¡ⓒ [0]_¨oCAuCoEⓒ÷ " xfId="3250"/>
    <cellStyle name="AeE¡ⓒ_¨oCAuCoEⓒ÷ " xfId="3251"/>
    <cellStyle name="AFE" xfId="3252"/>
    <cellStyle name="ales" xfId="225"/>
    <cellStyle name="Analyst Name" xfId="4953"/>
    <cellStyle name="AÞ¸¶ [0]_¼oAa½CAu " xfId="3253"/>
    <cellStyle name="ÄÞ¸¶ [0]_cover " xfId="3254"/>
    <cellStyle name="AÞ¸¶ [0]_INQUIRY ¿μ¾÷AßAø " xfId="3255"/>
    <cellStyle name="AÞ¸¶_¼oAa½CAu " xfId="3256"/>
    <cellStyle name="ÄÞ¸¶_cover " xfId="3257"/>
    <cellStyle name="AÞ¸¶_INQUIRY ¿μ¾÷AßAø " xfId="3258"/>
    <cellStyle name="AttributeFloatStyle" xfId="23582"/>
    <cellStyle name="Availability" xfId="4954"/>
    <cellStyle name="_x0001_b" xfId="1052"/>
    <cellStyle name="Background" xfId="4955"/>
    <cellStyle name="Bad" xfId="6033" builtinId="27" customBuiltin="1"/>
    <cellStyle name="Bad 2" xfId="226"/>
    <cellStyle name="Bad 2 2" xfId="3261"/>
    <cellStyle name="Bad 2 3" xfId="5087"/>
    <cellStyle name="Bad 2 4" xfId="3260"/>
    <cellStyle name="Bad 3" xfId="1053"/>
    <cellStyle name="Bad 3 2" xfId="3263"/>
    <cellStyle name="Bad 3 3" xfId="3264"/>
    <cellStyle name="Bad 3 4" xfId="3262"/>
    <cellStyle name="Bad 4" xfId="3259"/>
    <cellStyle name="Balance Sheet" xfId="3265"/>
    <cellStyle name="BalanceSheet" xfId="3266"/>
    <cellStyle name="Band 2" xfId="227"/>
    <cellStyle name="Band 2 2" xfId="3267"/>
    <cellStyle name="Band 2 3" xfId="4775"/>
    <cellStyle name="big-font" xfId="3268"/>
    <cellStyle name="Blue" xfId="228"/>
    <cellStyle name="Blue 2" xfId="3269"/>
    <cellStyle name="Blue_CLS" xfId="11107"/>
    <cellStyle name="BLuedashZero" xfId="4956"/>
    <cellStyle name="Body" xfId="3270"/>
    <cellStyle name="Bold/Border" xfId="229"/>
    <cellStyle name="Border, Bottom" xfId="3271"/>
    <cellStyle name="Border, Left" xfId="3272"/>
    <cellStyle name="Border, Left 2" xfId="3273"/>
    <cellStyle name="Border, Left 3" xfId="5131"/>
    <cellStyle name="Border, Right" xfId="3274"/>
    <cellStyle name="Border, Right 2" xfId="23456"/>
    <cellStyle name="Border, Right 3" xfId="23250"/>
    <cellStyle name="Border, Top" xfId="3275"/>
    <cellStyle name="bottom-title" xfId="3276"/>
    <cellStyle name="Bullet" xfId="230"/>
    <cellStyle name="Bullet 2" xfId="3277"/>
    <cellStyle name="C?AØ_laroux_1ON" xfId="4957"/>
    <cellStyle name="c_HardInc" xfId="3278"/>
    <cellStyle name="c_HardInc " xfId="231"/>
    <cellStyle name="c_HardInc  2" xfId="232"/>
    <cellStyle name="c_HardInc  2 2" xfId="233"/>
    <cellStyle name="c_HardInc _Catalog" xfId="3279"/>
    <cellStyle name="c_HardInc _JapaneseCatalog" xfId="3280"/>
    <cellStyle name="c_HardInc _RRST1" xfId="234"/>
    <cellStyle name="c_HardInc _RRST1 2" xfId="235"/>
    <cellStyle name="c_HardInc _RRST12" xfId="1273"/>
    <cellStyle name="c_HardInc _RRST12 2" xfId="1994"/>
    <cellStyle name="c_HardInc _RRST15" xfId="1995"/>
    <cellStyle name="c_HardInc _RRST15 2" xfId="1996"/>
    <cellStyle name="c_HardInc _RRST19" xfId="1054"/>
    <cellStyle name="c_HardInc _RRST19 2" xfId="1055"/>
    <cellStyle name="c_HardInc _RRST20" xfId="236"/>
    <cellStyle name="c_HardInc _RRST20 2" xfId="237"/>
    <cellStyle name="c_HardInc _RRST25" xfId="3281"/>
    <cellStyle name="c_HardInc _RRST25 2" xfId="3282"/>
    <cellStyle name="c_HardInc _RRST3" xfId="1274"/>
    <cellStyle name="c_HardInc _RRST6" xfId="827"/>
    <cellStyle name="c_HardInc _RRST6 2" xfId="828"/>
    <cellStyle name="c_HardInc _RRST9" xfId="829"/>
    <cellStyle name="c_HardInc _RRST9 2" xfId="830"/>
    <cellStyle name="C¡IA¨ª_¡ic¨u¡A¨￢I¨￢¡Æ AN¡Æe " xfId="3283"/>
    <cellStyle name="C￥AØ_  FAB AIA¤  " xfId="3284"/>
    <cellStyle name="Ç¥ÁØ_»ç¾÷ºÎº° ÃÑ°è " xfId="3285"/>
    <cellStyle name="C￥AØ_≫c¾÷ºIº° AN°e " xfId="3286"/>
    <cellStyle name="Ç¥ÁØ_0N-HANDLING " xfId="3287"/>
    <cellStyle name="C￥AØ_¼±AoAc°i_1_³≫ºI°eE¹´e AßA¤A÷AI " xfId="3288"/>
    <cellStyle name="Ç¥ÁØ_5-1±¤°í " xfId="3289"/>
    <cellStyle name="C￥AØ_5-1±¤°i _6RCB1 " xfId="3290"/>
    <cellStyle name="Ç¥ÁØ_Áý°èÇ¥(2¿ù) " xfId="3291"/>
    <cellStyle name="C￥AØ_CoAo¹yAI °A¾×¿ⓒ½A " xfId="3292"/>
    <cellStyle name="Ç¥ÁØ_cover " xfId="3293"/>
    <cellStyle name="C05_Style E Text" xfId="238"/>
    <cellStyle name="Calc Currency (0)" xfId="3294"/>
    <cellStyle name="Calculation" xfId="6037" builtinId="22" customBuiltin="1"/>
    <cellStyle name="Calculation 2" xfId="239"/>
    <cellStyle name="Calculation 2 2" xfId="3297"/>
    <cellStyle name="Calculation 2 3" xfId="5088"/>
    <cellStyle name="Calculation 2 4" xfId="3296"/>
    <cellStyle name="Calculation 3" xfId="1056"/>
    <cellStyle name="Calculation 3 2" xfId="3299"/>
    <cellStyle name="Calculation 3 3" xfId="3298"/>
    <cellStyle name="Calculation 3 4" xfId="23579"/>
    <cellStyle name="Calculation 4" xfId="3295"/>
    <cellStyle name="CashFlow" xfId="3300"/>
    <cellStyle name="Cents" xfId="240"/>
    <cellStyle name="Cents 2" xfId="3301"/>
    <cellStyle name="Cents 3" xfId="4958"/>
    <cellStyle name="Change" xfId="3302"/>
    <cellStyle name="Changeable" xfId="241"/>
    <cellStyle name="ChartingText" xfId="3303"/>
    <cellStyle name="Check Cell" xfId="2835" builtinId="23" customBuiltin="1"/>
    <cellStyle name="Check Cell 2" xfId="242"/>
    <cellStyle name="Check Cell 3" xfId="1057"/>
    <cellStyle name="Check Cell 3 2" xfId="3306"/>
    <cellStyle name="Check Cell 3 3" xfId="3305"/>
    <cellStyle name="Check Cell 4" xfId="3304"/>
    <cellStyle name="CHPAboveAverage" xfId="3307"/>
    <cellStyle name="CHPBelowAverage" xfId="3308"/>
    <cellStyle name="CHPBottom" xfId="3309"/>
    <cellStyle name="CHPTop" xfId="3310"/>
    <cellStyle name="Colhead_left" xfId="243"/>
    <cellStyle name="ColHeading" xfId="4959"/>
    <cellStyle name="ColumnHeaderNormal" xfId="3311"/>
    <cellStyle name="ColumnHeadings" xfId="244"/>
    <cellStyle name="ColumnHeadings 2" xfId="1998"/>
    <cellStyle name="ColumnHeadings 3" xfId="1999"/>
    <cellStyle name="ColumnHeadings2" xfId="245"/>
    <cellStyle name="ColumnHeadings2 2" xfId="2000"/>
    <cellStyle name="ColumnHeadings2 3" xfId="2001"/>
    <cellStyle name="Comma" xfId="246" builtinId="3"/>
    <cellStyle name="Comma  - Style1" xfId="247"/>
    <cellStyle name="Comma  - Style1 2" xfId="4960"/>
    <cellStyle name="Comma  - Style2" xfId="248"/>
    <cellStyle name="Comma  - Style2 2" xfId="3313"/>
    <cellStyle name="Comma  - Style2 3" xfId="4961"/>
    <cellStyle name="Comma  - Style3" xfId="249"/>
    <cellStyle name="Comma  - Style3 2" xfId="3314"/>
    <cellStyle name="Comma  - Style3 3" xfId="4962"/>
    <cellStyle name="Comma  - Style4" xfId="250"/>
    <cellStyle name="Comma  - Style4 2" xfId="3315"/>
    <cellStyle name="Comma  - Style4 3" xfId="4963"/>
    <cellStyle name="Comma  - Style5" xfId="251"/>
    <cellStyle name="Comma  - Style5 2" xfId="3316"/>
    <cellStyle name="Comma  - Style5 3" xfId="4964"/>
    <cellStyle name="Comma  - Style6" xfId="252"/>
    <cellStyle name="Comma  - Style6 2" xfId="3317"/>
    <cellStyle name="Comma  - Style6 3" xfId="4965"/>
    <cellStyle name="Comma  - Style7" xfId="253"/>
    <cellStyle name="Comma  - Style7 2" xfId="3318"/>
    <cellStyle name="Comma  - Style7 3" xfId="4966"/>
    <cellStyle name="Comma  - Style8" xfId="254"/>
    <cellStyle name="Comma  - Style8 2" xfId="3319"/>
    <cellStyle name="Comma  - Style8 3" xfId="4967"/>
    <cellStyle name="Comma (1)" xfId="3320"/>
    <cellStyle name="Comma [0] 2" xfId="11093"/>
    <cellStyle name="Comma [0] 2 2" xfId="23578"/>
    <cellStyle name="Comma [0] 3" xfId="23577"/>
    <cellStyle name="Comma [1]" xfId="3321"/>
    <cellStyle name="Comma [2]" xfId="3322"/>
    <cellStyle name="Comma 10" xfId="255"/>
    <cellStyle name="Comma 10 2" xfId="256"/>
    <cellStyle name="Comma 10 2 2" xfId="257"/>
    <cellStyle name="Comma 10 2 2 2" xfId="3323"/>
    <cellStyle name="Comma 10 2 3" xfId="1059"/>
    <cellStyle name="Comma 10 2 3 2" xfId="3324"/>
    <cellStyle name="Comma 10 2 4" xfId="18396"/>
    <cellStyle name="Comma 10 3" xfId="258"/>
    <cellStyle name="Comma 10 3 2" xfId="259"/>
    <cellStyle name="Comma 10 3 2 2" xfId="3325"/>
    <cellStyle name="Comma 10 3 3" xfId="3326"/>
    <cellStyle name="Comma 10 4" xfId="260"/>
    <cellStyle name="Comma 10 4 2" xfId="3328"/>
    <cellStyle name="Comma 10 4 3" xfId="3329"/>
    <cellStyle name="Comma 10 4 4" xfId="3327"/>
    <cellStyle name="Comma 10 5" xfId="1058"/>
    <cellStyle name="Comma 10 5 2" xfId="3330"/>
    <cellStyle name="Comma 10 5 2 2" xfId="23475"/>
    <cellStyle name="Comma 10 5 2 2 2" xfId="45809"/>
    <cellStyle name="Comma 10 5 3" xfId="3331"/>
    <cellStyle name="Comma 10 5 4" xfId="3332"/>
    <cellStyle name="Comma 10 5 5" xfId="5089"/>
    <cellStyle name="Comma 10 5 5 2" xfId="7174"/>
    <cellStyle name="Comma 10 5 5 2 2" xfId="10505"/>
    <cellStyle name="Comma 10 5 5 2 2 2" xfId="17209"/>
    <cellStyle name="Comma 10 5 5 2 2 2 2" xfId="40630"/>
    <cellStyle name="Comma 10 5 5 2 2 3" xfId="33998"/>
    <cellStyle name="Comma 10 5 5 2 3" xfId="13893"/>
    <cellStyle name="Comma 10 5 5 2 3 2" xfId="37314"/>
    <cellStyle name="Comma 10 5 5 2 4" xfId="26016"/>
    <cellStyle name="Comma 10 5 5 2 4 2" xfId="48261"/>
    <cellStyle name="Comma 10 5 5 2 5" xfId="30682"/>
    <cellStyle name="Comma 10 5 5 3" xfId="8845"/>
    <cellStyle name="Comma 10 5 5 3 2" xfId="15551"/>
    <cellStyle name="Comma 10 5 5 3 2 2" xfId="38972"/>
    <cellStyle name="Comma 10 5 5 3 3" xfId="32340"/>
    <cellStyle name="Comma 10 5 5 4" xfId="12234"/>
    <cellStyle name="Comma 10 5 5 4 2" xfId="35656"/>
    <cellStyle name="Comma 10 5 5 5" xfId="23803"/>
    <cellStyle name="Comma 10 5 5 5 2" xfId="46068"/>
    <cellStyle name="Comma 10 5 5 6" xfId="29024"/>
    <cellStyle name="Comma 10 5 6" xfId="23354"/>
    <cellStyle name="Comma 10 5 6 2" xfId="45699"/>
    <cellStyle name="Comma 10 6" xfId="18395"/>
    <cellStyle name="Comma 100" xfId="3333"/>
    <cellStyle name="Comma 100 2" xfId="18397"/>
    <cellStyle name="Comma 101" xfId="3334"/>
    <cellStyle name="Comma 101 2" xfId="18398"/>
    <cellStyle name="Comma 102" xfId="3335"/>
    <cellStyle name="Comma 102 2" xfId="18399"/>
    <cellStyle name="Comma 103" xfId="3336"/>
    <cellStyle name="Comma 103 2" xfId="18400"/>
    <cellStyle name="Comma 104" xfId="3337"/>
    <cellStyle name="Comma 104 2" xfId="18401"/>
    <cellStyle name="Comma 105" xfId="3338"/>
    <cellStyle name="Comma 105 2" xfId="19098"/>
    <cellStyle name="Comma 106" xfId="3339"/>
    <cellStyle name="Comma 106 2" xfId="19099"/>
    <cellStyle name="Comma 107" xfId="3340"/>
    <cellStyle name="Comma 107 2" xfId="19100"/>
    <cellStyle name="Comma 108" xfId="3341"/>
    <cellStyle name="Comma 108 2" xfId="19101"/>
    <cellStyle name="Comma 109" xfId="3342"/>
    <cellStyle name="Comma 109 2" xfId="19102"/>
    <cellStyle name="Comma 11" xfId="261"/>
    <cellStyle name="Comma 11 2" xfId="262"/>
    <cellStyle name="Comma 11 2 2" xfId="263"/>
    <cellStyle name="Comma 11 2 2 2" xfId="3343"/>
    <cellStyle name="Comma 11 2 3" xfId="3344"/>
    <cellStyle name="Comma 11 3" xfId="264"/>
    <cellStyle name="Comma 11 3 2" xfId="265"/>
    <cellStyle name="Comma 11 3 2 2" xfId="3345"/>
    <cellStyle name="Comma 11 3 3" xfId="3346"/>
    <cellStyle name="Comma 11 4" xfId="266"/>
    <cellStyle name="Comma 11 4 2" xfId="3347"/>
    <cellStyle name="Comma 11 5" xfId="3348"/>
    <cellStyle name="Comma 110" xfId="3349"/>
    <cellStyle name="Comma 111" xfId="3350"/>
    <cellStyle name="Comma 112" xfId="3351"/>
    <cellStyle name="Comma 113" xfId="3352"/>
    <cellStyle name="Comma 114" xfId="3353"/>
    <cellStyle name="Comma 115" xfId="3354"/>
    <cellStyle name="Comma 116" xfId="3355"/>
    <cellStyle name="Comma 117" xfId="3356"/>
    <cellStyle name="Comma 118" xfId="3357"/>
    <cellStyle name="Comma 119" xfId="3358"/>
    <cellStyle name="Comma 12" xfId="267"/>
    <cellStyle name="Comma 12 2" xfId="268"/>
    <cellStyle name="Comma 12 2 2" xfId="3359"/>
    <cellStyle name="Comma 12 3" xfId="831"/>
    <cellStyle name="Comma 12 3 2" xfId="18403"/>
    <cellStyle name="Comma 12 4" xfId="18402"/>
    <cellStyle name="Comma 120" xfId="3360"/>
    <cellStyle name="Comma 121" xfId="3361"/>
    <cellStyle name="Comma 122" xfId="3362"/>
    <cellStyle name="Comma 123" xfId="4765"/>
    <cellStyle name="Comma 124" xfId="5140"/>
    <cellStyle name="Comma 125" xfId="3312"/>
    <cellStyle name="Comma 126" xfId="5168"/>
    <cellStyle name="Comma 127" xfId="5212"/>
    <cellStyle name="Comma 128" xfId="5349"/>
    <cellStyle name="Comma 129" xfId="5145"/>
    <cellStyle name="Comma 13" xfId="269"/>
    <cellStyle name="Comma 13 2" xfId="270"/>
    <cellStyle name="Comma 13 2 2" xfId="3363"/>
    <cellStyle name="Comma 13 3" xfId="832"/>
    <cellStyle name="Comma 13 3 2" xfId="18405"/>
    <cellStyle name="Comma 13 4" xfId="18404"/>
    <cellStyle name="Comma 130" xfId="5239"/>
    <cellStyle name="Comma 131" xfId="6013"/>
    <cellStyle name="Comma 132" xfId="5657"/>
    <cellStyle name="Comma 133" xfId="5224"/>
    <cellStyle name="Comma 134" xfId="5350"/>
    <cellStyle name="Comma 135" xfId="5939"/>
    <cellStyle name="Comma 136" xfId="6009"/>
    <cellStyle name="Comma 137" xfId="5204"/>
    <cellStyle name="Comma 138" xfId="5339"/>
    <cellStyle name="Comma 139" xfId="5943"/>
    <cellStyle name="Comma 14" xfId="271"/>
    <cellStyle name="Comma 14 2" xfId="272"/>
    <cellStyle name="Comma 14 2 2" xfId="3364"/>
    <cellStyle name="Comma 14 3" xfId="833"/>
    <cellStyle name="Comma 14 3 2" xfId="18407"/>
    <cellStyle name="Comma 14 4" xfId="18406"/>
    <cellStyle name="Comma 140" xfId="5155"/>
    <cellStyle name="Comma 141" xfId="5996"/>
    <cellStyle name="Comma 142" xfId="6010"/>
    <cellStyle name="Comma 143" xfId="5219"/>
    <cellStyle name="Comma 144" xfId="5196"/>
    <cellStyle name="Comma 145" xfId="5661"/>
    <cellStyle name="Comma 146" xfId="2842"/>
    <cellStyle name="Comma 146 2" xfId="6813"/>
    <cellStyle name="Comma 146 2 2" xfId="10145"/>
    <cellStyle name="Comma 146 2 2 2" xfId="16849"/>
    <cellStyle name="Comma 146 2 2 2 2" xfId="40270"/>
    <cellStyle name="Comma 146 2 2 3" xfId="33638"/>
    <cellStyle name="Comma 146 2 3" xfId="13533"/>
    <cellStyle name="Comma 146 2 3 2" xfId="36954"/>
    <cellStyle name="Comma 146 2 4" xfId="30322"/>
    <cellStyle name="Comma 146 3" xfId="8479"/>
    <cellStyle name="Comma 146 3 2" xfId="15191"/>
    <cellStyle name="Comma 146 3 2 2" xfId="38612"/>
    <cellStyle name="Comma 146 3 3" xfId="31980"/>
    <cellStyle name="Comma 146 4" xfId="11873"/>
    <cellStyle name="Comma 146 4 2" xfId="35296"/>
    <cellStyle name="Comma 146 5" xfId="28664"/>
    <cellStyle name="Comma 147" xfId="4760"/>
    <cellStyle name="Comma 147 2" xfId="7151"/>
    <cellStyle name="Comma 147 2 2" xfId="10483"/>
    <cellStyle name="Comma 147 2 2 2" xfId="17187"/>
    <cellStyle name="Comma 147 2 2 2 2" xfId="40608"/>
    <cellStyle name="Comma 147 2 2 3" xfId="33976"/>
    <cellStyle name="Comma 147 2 3" xfId="13871"/>
    <cellStyle name="Comma 147 2 3 2" xfId="37292"/>
    <cellStyle name="Comma 147 2 4" xfId="30660"/>
    <cellStyle name="Comma 147 3" xfId="8820"/>
    <cellStyle name="Comma 147 3 2" xfId="15529"/>
    <cellStyle name="Comma 147 3 2 2" xfId="38950"/>
    <cellStyle name="Comma 147 3 3" xfId="32318"/>
    <cellStyle name="Comma 147 4" xfId="12211"/>
    <cellStyle name="Comma 147 4 2" xfId="35634"/>
    <cellStyle name="Comma 147 5" xfId="29002"/>
    <cellStyle name="Comma 148" xfId="6022"/>
    <cellStyle name="Comma 148 2" xfId="7715"/>
    <cellStyle name="Comma 148 2 2" xfId="11044"/>
    <cellStyle name="Comma 148 2 2 2" xfId="17748"/>
    <cellStyle name="Comma 148 2 2 2 2" xfId="41169"/>
    <cellStyle name="Comma 148 2 2 3" xfId="34537"/>
    <cellStyle name="Comma 148 2 3" xfId="14432"/>
    <cellStyle name="Comma 148 2 3 2" xfId="37853"/>
    <cellStyle name="Comma 148 2 4" xfId="31221"/>
    <cellStyle name="Comma 148 3" xfId="9386"/>
    <cellStyle name="Comma 148 3 2" xfId="16090"/>
    <cellStyle name="Comma 148 3 2 2" xfId="39511"/>
    <cellStyle name="Comma 148 3 3" xfId="32879"/>
    <cellStyle name="Comma 148 4" xfId="12774"/>
    <cellStyle name="Comma 148 4 2" xfId="36195"/>
    <cellStyle name="Comma 148 5" xfId="29563"/>
    <cellStyle name="Comma 149" xfId="6019"/>
    <cellStyle name="Comma 149 2" xfId="7712"/>
    <cellStyle name="Comma 149 2 2" xfId="11041"/>
    <cellStyle name="Comma 149 2 2 2" xfId="17745"/>
    <cellStyle name="Comma 149 2 2 2 2" xfId="41166"/>
    <cellStyle name="Comma 149 2 2 3" xfId="34534"/>
    <cellStyle name="Comma 149 2 3" xfId="14429"/>
    <cellStyle name="Comma 149 2 3 2" xfId="37850"/>
    <cellStyle name="Comma 149 2 4" xfId="31218"/>
    <cellStyle name="Comma 149 3" xfId="9383"/>
    <cellStyle name="Comma 149 3 2" xfId="16087"/>
    <cellStyle name="Comma 149 3 2 2" xfId="39508"/>
    <cellStyle name="Comma 149 3 3" xfId="32876"/>
    <cellStyle name="Comma 149 4" xfId="12771"/>
    <cellStyle name="Comma 149 4 2" xfId="36192"/>
    <cellStyle name="Comma 149 5" xfId="29560"/>
    <cellStyle name="Comma 15" xfId="273"/>
    <cellStyle name="Comma 15 2" xfId="274"/>
    <cellStyle name="Comma 15 2 2" xfId="3365"/>
    <cellStyle name="Comma 15 3" xfId="3366"/>
    <cellStyle name="Comma 150" xfId="3707"/>
    <cellStyle name="Comma 150 2" xfId="6888"/>
    <cellStyle name="Comma 150 2 2" xfId="10220"/>
    <cellStyle name="Comma 150 2 2 2" xfId="16924"/>
    <cellStyle name="Comma 150 2 2 2 2" xfId="40345"/>
    <cellStyle name="Comma 150 2 2 3" xfId="33713"/>
    <cellStyle name="Comma 150 2 3" xfId="13608"/>
    <cellStyle name="Comma 150 2 3 2" xfId="37029"/>
    <cellStyle name="Comma 150 2 4" xfId="30397"/>
    <cellStyle name="Comma 150 3" xfId="8555"/>
    <cellStyle name="Comma 150 3 2" xfId="15266"/>
    <cellStyle name="Comma 150 3 2 2" xfId="38687"/>
    <cellStyle name="Comma 150 3 3" xfId="32055"/>
    <cellStyle name="Comma 150 4" xfId="11948"/>
    <cellStyle name="Comma 150 4 2" xfId="35371"/>
    <cellStyle name="Comma 150 5" xfId="28739"/>
    <cellStyle name="Comma 151" xfId="6066"/>
    <cellStyle name="Comma 151 2" xfId="7732"/>
    <cellStyle name="Comma 151 2 2" xfId="11061"/>
    <cellStyle name="Comma 151 2 2 2" xfId="17765"/>
    <cellStyle name="Comma 151 2 2 2 2" xfId="41186"/>
    <cellStyle name="Comma 151 2 2 3" xfId="34554"/>
    <cellStyle name="Comma 151 2 3" xfId="14449"/>
    <cellStyle name="Comma 151 2 3 2" xfId="37870"/>
    <cellStyle name="Comma 151 2 4" xfId="31238"/>
    <cellStyle name="Comma 151 3" xfId="9403"/>
    <cellStyle name="Comma 151 3 2" xfId="16107"/>
    <cellStyle name="Comma 151 3 2 2" xfId="39528"/>
    <cellStyle name="Comma 151 3 3" xfId="32896"/>
    <cellStyle name="Comma 151 4" xfId="12791"/>
    <cellStyle name="Comma 151 4 2" xfId="36212"/>
    <cellStyle name="Comma 151 5" xfId="29580"/>
    <cellStyle name="Comma 16" xfId="275"/>
    <cellStyle name="Comma 16 2" xfId="276"/>
    <cellStyle name="Comma 16 2 2" xfId="3367"/>
    <cellStyle name="Comma 16 3" xfId="3368"/>
    <cellStyle name="Comma 17" xfId="277"/>
    <cellStyle name="Comma 17 2" xfId="278"/>
    <cellStyle name="Comma 17 2 2" xfId="279"/>
    <cellStyle name="Comma 17 2 2 2" xfId="3369"/>
    <cellStyle name="Comma 17 2 3" xfId="3370"/>
    <cellStyle name="Comma 17 3" xfId="280"/>
    <cellStyle name="Comma 17 3 2" xfId="3371"/>
    <cellStyle name="Comma 17 4" xfId="3372"/>
    <cellStyle name="Comma 18" xfId="281"/>
    <cellStyle name="Comma 18 2" xfId="282"/>
    <cellStyle name="Comma 18 2 2" xfId="283"/>
    <cellStyle name="Comma 18 2 2 2" xfId="3373"/>
    <cellStyle name="Comma 18 2 3" xfId="3374"/>
    <cellStyle name="Comma 18 3" xfId="284"/>
    <cellStyle name="Comma 18 3 2" xfId="3375"/>
    <cellStyle name="Comma 18 4" xfId="3376"/>
    <cellStyle name="Comma 19" xfId="285"/>
    <cellStyle name="Comma 19 2" xfId="286"/>
    <cellStyle name="Comma 19 2 2" xfId="287"/>
    <cellStyle name="Comma 19 2 2 2" xfId="3377"/>
    <cellStyle name="Comma 19 2 3" xfId="3378"/>
    <cellStyle name="Comma 19 3" xfId="288"/>
    <cellStyle name="Comma 19 3 2" xfId="3379"/>
    <cellStyle name="Comma 19 4" xfId="1060"/>
    <cellStyle name="Comma 19 4 10" xfId="6076"/>
    <cellStyle name="Comma 19 4 10 2" xfId="9410"/>
    <cellStyle name="Comma 19 4 10 2 2" xfId="16114"/>
    <cellStyle name="Comma 19 4 10 2 2 2" xfId="39535"/>
    <cellStyle name="Comma 19 4 10 2 3" xfId="32903"/>
    <cellStyle name="Comma 19 4 10 3" xfId="12798"/>
    <cellStyle name="Comma 19 4 10 3 2" xfId="36219"/>
    <cellStyle name="Comma 19 4 10 4" xfId="29587"/>
    <cellStyle name="Comma 19 4 11" xfId="7741"/>
    <cellStyle name="Comma 19 4 11 2" xfId="14456"/>
    <cellStyle name="Comma 19 4 11 2 2" xfId="37877"/>
    <cellStyle name="Comma 19 4 11 3" xfId="31245"/>
    <cellStyle name="Comma 19 4 12" xfId="11138"/>
    <cellStyle name="Comma 19 4 12 2" xfId="34561"/>
    <cellStyle name="Comma 19 4 13" xfId="27929"/>
    <cellStyle name="Comma 19 4 2" xfId="1417"/>
    <cellStyle name="Comma 19 4 2 10" xfId="11166"/>
    <cellStyle name="Comma 19 4 2 10 2" xfId="34589"/>
    <cellStyle name="Comma 19 4 2 11" xfId="27957"/>
    <cellStyle name="Comma 19 4 2 2" xfId="1457"/>
    <cellStyle name="Comma 19 4 2 2 10" xfId="27993"/>
    <cellStyle name="Comma 19 4 2 2 2" xfId="1528"/>
    <cellStyle name="Comma 19 4 2 2 3" xfId="1772"/>
    <cellStyle name="Comma 19 4 2 2 3 2" xfId="2003"/>
    <cellStyle name="Comma 19 4 2 2 3 3" xfId="2769"/>
    <cellStyle name="Comma 19 4 2 2 3 3 2" xfId="5861"/>
    <cellStyle name="Comma 19 4 2 2 3 3 2 2" xfId="7643"/>
    <cellStyle name="Comma 19 4 2 2 3 3 2 2 2" xfId="10972"/>
    <cellStyle name="Comma 19 4 2 2 3 3 2 2 2 2" xfId="17676"/>
    <cellStyle name="Comma 19 4 2 2 3 3 2 2 2 2 2" xfId="41097"/>
    <cellStyle name="Comma 19 4 2 2 3 3 2 2 2 3" xfId="34465"/>
    <cellStyle name="Comma 19 4 2 2 3 3 2 2 3" xfId="14360"/>
    <cellStyle name="Comma 19 4 2 2 3 3 2 2 3 2" xfId="37781"/>
    <cellStyle name="Comma 19 4 2 2 3 3 2 2 4" xfId="31149"/>
    <cellStyle name="Comma 19 4 2 2 3 3 2 3" xfId="9314"/>
    <cellStyle name="Comma 19 4 2 2 3 3 2 3 2" xfId="16018"/>
    <cellStyle name="Comma 19 4 2 2 3 3 2 3 2 2" xfId="39439"/>
    <cellStyle name="Comma 19 4 2 2 3 3 2 3 3" xfId="32807"/>
    <cellStyle name="Comma 19 4 2 2 3 3 2 4" xfId="12702"/>
    <cellStyle name="Comma 19 4 2 2 3 3 2 4 2" xfId="36123"/>
    <cellStyle name="Comma 19 4 2 2 3 3 2 5" xfId="29491"/>
    <cellStyle name="Comma 19 4 2 2 3 3 3" xfId="6744"/>
    <cellStyle name="Comma 19 4 2 2 3 3 3 2" xfId="10076"/>
    <cellStyle name="Comma 19 4 2 2 3 3 3 2 2" xfId="16780"/>
    <cellStyle name="Comma 19 4 2 2 3 3 3 2 2 2" xfId="40201"/>
    <cellStyle name="Comma 19 4 2 2 3 3 3 2 3" xfId="33569"/>
    <cellStyle name="Comma 19 4 2 2 3 3 3 3" xfId="13464"/>
    <cellStyle name="Comma 19 4 2 2 3 3 3 3 2" xfId="36885"/>
    <cellStyle name="Comma 19 4 2 2 3 3 3 4" xfId="30253"/>
    <cellStyle name="Comma 19 4 2 2 3 3 4" xfId="8410"/>
    <cellStyle name="Comma 19 4 2 2 3 3 4 2" xfId="15122"/>
    <cellStyle name="Comma 19 4 2 2 3 3 4 2 2" xfId="38543"/>
    <cellStyle name="Comma 19 4 2 2 3 3 4 3" xfId="31911"/>
    <cellStyle name="Comma 19 4 2 2 3 3 5" xfId="11804"/>
    <cellStyle name="Comma 19 4 2 2 3 3 5 2" xfId="35227"/>
    <cellStyle name="Comma 19 4 2 2 3 3 6" xfId="28595"/>
    <cellStyle name="Comma 19 4 2 2 3 4" xfId="5387"/>
    <cellStyle name="Comma 19 4 2 2 3 4 2" xfId="7240"/>
    <cellStyle name="Comma 19 4 2 2 3 4 2 2" xfId="10571"/>
    <cellStyle name="Comma 19 4 2 2 3 4 2 2 2" xfId="17275"/>
    <cellStyle name="Comma 19 4 2 2 3 4 2 2 2 2" xfId="40696"/>
    <cellStyle name="Comma 19 4 2 2 3 4 2 2 3" xfId="34064"/>
    <cellStyle name="Comma 19 4 2 2 3 4 2 3" xfId="13959"/>
    <cellStyle name="Comma 19 4 2 2 3 4 2 3 2" xfId="37380"/>
    <cellStyle name="Comma 19 4 2 2 3 4 2 4" xfId="30748"/>
    <cellStyle name="Comma 19 4 2 2 3 4 3" xfId="8913"/>
    <cellStyle name="Comma 19 4 2 2 3 4 3 2" xfId="15617"/>
    <cellStyle name="Comma 19 4 2 2 3 4 3 2 2" xfId="39038"/>
    <cellStyle name="Comma 19 4 2 2 3 4 3 3" xfId="32406"/>
    <cellStyle name="Comma 19 4 2 2 3 4 4" xfId="12300"/>
    <cellStyle name="Comma 19 4 2 2 3 4 4 2" xfId="35722"/>
    <cellStyle name="Comma 19 4 2 2 3 4 5" xfId="29090"/>
    <cellStyle name="Comma 19 4 2 2 3 5" xfId="6271"/>
    <cellStyle name="Comma 19 4 2 2 3 5 2" xfId="9605"/>
    <cellStyle name="Comma 19 4 2 2 3 5 2 2" xfId="16309"/>
    <cellStyle name="Comma 19 4 2 2 3 5 2 2 2" xfId="39730"/>
    <cellStyle name="Comma 19 4 2 2 3 5 2 3" xfId="33098"/>
    <cellStyle name="Comma 19 4 2 2 3 5 3" xfId="12993"/>
    <cellStyle name="Comma 19 4 2 2 3 5 3 2" xfId="36414"/>
    <cellStyle name="Comma 19 4 2 2 3 5 4" xfId="29782"/>
    <cellStyle name="Comma 19 4 2 2 3 6" xfId="7937"/>
    <cellStyle name="Comma 19 4 2 2 3 6 2" xfId="14651"/>
    <cellStyle name="Comma 19 4 2 2 3 6 2 2" xfId="38072"/>
    <cellStyle name="Comma 19 4 2 2 3 6 3" xfId="31440"/>
    <cellStyle name="Comma 19 4 2 2 3 7" xfId="11333"/>
    <cellStyle name="Comma 19 4 2 2 3 7 2" xfId="34756"/>
    <cellStyle name="Comma 19 4 2 2 3 8" xfId="28124"/>
    <cellStyle name="Comma 19 4 2 2 4" xfId="2004"/>
    <cellStyle name="Comma 19 4 2 2 4 2" xfId="17859"/>
    <cellStyle name="Comma 19 4 2 2 5" xfId="2637"/>
    <cellStyle name="Comma 19 4 2 2 5 2" xfId="5730"/>
    <cellStyle name="Comma 19 4 2 2 5 2 2" xfId="7512"/>
    <cellStyle name="Comma 19 4 2 2 5 2 2 2" xfId="10841"/>
    <cellStyle name="Comma 19 4 2 2 5 2 2 2 2" xfId="17545"/>
    <cellStyle name="Comma 19 4 2 2 5 2 2 2 2 2" xfId="40966"/>
    <cellStyle name="Comma 19 4 2 2 5 2 2 2 3" xfId="34334"/>
    <cellStyle name="Comma 19 4 2 2 5 2 2 3" xfId="14229"/>
    <cellStyle name="Comma 19 4 2 2 5 2 2 3 2" xfId="37650"/>
    <cellStyle name="Comma 19 4 2 2 5 2 2 4" xfId="31018"/>
    <cellStyle name="Comma 19 4 2 2 5 2 3" xfId="9183"/>
    <cellStyle name="Comma 19 4 2 2 5 2 3 2" xfId="15887"/>
    <cellStyle name="Comma 19 4 2 2 5 2 3 2 2" xfId="39308"/>
    <cellStyle name="Comma 19 4 2 2 5 2 3 3" xfId="32676"/>
    <cellStyle name="Comma 19 4 2 2 5 2 4" xfId="12571"/>
    <cellStyle name="Comma 19 4 2 2 5 2 4 2" xfId="35992"/>
    <cellStyle name="Comma 19 4 2 2 5 2 5" xfId="18206"/>
    <cellStyle name="Comma 19 4 2 2 5 2 6" xfId="29360"/>
    <cellStyle name="Comma 19 4 2 2 5 3" xfId="6613"/>
    <cellStyle name="Comma 19 4 2 2 5 3 2" xfId="9945"/>
    <cellStyle name="Comma 19 4 2 2 5 3 2 2" xfId="16649"/>
    <cellStyle name="Comma 19 4 2 2 5 3 2 2 2" xfId="40070"/>
    <cellStyle name="Comma 19 4 2 2 5 3 2 3" xfId="33438"/>
    <cellStyle name="Comma 19 4 2 2 5 3 3" xfId="13333"/>
    <cellStyle name="Comma 19 4 2 2 5 3 3 2" xfId="36754"/>
    <cellStyle name="Comma 19 4 2 2 5 3 4" xfId="30122"/>
    <cellStyle name="Comma 19 4 2 2 5 4" xfId="8279"/>
    <cellStyle name="Comma 19 4 2 2 5 4 2" xfId="14991"/>
    <cellStyle name="Comma 19 4 2 2 5 4 2 2" xfId="38412"/>
    <cellStyle name="Comma 19 4 2 2 5 4 3" xfId="31780"/>
    <cellStyle name="Comma 19 4 2 2 5 5" xfId="11673"/>
    <cellStyle name="Comma 19 4 2 2 5 5 2" xfId="35096"/>
    <cellStyle name="Comma 19 4 2 2 5 6" xfId="18426"/>
    <cellStyle name="Comma 19 4 2 2 5 7" xfId="28464"/>
    <cellStyle name="Comma 19 4 2 2 6" xfId="5321"/>
    <cellStyle name="Comma 19 4 2 2 6 2" xfId="7209"/>
    <cellStyle name="Comma 19 4 2 2 6 2 2" xfId="10540"/>
    <cellStyle name="Comma 19 4 2 2 6 2 2 2" xfId="17244"/>
    <cellStyle name="Comma 19 4 2 2 6 2 2 2 2" xfId="40665"/>
    <cellStyle name="Comma 19 4 2 2 6 2 2 3" xfId="34033"/>
    <cellStyle name="Comma 19 4 2 2 6 2 3" xfId="13928"/>
    <cellStyle name="Comma 19 4 2 2 6 2 3 2" xfId="37349"/>
    <cellStyle name="Comma 19 4 2 2 6 2 4" xfId="30717"/>
    <cellStyle name="Comma 19 4 2 2 6 3" xfId="8882"/>
    <cellStyle name="Comma 19 4 2 2 6 3 2" xfId="15586"/>
    <cellStyle name="Comma 19 4 2 2 6 3 2 2" xfId="39007"/>
    <cellStyle name="Comma 19 4 2 2 6 3 3" xfId="32375"/>
    <cellStyle name="Comma 19 4 2 2 6 4" xfId="12269"/>
    <cellStyle name="Comma 19 4 2 2 6 4 2" xfId="35691"/>
    <cellStyle name="Comma 19 4 2 2 6 5" xfId="29059"/>
    <cellStyle name="Comma 19 4 2 2 7" xfId="6140"/>
    <cellStyle name="Comma 19 4 2 2 7 2" xfId="9474"/>
    <cellStyle name="Comma 19 4 2 2 7 2 2" xfId="16178"/>
    <cellStyle name="Comma 19 4 2 2 7 2 2 2" xfId="39599"/>
    <cellStyle name="Comma 19 4 2 2 7 2 3" xfId="32967"/>
    <cellStyle name="Comma 19 4 2 2 7 3" xfId="12862"/>
    <cellStyle name="Comma 19 4 2 2 7 3 2" xfId="36283"/>
    <cellStyle name="Comma 19 4 2 2 7 4" xfId="29651"/>
    <cellStyle name="Comma 19 4 2 2 8" xfId="7806"/>
    <cellStyle name="Comma 19 4 2 2 8 2" xfId="14520"/>
    <cellStyle name="Comma 19 4 2 2 8 2 2" xfId="37941"/>
    <cellStyle name="Comma 19 4 2 2 8 3" xfId="31309"/>
    <cellStyle name="Comma 19 4 2 2 9" xfId="11202"/>
    <cellStyle name="Comma 19 4 2 2 9 2" xfId="34625"/>
    <cellStyle name="Comma 19 4 2 3" xfId="1527"/>
    <cellStyle name="Comma 19 4 2 4" xfId="1736"/>
    <cellStyle name="Comma 19 4 2 4 2" xfId="2005"/>
    <cellStyle name="Comma 19 4 2 4 3" xfId="2733"/>
    <cellStyle name="Comma 19 4 2 4 3 2" xfId="5825"/>
    <cellStyle name="Comma 19 4 2 4 3 2 2" xfId="7607"/>
    <cellStyle name="Comma 19 4 2 4 3 2 2 2" xfId="10936"/>
    <cellStyle name="Comma 19 4 2 4 3 2 2 2 2" xfId="17640"/>
    <cellStyle name="Comma 19 4 2 4 3 2 2 2 2 2" xfId="41061"/>
    <cellStyle name="Comma 19 4 2 4 3 2 2 2 3" xfId="34429"/>
    <cellStyle name="Comma 19 4 2 4 3 2 2 3" xfId="14324"/>
    <cellStyle name="Comma 19 4 2 4 3 2 2 3 2" xfId="37745"/>
    <cellStyle name="Comma 19 4 2 4 3 2 2 4" xfId="31113"/>
    <cellStyle name="Comma 19 4 2 4 3 2 3" xfId="9278"/>
    <cellStyle name="Comma 19 4 2 4 3 2 3 2" xfId="15982"/>
    <cellStyle name="Comma 19 4 2 4 3 2 3 2 2" xfId="39403"/>
    <cellStyle name="Comma 19 4 2 4 3 2 3 3" xfId="32771"/>
    <cellStyle name="Comma 19 4 2 4 3 2 4" xfId="12666"/>
    <cellStyle name="Comma 19 4 2 4 3 2 4 2" xfId="36087"/>
    <cellStyle name="Comma 19 4 2 4 3 2 5" xfId="29455"/>
    <cellStyle name="Comma 19 4 2 4 3 3" xfId="6708"/>
    <cellStyle name="Comma 19 4 2 4 3 3 2" xfId="10040"/>
    <cellStyle name="Comma 19 4 2 4 3 3 2 2" xfId="16744"/>
    <cellStyle name="Comma 19 4 2 4 3 3 2 2 2" xfId="40165"/>
    <cellStyle name="Comma 19 4 2 4 3 3 2 3" xfId="33533"/>
    <cellStyle name="Comma 19 4 2 4 3 3 3" xfId="13428"/>
    <cellStyle name="Comma 19 4 2 4 3 3 3 2" xfId="36849"/>
    <cellStyle name="Comma 19 4 2 4 3 3 4" xfId="30217"/>
    <cellStyle name="Comma 19 4 2 4 3 4" xfId="8374"/>
    <cellStyle name="Comma 19 4 2 4 3 4 2" xfId="15086"/>
    <cellStyle name="Comma 19 4 2 4 3 4 2 2" xfId="38507"/>
    <cellStyle name="Comma 19 4 2 4 3 4 3" xfId="31875"/>
    <cellStyle name="Comma 19 4 2 4 3 5" xfId="11768"/>
    <cellStyle name="Comma 19 4 2 4 3 5 2" xfId="35191"/>
    <cellStyle name="Comma 19 4 2 4 3 6" xfId="28559"/>
    <cellStyle name="Comma 19 4 2 4 4" xfId="5373"/>
    <cellStyle name="Comma 19 4 2 4 4 2" xfId="7227"/>
    <cellStyle name="Comma 19 4 2 4 4 2 2" xfId="10558"/>
    <cellStyle name="Comma 19 4 2 4 4 2 2 2" xfId="17262"/>
    <cellStyle name="Comma 19 4 2 4 4 2 2 2 2" xfId="40683"/>
    <cellStyle name="Comma 19 4 2 4 4 2 2 3" xfId="34051"/>
    <cellStyle name="Comma 19 4 2 4 4 2 3" xfId="13946"/>
    <cellStyle name="Comma 19 4 2 4 4 2 3 2" xfId="37367"/>
    <cellStyle name="Comma 19 4 2 4 4 2 4" xfId="30735"/>
    <cellStyle name="Comma 19 4 2 4 4 3" xfId="8900"/>
    <cellStyle name="Comma 19 4 2 4 4 3 2" xfId="15604"/>
    <cellStyle name="Comma 19 4 2 4 4 3 2 2" xfId="39025"/>
    <cellStyle name="Comma 19 4 2 4 4 3 3" xfId="32393"/>
    <cellStyle name="Comma 19 4 2 4 4 4" xfId="12287"/>
    <cellStyle name="Comma 19 4 2 4 4 4 2" xfId="35709"/>
    <cellStyle name="Comma 19 4 2 4 4 5" xfId="29077"/>
    <cellStyle name="Comma 19 4 2 4 5" xfId="6235"/>
    <cellStyle name="Comma 19 4 2 4 5 2" xfId="9569"/>
    <cellStyle name="Comma 19 4 2 4 5 2 2" xfId="16273"/>
    <cellStyle name="Comma 19 4 2 4 5 2 2 2" xfId="39694"/>
    <cellStyle name="Comma 19 4 2 4 5 2 3" xfId="33062"/>
    <cellStyle name="Comma 19 4 2 4 5 3" xfId="12957"/>
    <cellStyle name="Comma 19 4 2 4 5 3 2" xfId="36378"/>
    <cellStyle name="Comma 19 4 2 4 5 4" xfId="29746"/>
    <cellStyle name="Comma 19 4 2 4 6" xfId="7901"/>
    <cellStyle name="Comma 19 4 2 4 6 2" xfId="14615"/>
    <cellStyle name="Comma 19 4 2 4 6 2 2" xfId="38036"/>
    <cellStyle name="Comma 19 4 2 4 6 3" xfId="31404"/>
    <cellStyle name="Comma 19 4 2 4 7" xfId="11297"/>
    <cellStyle name="Comma 19 4 2 4 7 2" xfId="34720"/>
    <cellStyle name="Comma 19 4 2 4 8" xfId="28088"/>
    <cellStyle name="Comma 19 4 2 5" xfId="2006"/>
    <cellStyle name="Comma 19 4 2 5 2" xfId="17860"/>
    <cellStyle name="Comma 19 4 2 6" xfId="2601"/>
    <cellStyle name="Comma 19 4 2 6 2" xfId="5694"/>
    <cellStyle name="Comma 19 4 2 6 2 2" xfId="7476"/>
    <cellStyle name="Comma 19 4 2 6 2 2 2" xfId="10805"/>
    <cellStyle name="Comma 19 4 2 6 2 2 2 2" xfId="17509"/>
    <cellStyle name="Comma 19 4 2 6 2 2 2 2 2" xfId="40930"/>
    <cellStyle name="Comma 19 4 2 6 2 2 2 3" xfId="34298"/>
    <cellStyle name="Comma 19 4 2 6 2 2 3" xfId="14193"/>
    <cellStyle name="Comma 19 4 2 6 2 2 3 2" xfId="37614"/>
    <cellStyle name="Comma 19 4 2 6 2 2 4" xfId="30982"/>
    <cellStyle name="Comma 19 4 2 6 2 3" xfId="9147"/>
    <cellStyle name="Comma 19 4 2 6 2 3 2" xfId="15851"/>
    <cellStyle name="Comma 19 4 2 6 2 3 2 2" xfId="39272"/>
    <cellStyle name="Comma 19 4 2 6 2 3 3" xfId="32640"/>
    <cellStyle name="Comma 19 4 2 6 2 4" xfId="12535"/>
    <cellStyle name="Comma 19 4 2 6 2 4 2" xfId="35956"/>
    <cellStyle name="Comma 19 4 2 6 2 5" xfId="18207"/>
    <cellStyle name="Comma 19 4 2 6 2 6" xfId="29324"/>
    <cellStyle name="Comma 19 4 2 6 3" xfId="6577"/>
    <cellStyle name="Comma 19 4 2 6 3 2" xfId="9909"/>
    <cellStyle name="Comma 19 4 2 6 3 2 2" xfId="16613"/>
    <cellStyle name="Comma 19 4 2 6 3 2 2 2" xfId="40034"/>
    <cellStyle name="Comma 19 4 2 6 3 2 3" xfId="33402"/>
    <cellStyle name="Comma 19 4 2 6 3 3" xfId="13297"/>
    <cellStyle name="Comma 19 4 2 6 3 3 2" xfId="36718"/>
    <cellStyle name="Comma 19 4 2 6 3 4" xfId="30086"/>
    <cellStyle name="Comma 19 4 2 6 4" xfId="8243"/>
    <cellStyle name="Comma 19 4 2 6 4 2" xfId="14955"/>
    <cellStyle name="Comma 19 4 2 6 4 2 2" xfId="38376"/>
    <cellStyle name="Comma 19 4 2 6 4 3" xfId="31744"/>
    <cellStyle name="Comma 19 4 2 6 5" xfId="11637"/>
    <cellStyle name="Comma 19 4 2 6 5 2" xfId="35060"/>
    <cellStyle name="Comma 19 4 2 6 6" xfId="18427"/>
    <cellStyle name="Comma 19 4 2 6 7" xfId="28428"/>
    <cellStyle name="Comma 19 4 2 7" xfId="5305"/>
    <cellStyle name="Comma 19 4 2 7 2" xfId="7196"/>
    <cellStyle name="Comma 19 4 2 7 2 2" xfId="10527"/>
    <cellStyle name="Comma 19 4 2 7 2 2 2" xfId="17231"/>
    <cellStyle name="Comma 19 4 2 7 2 2 2 2" xfId="40652"/>
    <cellStyle name="Comma 19 4 2 7 2 2 3" xfId="34020"/>
    <cellStyle name="Comma 19 4 2 7 2 3" xfId="13915"/>
    <cellStyle name="Comma 19 4 2 7 2 3 2" xfId="37336"/>
    <cellStyle name="Comma 19 4 2 7 2 4" xfId="30704"/>
    <cellStyle name="Comma 19 4 2 7 3" xfId="8869"/>
    <cellStyle name="Comma 19 4 2 7 3 2" xfId="15573"/>
    <cellStyle name="Comma 19 4 2 7 3 2 2" xfId="38994"/>
    <cellStyle name="Comma 19 4 2 7 3 3" xfId="32362"/>
    <cellStyle name="Comma 19 4 2 7 4" xfId="12256"/>
    <cellStyle name="Comma 19 4 2 7 4 2" xfId="35678"/>
    <cellStyle name="Comma 19 4 2 7 5" xfId="29046"/>
    <cellStyle name="Comma 19 4 2 8" xfId="6104"/>
    <cellStyle name="Comma 19 4 2 8 2" xfId="9438"/>
    <cellStyle name="Comma 19 4 2 8 2 2" xfId="16142"/>
    <cellStyle name="Comma 19 4 2 8 2 2 2" xfId="39563"/>
    <cellStyle name="Comma 19 4 2 8 2 3" xfId="32931"/>
    <cellStyle name="Comma 19 4 2 8 3" xfId="12826"/>
    <cellStyle name="Comma 19 4 2 8 3 2" xfId="36247"/>
    <cellStyle name="Comma 19 4 2 8 4" xfId="29615"/>
    <cellStyle name="Comma 19 4 2 9" xfId="7770"/>
    <cellStyle name="Comma 19 4 2 9 2" xfId="14484"/>
    <cellStyle name="Comma 19 4 2 9 2 2" xfId="37905"/>
    <cellStyle name="Comma 19 4 2 9 3" xfId="31273"/>
    <cellStyle name="Comma 19 4 3" xfId="1429"/>
    <cellStyle name="Comma 19 4 3 10" xfId="27965"/>
    <cellStyle name="Comma 19 4 3 2" xfId="1529"/>
    <cellStyle name="Comma 19 4 3 3" xfId="1744"/>
    <cellStyle name="Comma 19 4 3 3 2" xfId="2007"/>
    <cellStyle name="Comma 19 4 3 3 3" xfId="2741"/>
    <cellStyle name="Comma 19 4 3 3 3 2" xfId="5833"/>
    <cellStyle name="Comma 19 4 3 3 3 2 2" xfId="7615"/>
    <cellStyle name="Comma 19 4 3 3 3 2 2 2" xfId="10944"/>
    <cellStyle name="Comma 19 4 3 3 3 2 2 2 2" xfId="17648"/>
    <cellStyle name="Comma 19 4 3 3 3 2 2 2 2 2" xfId="41069"/>
    <cellStyle name="Comma 19 4 3 3 3 2 2 2 3" xfId="34437"/>
    <cellStyle name="Comma 19 4 3 3 3 2 2 3" xfId="14332"/>
    <cellStyle name="Comma 19 4 3 3 3 2 2 3 2" xfId="37753"/>
    <cellStyle name="Comma 19 4 3 3 3 2 2 4" xfId="31121"/>
    <cellStyle name="Comma 19 4 3 3 3 2 3" xfId="9286"/>
    <cellStyle name="Comma 19 4 3 3 3 2 3 2" xfId="15990"/>
    <cellStyle name="Comma 19 4 3 3 3 2 3 2 2" xfId="39411"/>
    <cellStyle name="Comma 19 4 3 3 3 2 3 3" xfId="32779"/>
    <cellStyle name="Comma 19 4 3 3 3 2 4" xfId="12674"/>
    <cellStyle name="Comma 19 4 3 3 3 2 4 2" xfId="36095"/>
    <cellStyle name="Comma 19 4 3 3 3 2 5" xfId="29463"/>
    <cellStyle name="Comma 19 4 3 3 3 3" xfId="6716"/>
    <cellStyle name="Comma 19 4 3 3 3 3 2" xfId="10048"/>
    <cellStyle name="Comma 19 4 3 3 3 3 2 2" xfId="16752"/>
    <cellStyle name="Comma 19 4 3 3 3 3 2 2 2" xfId="40173"/>
    <cellStyle name="Comma 19 4 3 3 3 3 2 3" xfId="33541"/>
    <cellStyle name="Comma 19 4 3 3 3 3 3" xfId="13436"/>
    <cellStyle name="Comma 19 4 3 3 3 3 3 2" xfId="36857"/>
    <cellStyle name="Comma 19 4 3 3 3 3 4" xfId="30225"/>
    <cellStyle name="Comma 19 4 3 3 3 4" xfId="8382"/>
    <cellStyle name="Comma 19 4 3 3 3 4 2" xfId="15094"/>
    <cellStyle name="Comma 19 4 3 3 3 4 2 2" xfId="38515"/>
    <cellStyle name="Comma 19 4 3 3 3 4 3" xfId="31883"/>
    <cellStyle name="Comma 19 4 3 3 3 5" xfId="11776"/>
    <cellStyle name="Comma 19 4 3 3 3 5 2" xfId="35199"/>
    <cellStyle name="Comma 19 4 3 3 3 6" xfId="28567"/>
    <cellStyle name="Comma 19 4 3 3 4" xfId="5375"/>
    <cellStyle name="Comma 19 4 3 3 4 2" xfId="7229"/>
    <cellStyle name="Comma 19 4 3 3 4 2 2" xfId="10560"/>
    <cellStyle name="Comma 19 4 3 3 4 2 2 2" xfId="17264"/>
    <cellStyle name="Comma 19 4 3 3 4 2 2 2 2" xfId="40685"/>
    <cellStyle name="Comma 19 4 3 3 4 2 2 3" xfId="34053"/>
    <cellStyle name="Comma 19 4 3 3 4 2 3" xfId="13948"/>
    <cellStyle name="Comma 19 4 3 3 4 2 3 2" xfId="37369"/>
    <cellStyle name="Comma 19 4 3 3 4 2 4" xfId="30737"/>
    <cellStyle name="Comma 19 4 3 3 4 3" xfId="8902"/>
    <cellStyle name="Comma 19 4 3 3 4 3 2" xfId="15606"/>
    <cellStyle name="Comma 19 4 3 3 4 3 2 2" xfId="39027"/>
    <cellStyle name="Comma 19 4 3 3 4 3 3" xfId="32395"/>
    <cellStyle name="Comma 19 4 3 3 4 4" xfId="12289"/>
    <cellStyle name="Comma 19 4 3 3 4 4 2" xfId="35711"/>
    <cellStyle name="Comma 19 4 3 3 4 5" xfId="29079"/>
    <cellStyle name="Comma 19 4 3 3 5" xfId="6243"/>
    <cellStyle name="Comma 19 4 3 3 5 2" xfId="9577"/>
    <cellStyle name="Comma 19 4 3 3 5 2 2" xfId="16281"/>
    <cellStyle name="Comma 19 4 3 3 5 2 2 2" xfId="39702"/>
    <cellStyle name="Comma 19 4 3 3 5 2 3" xfId="33070"/>
    <cellStyle name="Comma 19 4 3 3 5 3" xfId="12965"/>
    <cellStyle name="Comma 19 4 3 3 5 3 2" xfId="36386"/>
    <cellStyle name="Comma 19 4 3 3 5 4" xfId="29754"/>
    <cellStyle name="Comma 19 4 3 3 6" xfId="7909"/>
    <cellStyle name="Comma 19 4 3 3 6 2" xfId="14623"/>
    <cellStyle name="Comma 19 4 3 3 6 2 2" xfId="38044"/>
    <cellStyle name="Comma 19 4 3 3 6 3" xfId="31412"/>
    <cellStyle name="Comma 19 4 3 3 7" xfId="11305"/>
    <cellStyle name="Comma 19 4 3 3 7 2" xfId="34728"/>
    <cellStyle name="Comma 19 4 3 3 8" xfId="28096"/>
    <cellStyle name="Comma 19 4 3 4" xfId="2008"/>
    <cellStyle name="Comma 19 4 3 4 2" xfId="17861"/>
    <cellStyle name="Comma 19 4 3 5" xfId="2609"/>
    <cellStyle name="Comma 19 4 3 5 2" xfId="5702"/>
    <cellStyle name="Comma 19 4 3 5 2 2" xfId="7484"/>
    <cellStyle name="Comma 19 4 3 5 2 2 2" xfId="10813"/>
    <cellStyle name="Comma 19 4 3 5 2 2 2 2" xfId="17517"/>
    <cellStyle name="Comma 19 4 3 5 2 2 2 2 2" xfId="40938"/>
    <cellStyle name="Comma 19 4 3 5 2 2 2 3" xfId="34306"/>
    <cellStyle name="Comma 19 4 3 5 2 2 3" xfId="14201"/>
    <cellStyle name="Comma 19 4 3 5 2 2 3 2" xfId="37622"/>
    <cellStyle name="Comma 19 4 3 5 2 2 4" xfId="30990"/>
    <cellStyle name="Comma 19 4 3 5 2 3" xfId="9155"/>
    <cellStyle name="Comma 19 4 3 5 2 3 2" xfId="15859"/>
    <cellStyle name="Comma 19 4 3 5 2 3 2 2" xfId="39280"/>
    <cellStyle name="Comma 19 4 3 5 2 3 3" xfId="32648"/>
    <cellStyle name="Comma 19 4 3 5 2 4" xfId="12543"/>
    <cellStyle name="Comma 19 4 3 5 2 4 2" xfId="35964"/>
    <cellStyle name="Comma 19 4 3 5 2 5" xfId="18208"/>
    <cellStyle name="Comma 19 4 3 5 2 6" xfId="29332"/>
    <cellStyle name="Comma 19 4 3 5 3" xfId="6585"/>
    <cellStyle name="Comma 19 4 3 5 3 2" xfId="9917"/>
    <cellStyle name="Comma 19 4 3 5 3 2 2" xfId="16621"/>
    <cellStyle name="Comma 19 4 3 5 3 2 2 2" xfId="40042"/>
    <cellStyle name="Comma 19 4 3 5 3 2 3" xfId="33410"/>
    <cellStyle name="Comma 19 4 3 5 3 3" xfId="13305"/>
    <cellStyle name="Comma 19 4 3 5 3 3 2" xfId="36726"/>
    <cellStyle name="Comma 19 4 3 5 3 4" xfId="30094"/>
    <cellStyle name="Comma 19 4 3 5 4" xfId="8251"/>
    <cellStyle name="Comma 19 4 3 5 4 2" xfId="14963"/>
    <cellStyle name="Comma 19 4 3 5 4 2 2" xfId="38384"/>
    <cellStyle name="Comma 19 4 3 5 4 3" xfId="31752"/>
    <cellStyle name="Comma 19 4 3 5 5" xfId="11645"/>
    <cellStyle name="Comma 19 4 3 5 5 2" xfId="35068"/>
    <cellStyle name="Comma 19 4 3 5 6" xfId="20410"/>
    <cellStyle name="Comma 19 4 3 5 7" xfId="28436"/>
    <cellStyle name="Comma 19 4 3 6" xfId="5307"/>
    <cellStyle name="Comma 19 4 3 6 2" xfId="7198"/>
    <cellStyle name="Comma 19 4 3 6 2 2" xfId="10529"/>
    <cellStyle name="Comma 19 4 3 6 2 2 2" xfId="17233"/>
    <cellStyle name="Comma 19 4 3 6 2 2 2 2" xfId="40654"/>
    <cellStyle name="Comma 19 4 3 6 2 2 3" xfId="34022"/>
    <cellStyle name="Comma 19 4 3 6 2 3" xfId="13917"/>
    <cellStyle name="Comma 19 4 3 6 2 3 2" xfId="37338"/>
    <cellStyle name="Comma 19 4 3 6 2 4" xfId="30706"/>
    <cellStyle name="Comma 19 4 3 6 3" xfId="8871"/>
    <cellStyle name="Comma 19 4 3 6 3 2" xfId="15575"/>
    <cellStyle name="Comma 19 4 3 6 3 2 2" xfId="38996"/>
    <cellStyle name="Comma 19 4 3 6 3 3" xfId="32364"/>
    <cellStyle name="Comma 19 4 3 6 4" xfId="12258"/>
    <cellStyle name="Comma 19 4 3 6 4 2" xfId="35680"/>
    <cellStyle name="Comma 19 4 3 6 5" xfId="29048"/>
    <cellStyle name="Comma 19 4 3 7" xfId="6112"/>
    <cellStyle name="Comma 19 4 3 7 2" xfId="9446"/>
    <cellStyle name="Comma 19 4 3 7 2 2" xfId="16150"/>
    <cellStyle name="Comma 19 4 3 7 2 2 2" xfId="39571"/>
    <cellStyle name="Comma 19 4 3 7 2 3" xfId="32939"/>
    <cellStyle name="Comma 19 4 3 7 3" xfId="12834"/>
    <cellStyle name="Comma 19 4 3 7 3 2" xfId="36255"/>
    <cellStyle name="Comma 19 4 3 7 4" xfId="29623"/>
    <cellStyle name="Comma 19 4 3 8" xfId="7778"/>
    <cellStyle name="Comma 19 4 3 8 2" xfId="14492"/>
    <cellStyle name="Comma 19 4 3 8 2 2" xfId="37913"/>
    <cellStyle name="Comma 19 4 3 8 3" xfId="31281"/>
    <cellStyle name="Comma 19 4 3 9" xfId="11174"/>
    <cellStyle name="Comma 19 4 3 9 2" xfId="34597"/>
    <cellStyle name="Comma 19 4 4" xfId="1526"/>
    <cellStyle name="Comma 19 4 5" xfId="1707"/>
    <cellStyle name="Comma 19 4 5 2" xfId="2009"/>
    <cellStyle name="Comma 19 4 5 3" xfId="2705"/>
    <cellStyle name="Comma 19 4 5 3 2" xfId="5797"/>
    <cellStyle name="Comma 19 4 5 3 2 2" xfId="7579"/>
    <cellStyle name="Comma 19 4 5 3 2 2 2" xfId="10908"/>
    <cellStyle name="Comma 19 4 5 3 2 2 2 2" xfId="17612"/>
    <cellStyle name="Comma 19 4 5 3 2 2 2 2 2" xfId="41033"/>
    <cellStyle name="Comma 19 4 5 3 2 2 2 3" xfId="34401"/>
    <cellStyle name="Comma 19 4 5 3 2 2 3" xfId="14296"/>
    <cellStyle name="Comma 19 4 5 3 2 2 3 2" xfId="37717"/>
    <cellStyle name="Comma 19 4 5 3 2 2 4" xfId="31085"/>
    <cellStyle name="Comma 19 4 5 3 2 3" xfId="9250"/>
    <cellStyle name="Comma 19 4 5 3 2 3 2" xfId="15954"/>
    <cellStyle name="Comma 19 4 5 3 2 3 2 2" xfId="39375"/>
    <cellStyle name="Comma 19 4 5 3 2 3 3" xfId="32743"/>
    <cellStyle name="Comma 19 4 5 3 2 4" xfId="12638"/>
    <cellStyle name="Comma 19 4 5 3 2 4 2" xfId="36059"/>
    <cellStyle name="Comma 19 4 5 3 2 5" xfId="29427"/>
    <cellStyle name="Comma 19 4 5 3 3" xfId="6680"/>
    <cellStyle name="Comma 19 4 5 3 3 2" xfId="10012"/>
    <cellStyle name="Comma 19 4 5 3 3 2 2" xfId="16716"/>
    <cellStyle name="Comma 19 4 5 3 3 2 2 2" xfId="40137"/>
    <cellStyle name="Comma 19 4 5 3 3 2 3" xfId="33505"/>
    <cellStyle name="Comma 19 4 5 3 3 3" xfId="13400"/>
    <cellStyle name="Comma 19 4 5 3 3 3 2" xfId="36821"/>
    <cellStyle name="Comma 19 4 5 3 3 4" xfId="30189"/>
    <cellStyle name="Comma 19 4 5 3 4" xfId="8346"/>
    <cellStyle name="Comma 19 4 5 3 4 2" xfId="15058"/>
    <cellStyle name="Comma 19 4 5 3 4 2 2" xfId="38479"/>
    <cellStyle name="Comma 19 4 5 3 4 3" xfId="31847"/>
    <cellStyle name="Comma 19 4 5 3 5" xfId="11740"/>
    <cellStyle name="Comma 19 4 5 3 5 2" xfId="35163"/>
    <cellStyle name="Comma 19 4 5 3 6" xfId="28531"/>
    <cellStyle name="Comma 19 4 5 4" xfId="5362"/>
    <cellStyle name="Comma 19 4 5 4 2" xfId="7216"/>
    <cellStyle name="Comma 19 4 5 4 2 2" xfId="10547"/>
    <cellStyle name="Comma 19 4 5 4 2 2 2" xfId="17251"/>
    <cellStyle name="Comma 19 4 5 4 2 2 2 2" xfId="40672"/>
    <cellStyle name="Comma 19 4 5 4 2 2 3" xfId="34040"/>
    <cellStyle name="Comma 19 4 5 4 2 3" xfId="13935"/>
    <cellStyle name="Comma 19 4 5 4 2 3 2" xfId="37356"/>
    <cellStyle name="Comma 19 4 5 4 2 4" xfId="30724"/>
    <cellStyle name="Comma 19 4 5 4 3" xfId="8889"/>
    <cellStyle name="Comma 19 4 5 4 3 2" xfId="15593"/>
    <cellStyle name="Comma 19 4 5 4 3 2 2" xfId="39014"/>
    <cellStyle name="Comma 19 4 5 4 3 3" xfId="32382"/>
    <cellStyle name="Comma 19 4 5 4 4" xfId="12276"/>
    <cellStyle name="Comma 19 4 5 4 4 2" xfId="35698"/>
    <cellStyle name="Comma 19 4 5 4 5" xfId="29066"/>
    <cellStyle name="Comma 19 4 5 5" xfId="6207"/>
    <cellStyle name="Comma 19 4 5 5 2" xfId="9541"/>
    <cellStyle name="Comma 19 4 5 5 2 2" xfId="16245"/>
    <cellStyle name="Comma 19 4 5 5 2 2 2" xfId="39666"/>
    <cellStyle name="Comma 19 4 5 5 2 3" xfId="33034"/>
    <cellStyle name="Comma 19 4 5 5 3" xfId="12929"/>
    <cellStyle name="Comma 19 4 5 5 3 2" xfId="36350"/>
    <cellStyle name="Comma 19 4 5 5 4" xfId="29718"/>
    <cellStyle name="Comma 19 4 5 6" xfId="7873"/>
    <cellStyle name="Comma 19 4 5 6 2" xfId="14587"/>
    <cellStyle name="Comma 19 4 5 6 2 2" xfId="38008"/>
    <cellStyle name="Comma 19 4 5 6 3" xfId="31376"/>
    <cellStyle name="Comma 19 4 5 7" xfId="11269"/>
    <cellStyle name="Comma 19 4 5 7 2" xfId="34692"/>
    <cellStyle name="Comma 19 4 5 8" xfId="28060"/>
    <cellStyle name="Comma 19 4 6" xfId="2010"/>
    <cellStyle name="Comma 19 4 6 2" xfId="17862"/>
    <cellStyle name="Comma 19 4 7" xfId="2572"/>
    <cellStyle name="Comma 19 4 7 2" xfId="5666"/>
    <cellStyle name="Comma 19 4 7 2 2" xfId="7449"/>
    <cellStyle name="Comma 19 4 7 2 2 2" xfId="10778"/>
    <cellStyle name="Comma 19 4 7 2 2 2 2" xfId="17482"/>
    <cellStyle name="Comma 19 4 7 2 2 2 2 2" xfId="40903"/>
    <cellStyle name="Comma 19 4 7 2 2 2 3" xfId="34271"/>
    <cellStyle name="Comma 19 4 7 2 2 3" xfId="14166"/>
    <cellStyle name="Comma 19 4 7 2 2 3 2" xfId="37587"/>
    <cellStyle name="Comma 19 4 7 2 2 4" xfId="30955"/>
    <cellStyle name="Comma 19 4 7 2 3" xfId="9120"/>
    <cellStyle name="Comma 19 4 7 2 3 2" xfId="15824"/>
    <cellStyle name="Comma 19 4 7 2 3 2 2" xfId="39245"/>
    <cellStyle name="Comma 19 4 7 2 3 3" xfId="32613"/>
    <cellStyle name="Comma 19 4 7 2 4" xfId="12508"/>
    <cellStyle name="Comma 19 4 7 2 4 2" xfId="35929"/>
    <cellStyle name="Comma 19 4 7 2 5" xfId="18209"/>
    <cellStyle name="Comma 19 4 7 2 6" xfId="29297"/>
    <cellStyle name="Comma 19 4 7 3" xfId="6549"/>
    <cellStyle name="Comma 19 4 7 3 2" xfId="9881"/>
    <cellStyle name="Comma 19 4 7 3 2 2" xfId="16585"/>
    <cellStyle name="Comma 19 4 7 3 2 2 2" xfId="40006"/>
    <cellStyle name="Comma 19 4 7 3 2 3" xfId="33374"/>
    <cellStyle name="Comma 19 4 7 3 3" xfId="13269"/>
    <cellStyle name="Comma 19 4 7 3 3 2" xfId="36690"/>
    <cellStyle name="Comma 19 4 7 3 4" xfId="30058"/>
    <cellStyle name="Comma 19 4 7 4" xfId="8215"/>
    <cellStyle name="Comma 19 4 7 4 2" xfId="14927"/>
    <cellStyle name="Comma 19 4 7 4 2 2" xfId="38348"/>
    <cellStyle name="Comma 19 4 7 4 3" xfId="31716"/>
    <cellStyle name="Comma 19 4 7 5" xfId="11609"/>
    <cellStyle name="Comma 19 4 7 5 2" xfId="35032"/>
    <cellStyle name="Comma 19 4 7 6" xfId="20409"/>
    <cellStyle name="Comma 19 4 7 7" xfId="28400"/>
    <cellStyle name="Comma 19 4 8" xfId="5263"/>
    <cellStyle name="Comma 19 4 8 2" xfId="7185"/>
    <cellStyle name="Comma 19 4 8 2 2" xfId="10516"/>
    <cellStyle name="Comma 19 4 8 2 2 2" xfId="17220"/>
    <cellStyle name="Comma 19 4 8 2 2 2 2" xfId="40641"/>
    <cellStyle name="Comma 19 4 8 2 2 3" xfId="34009"/>
    <cellStyle name="Comma 19 4 8 2 3" xfId="13904"/>
    <cellStyle name="Comma 19 4 8 2 3 2" xfId="37325"/>
    <cellStyle name="Comma 19 4 8 2 4" xfId="30693"/>
    <cellStyle name="Comma 19 4 8 3" xfId="8857"/>
    <cellStyle name="Comma 19 4 8 3 2" xfId="15562"/>
    <cellStyle name="Comma 19 4 8 3 2 2" xfId="38983"/>
    <cellStyle name="Comma 19 4 8 3 3" xfId="32351"/>
    <cellStyle name="Comma 19 4 8 4" xfId="12245"/>
    <cellStyle name="Comma 19 4 8 4 2" xfId="35667"/>
    <cellStyle name="Comma 19 4 8 5" xfId="29035"/>
    <cellStyle name="Comma 19 4 9" xfId="3380"/>
    <cellStyle name="Comma 19 5" xfId="1244"/>
    <cellStyle name="Comma 19 5 10" xfId="11145"/>
    <cellStyle name="Comma 19 5 10 2" xfId="34568"/>
    <cellStyle name="Comma 19 5 11" xfId="27936"/>
    <cellStyle name="Comma 19 5 2" xfId="1436"/>
    <cellStyle name="Comma 19 5 2 10" xfId="27972"/>
    <cellStyle name="Comma 19 5 2 2" xfId="1531"/>
    <cellStyle name="Comma 19 5 2 3" xfId="1751"/>
    <cellStyle name="Comma 19 5 2 3 2" xfId="2012"/>
    <cellStyle name="Comma 19 5 2 3 3" xfId="2748"/>
    <cellStyle name="Comma 19 5 2 3 3 2" xfId="5840"/>
    <cellStyle name="Comma 19 5 2 3 3 2 2" xfId="7622"/>
    <cellStyle name="Comma 19 5 2 3 3 2 2 2" xfId="10951"/>
    <cellStyle name="Comma 19 5 2 3 3 2 2 2 2" xfId="17655"/>
    <cellStyle name="Comma 19 5 2 3 3 2 2 2 2 2" xfId="41076"/>
    <cellStyle name="Comma 19 5 2 3 3 2 2 2 3" xfId="34444"/>
    <cellStyle name="Comma 19 5 2 3 3 2 2 3" xfId="14339"/>
    <cellStyle name="Comma 19 5 2 3 3 2 2 3 2" xfId="37760"/>
    <cellStyle name="Comma 19 5 2 3 3 2 2 4" xfId="31128"/>
    <cellStyle name="Comma 19 5 2 3 3 2 3" xfId="9293"/>
    <cellStyle name="Comma 19 5 2 3 3 2 3 2" xfId="15997"/>
    <cellStyle name="Comma 19 5 2 3 3 2 3 2 2" xfId="39418"/>
    <cellStyle name="Comma 19 5 2 3 3 2 3 3" xfId="32786"/>
    <cellStyle name="Comma 19 5 2 3 3 2 4" xfId="12681"/>
    <cellStyle name="Comma 19 5 2 3 3 2 4 2" xfId="36102"/>
    <cellStyle name="Comma 19 5 2 3 3 2 5" xfId="29470"/>
    <cellStyle name="Comma 19 5 2 3 3 3" xfId="6723"/>
    <cellStyle name="Comma 19 5 2 3 3 3 2" xfId="10055"/>
    <cellStyle name="Comma 19 5 2 3 3 3 2 2" xfId="16759"/>
    <cellStyle name="Comma 19 5 2 3 3 3 2 2 2" xfId="40180"/>
    <cellStyle name="Comma 19 5 2 3 3 3 2 3" xfId="33548"/>
    <cellStyle name="Comma 19 5 2 3 3 3 3" xfId="13443"/>
    <cellStyle name="Comma 19 5 2 3 3 3 3 2" xfId="36864"/>
    <cellStyle name="Comma 19 5 2 3 3 3 4" xfId="30232"/>
    <cellStyle name="Comma 19 5 2 3 3 4" xfId="8389"/>
    <cellStyle name="Comma 19 5 2 3 3 4 2" xfId="15101"/>
    <cellStyle name="Comma 19 5 2 3 3 4 2 2" xfId="38522"/>
    <cellStyle name="Comma 19 5 2 3 3 4 3" xfId="31890"/>
    <cellStyle name="Comma 19 5 2 3 3 5" xfId="11783"/>
    <cellStyle name="Comma 19 5 2 3 3 5 2" xfId="35206"/>
    <cellStyle name="Comma 19 5 2 3 3 6" xfId="28574"/>
    <cellStyle name="Comma 19 5 2 3 4" xfId="5378"/>
    <cellStyle name="Comma 19 5 2 3 4 2" xfId="7231"/>
    <cellStyle name="Comma 19 5 2 3 4 2 2" xfId="10562"/>
    <cellStyle name="Comma 19 5 2 3 4 2 2 2" xfId="17266"/>
    <cellStyle name="Comma 19 5 2 3 4 2 2 2 2" xfId="40687"/>
    <cellStyle name="Comma 19 5 2 3 4 2 2 3" xfId="34055"/>
    <cellStyle name="Comma 19 5 2 3 4 2 3" xfId="13950"/>
    <cellStyle name="Comma 19 5 2 3 4 2 3 2" xfId="37371"/>
    <cellStyle name="Comma 19 5 2 3 4 2 4" xfId="30739"/>
    <cellStyle name="Comma 19 5 2 3 4 3" xfId="8904"/>
    <cellStyle name="Comma 19 5 2 3 4 3 2" xfId="15608"/>
    <cellStyle name="Comma 19 5 2 3 4 3 2 2" xfId="39029"/>
    <cellStyle name="Comma 19 5 2 3 4 3 3" xfId="32397"/>
    <cellStyle name="Comma 19 5 2 3 4 4" xfId="12291"/>
    <cellStyle name="Comma 19 5 2 3 4 4 2" xfId="35713"/>
    <cellStyle name="Comma 19 5 2 3 4 5" xfId="29081"/>
    <cellStyle name="Comma 19 5 2 3 5" xfId="6250"/>
    <cellStyle name="Comma 19 5 2 3 5 2" xfId="9584"/>
    <cellStyle name="Comma 19 5 2 3 5 2 2" xfId="16288"/>
    <cellStyle name="Comma 19 5 2 3 5 2 2 2" xfId="39709"/>
    <cellStyle name="Comma 19 5 2 3 5 2 3" xfId="33077"/>
    <cellStyle name="Comma 19 5 2 3 5 3" xfId="12972"/>
    <cellStyle name="Comma 19 5 2 3 5 3 2" xfId="36393"/>
    <cellStyle name="Comma 19 5 2 3 5 4" xfId="29761"/>
    <cellStyle name="Comma 19 5 2 3 6" xfId="7916"/>
    <cellStyle name="Comma 19 5 2 3 6 2" xfId="14630"/>
    <cellStyle name="Comma 19 5 2 3 6 2 2" xfId="38051"/>
    <cellStyle name="Comma 19 5 2 3 6 3" xfId="31419"/>
    <cellStyle name="Comma 19 5 2 3 7" xfId="11312"/>
    <cellStyle name="Comma 19 5 2 3 7 2" xfId="34735"/>
    <cellStyle name="Comma 19 5 2 3 8" xfId="28103"/>
    <cellStyle name="Comma 19 5 2 4" xfId="2013"/>
    <cellStyle name="Comma 19 5 2 4 2" xfId="17863"/>
    <cellStyle name="Comma 19 5 2 5" xfId="2616"/>
    <cellStyle name="Comma 19 5 2 5 2" xfId="5709"/>
    <cellStyle name="Comma 19 5 2 5 2 2" xfId="7491"/>
    <cellStyle name="Comma 19 5 2 5 2 2 2" xfId="10820"/>
    <cellStyle name="Comma 19 5 2 5 2 2 2 2" xfId="17524"/>
    <cellStyle name="Comma 19 5 2 5 2 2 2 2 2" xfId="40945"/>
    <cellStyle name="Comma 19 5 2 5 2 2 2 3" xfId="34313"/>
    <cellStyle name="Comma 19 5 2 5 2 2 3" xfId="14208"/>
    <cellStyle name="Comma 19 5 2 5 2 2 3 2" xfId="37629"/>
    <cellStyle name="Comma 19 5 2 5 2 2 4" xfId="30997"/>
    <cellStyle name="Comma 19 5 2 5 2 3" xfId="9162"/>
    <cellStyle name="Comma 19 5 2 5 2 3 2" xfId="15866"/>
    <cellStyle name="Comma 19 5 2 5 2 3 2 2" xfId="39287"/>
    <cellStyle name="Comma 19 5 2 5 2 3 3" xfId="32655"/>
    <cellStyle name="Comma 19 5 2 5 2 4" xfId="12550"/>
    <cellStyle name="Comma 19 5 2 5 2 4 2" xfId="35971"/>
    <cellStyle name="Comma 19 5 2 5 2 5" xfId="18210"/>
    <cellStyle name="Comma 19 5 2 5 2 6" xfId="29339"/>
    <cellStyle name="Comma 19 5 2 5 3" xfId="6592"/>
    <cellStyle name="Comma 19 5 2 5 3 2" xfId="9924"/>
    <cellStyle name="Comma 19 5 2 5 3 2 2" xfId="16628"/>
    <cellStyle name="Comma 19 5 2 5 3 2 2 2" xfId="40049"/>
    <cellStyle name="Comma 19 5 2 5 3 2 3" xfId="33417"/>
    <cellStyle name="Comma 19 5 2 5 3 3" xfId="13312"/>
    <cellStyle name="Comma 19 5 2 5 3 3 2" xfId="36733"/>
    <cellStyle name="Comma 19 5 2 5 3 4" xfId="30101"/>
    <cellStyle name="Comma 19 5 2 5 4" xfId="8258"/>
    <cellStyle name="Comma 19 5 2 5 4 2" xfId="14970"/>
    <cellStyle name="Comma 19 5 2 5 4 2 2" xfId="38391"/>
    <cellStyle name="Comma 19 5 2 5 4 3" xfId="31759"/>
    <cellStyle name="Comma 19 5 2 5 5" xfId="11652"/>
    <cellStyle name="Comma 19 5 2 5 5 2" xfId="35075"/>
    <cellStyle name="Comma 19 5 2 5 6" xfId="20408"/>
    <cellStyle name="Comma 19 5 2 5 7" xfId="28443"/>
    <cellStyle name="Comma 19 5 2 6" xfId="5309"/>
    <cellStyle name="Comma 19 5 2 6 2" xfId="7200"/>
    <cellStyle name="Comma 19 5 2 6 2 2" xfId="10531"/>
    <cellStyle name="Comma 19 5 2 6 2 2 2" xfId="17235"/>
    <cellStyle name="Comma 19 5 2 6 2 2 2 2" xfId="40656"/>
    <cellStyle name="Comma 19 5 2 6 2 2 3" xfId="34024"/>
    <cellStyle name="Comma 19 5 2 6 2 3" xfId="13919"/>
    <cellStyle name="Comma 19 5 2 6 2 3 2" xfId="37340"/>
    <cellStyle name="Comma 19 5 2 6 2 4" xfId="30708"/>
    <cellStyle name="Comma 19 5 2 6 3" xfId="8873"/>
    <cellStyle name="Comma 19 5 2 6 3 2" xfId="15577"/>
    <cellStyle name="Comma 19 5 2 6 3 2 2" xfId="38998"/>
    <cellStyle name="Comma 19 5 2 6 3 3" xfId="32366"/>
    <cellStyle name="Comma 19 5 2 6 4" xfId="12260"/>
    <cellStyle name="Comma 19 5 2 6 4 2" xfId="35682"/>
    <cellStyle name="Comma 19 5 2 6 5" xfId="29050"/>
    <cellStyle name="Comma 19 5 2 7" xfId="6119"/>
    <cellStyle name="Comma 19 5 2 7 2" xfId="9453"/>
    <cellStyle name="Comma 19 5 2 7 2 2" xfId="16157"/>
    <cellStyle name="Comma 19 5 2 7 2 2 2" xfId="39578"/>
    <cellStyle name="Comma 19 5 2 7 2 3" xfId="32946"/>
    <cellStyle name="Comma 19 5 2 7 3" xfId="12841"/>
    <cellStyle name="Comma 19 5 2 7 3 2" xfId="36262"/>
    <cellStyle name="Comma 19 5 2 7 4" xfId="29630"/>
    <cellStyle name="Comma 19 5 2 8" xfId="7785"/>
    <cellStyle name="Comma 19 5 2 8 2" xfId="14499"/>
    <cellStyle name="Comma 19 5 2 8 2 2" xfId="37920"/>
    <cellStyle name="Comma 19 5 2 8 3" xfId="31288"/>
    <cellStyle name="Comma 19 5 2 9" xfId="11181"/>
    <cellStyle name="Comma 19 5 2 9 2" xfId="34604"/>
    <cellStyle name="Comma 19 5 3" xfId="1530"/>
    <cellStyle name="Comma 19 5 4" xfId="1714"/>
    <cellStyle name="Comma 19 5 4 2" xfId="2014"/>
    <cellStyle name="Comma 19 5 4 3" xfId="2712"/>
    <cellStyle name="Comma 19 5 4 3 2" xfId="5804"/>
    <cellStyle name="Comma 19 5 4 3 2 2" xfId="7586"/>
    <cellStyle name="Comma 19 5 4 3 2 2 2" xfId="10915"/>
    <cellStyle name="Comma 19 5 4 3 2 2 2 2" xfId="17619"/>
    <cellStyle name="Comma 19 5 4 3 2 2 2 2 2" xfId="41040"/>
    <cellStyle name="Comma 19 5 4 3 2 2 2 3" xfId="34408"/>
    <cellStyle name="Comma 19 5 4 3 2 2 3" xfId="14303"/>
    <cellStyle name="Comma 19 5 4 3 2 2 3 2" xfId="37724"/>
    <cellStyle name="Comma 19 5 4 3 2 2 4" xfId="31092"/>
    <cellStyle name="Comma 19 5 4 3 2 3" xfId="9257"/>
    <cellStyle name="Comma 19 5 4 3 2 3 2" xfId="15961"/>
    <cellStyle name="Comma 19 5 4 3 2 3 2 2" xfId="39382"/>
    <cellStyle name="Comma 19 5 4 3 2 3 3" xfId="32750"/>
    <cellStyle name="Comma 19 5 4 3 2 4" xfId="12645"/>
    <cellStyle name="Comma 19 5 4 3 2 4 2" xfId="36066"/>
    <cellStyle name="Comma 19 5 4 3 2 5" xfId="29434"/>
    <cellStyle name="Comma 19 5 4 3 3" xfId="6687"/>
    <cellStyle name="Comma 19 5 4 3 3 2" xfId="10019"/>
    <cellStyle name="Comma 19 5 4 3 3 2 2" xfId="16723"/>
    <cellStyle name="Comma 19 5 4 3 3 2 2 2" xfId="40144"/>
    <cellStyle name="Comma 19 5 4 3 3 2 3" xfId="33512"/>
    <cellStyle name="Comma 19 5 4 3 3 3" xfId="13407"/>
    <cellStyle name="Comma 19 5 4 3 3 3 2" xfId="36828"/>
    <cellStyle name="Comma 19 5 4 3 3 4" xfId="30196"/>
    <cellStyle name="Comma 19 5 4 3 4" xfId="8353"/>
    <cellStyle name="Comma 19 5 4 3 4 2" xfId="15065"/>
    <cellStyle name="Comma 19 5 4 3 4 2 2" xfId="38486"/>
    <cellStyle name="Comma 19 5 4 3 4 3" xfId="31854"/>
    <cellStyle name="Comma 19 5 4 3 5" xfId="11747"/>
    <cellStyle name="Comma 19 5 4 3 5 2" xfId="35170"/>
    <cellStyle name="Comma 19 5 4 3 6" xfId="28538"/>
    <cellStyle name="Comma 19 5 4 4" xfId="5364"/>
    <cellStyle name="Comma 19 5 4 4 2" xfId="7218"/>
    <cellStyle name="Comma 19 5 4 4 2 2" xfId="10549"/>
    <cellStyle name="Comma 19 5 4 4 2 2 2" xfId="17253"/>
    <cellStyle name="Comma 19 5 4 4 2 2 2 2" xfId="40674"/>
    <cellStyle name="Comma 19 5 4 4 2 2 3" xfId="34042"/>
    <cellStyle name="Comma 19 5 4 4 2 3" xfId="13937"/>
    <cellStyle name="Comma 19 5 4 4 2 3 2" xfId="37358"/>
    <cellStyle name="Comma 19 5 4 4 2 4" xfId="30726"/>
    <cellStyle name="Comma 19 5 4 4 3" xfId="8891"/>
    <cellStyle name="Comma 19 5 4 4 3 2" xfId="15595"/>
    <cellStyle name="Comma 19 5 4 4 3 2 2" xfId="39016"/>
    <cellStyle name="Comma 19 5 4 4 3 3" xfId="32384"/>
    <cellStyle name="Comma 19 5 4 4 4" xfId="12278"/>
    <cellStyle name="Comma 19 5 4 4 4 2" xfId="35700"/>
    <cellStyle name="Comma 19 5 4 4 5" xfId="29068"/>
    <cellStyle name="Comma 19 5 4 5" xfId="6214"/>
    <cellStyle name="Comma 19 5 4 5 2" xfId="9548"/>
    <cellStyle name="Comma 19 5 4 5 2 2" xfId="16252"/>
    <cellStyle name="Comma 19 5 4 5 2 2 2" xfId="39673"/>
    <cellStyle name="Comma 19 5 4 5 2 3" xfId="33041"/>
    <cellStyle name="Comma 19 5 4 5 3" xfId="12936"/>
    <cellStyle name="Comma 19 5 4 5 3 2" xfId="36357"/>
    <cellStyle name="Comma 19 5 4 5 4" xfId="29725"/>
    <cellStyle name="Comma 19 5 4 6" xfId="7880"/>
    <cellStyle name="Comma 19 5 4 6 2" xfId="14594"/>
    <cellStyle name="Comma 19 5 4 6 2 2" xfId="38015"/>
    <cellStyle name="Comma 19 5 4 6 3" xfId="31383"/>
    <cellStyle name="Comma 19 5 4 7" xfId="11276"/>
    <cellStyle name="Comma 19 5 4 7 2" xfId="34699"/>
    <cellStyle name="Comma 19 5 4 8" xfId="28067"/>
    <cellStyle name="Comma 19 5 5" xfId="2015"/>
    <cellStyle name="Comma 19 5 5 2" xfId="17864"/>
    <cellStyle name="Comma 19 5 6" xfId="2579"/>
    <cellStyle name="Comma 19 5 6 2" xfId="5673"/>
    <cellStyle name="Comma 19 5 6 2 2" xfId="7456"/>
    <cellStyle name="Comma 19 5 6 2 2 2" xfId="10785"/>
    <cellStyle name="Comma 19 5 6 2 2 2 2" xfId="17489"/>
    <cellStyle name="Comma 19 5 6 2 2 2 2 2" xfId="40910"/>
    <cellStyle name="Comma 19 5 6 2 2 2 3" xfId="34278"/>
    <cellStyle name="Comma 19 5 6 2 2 3" xfId="14173"/>
    <cellStyle name="Comma 19 5 6 2 2 3 2" xfId="37594"/>
    <cellStyle name="Comma 19 5 6 2 2 4" xfId="30962"/>
    <cellStyle name="Comma 19 5 6 2 3" xfId="9127"/>
    <cellStyle name="Comma 19 5 6 2 3 2" xfId="15831"/>
    <cellStyle name="Comma 19 5 6 2 3 2 2" xfId="39252"/>
    <cellStyle name="Comma 19 5 6 2 3 3" xfId="32620"/>
    <cellStyle name="Comma 19 5 6 2 4" xfId="12515"/>
    <cellStyle name="Comma 19 5 6 2 4 2" xfId="35936"/>
    <cellStyle name="Comma 19 5 6 2 5" xfId="17817"/>
    <cellStyle name="Comma 19 5 6 2 6" xfId="29304"/>
    <cellStyle name="Comma 19 5 6 3" xfId="6556"/>
    <cellStyle name="Comma 19 5 6 3 2" xfId="9888"/>
    <cellStyle name="Comma 19 5 6 3 2 2" xfId="16592"/>
    <cellStyle name="Comma 19 5 6 3 2 2 2" xfId="40013"/>
    <cellStyle name="Comma 19 5 6 3 2 3" xfId="33381"/>
    <cellStyle name="Comma 19 5 6 3 3" xfId="13276"/>
    <cellStyle name="Comma 19 5 6 3 3 2" xfId="36697"/>
    <cellStyle name="Comma 19 5 6 3 4" xfId="30065"/>
    <cellStyle name="Comma 19 5 6 4" xfId="8222"/>
    <cellStyle name="Comma 19 5 6 4 2" xfId="14934"/>
    <cellStyle name="Comma 19 5 6 4 2 2" xfId="38355"/>
    <cellStyle name="Comma 19 5 6 4 3" xfId="31723"/>
    <cellStyle name="Comma 19 5 6 5" xfId="11616"/>
    <cellStyle name="Comma 19 5 6 5 2" xfId="35039"/>
    <cellStyle name="Comma 19 5 6 6" xfId="17866"/>
    <cellStyle name="Comma 19 5 6 7" xfId="28407"/>
    <cellStyle name="Comma 19 5 7" xfId="5278"/>
    <cellStyle name="Comma 19 5 7 2" xfId="7187"/>
    <cellStyle name="Comma 19 5 7 2 2" xfId="10518"/>
    <cellStyle name="Comma 19 5 7 2 2 2" xfId="17222"/>
    <cellStyle name="Comma 19 5 7 2 2 2 2" xfId="40643"/>
    <cellStyle name="Comma 19 5 7 2 2 3" xfId="34011"/>
    <cellStyle name="Comma 19 5 7 2 3" xfId="13906"/>
    <cellStyle name="Comma 19 5 7 2 3 2" xfId="37327"/>
    <cellStyle name="Comma 19 5 7 2 4" xfId="30695"/>
    <cellStyle name="Comma 19 5 7 3" xfId="8859"/>
    <cellStyle name="Comma 19 5 7 3 2" xfId="15564"/>
    <cellStyle name="Comma 19 5 7 3 2 2" xfId="38985"/>
    <cellStyle name="Comma 19 5 7 3 3" xfId="32353"/>
    <cellStyle name="Comma 19 5 7 4" xfId="12247"/>
    <cellStyle name="Comma 19 5 7 4 2" xfId="35669"/>
    <cellStyle name="Comma 19 5 7 5" xfId="29037"/>
    <cellStyle name="Comma 19 5 8" xfId="6083"/>
    <cellStyle name="Comma 19 5 8 2" xfId="9417"/>
    <cellStyle name="Comma 19 5 8 2 2" xfId="16121"/>
    <cellStyle name="Comma 19 5 8 2 2 2" xfId="39542"/>
    <cellStyle name="Comma 19 5 8 2 3" xfId="32910"/>
    <cellStyle name="Comma 19 5 8 3" xfId="12805"/>
    <cellStyle name="Comma 19 5 8 3 2" xfId="36226"/>
    <cellStyle name="Comma 19 5 8 4" xfId="29594"/>
    <cellStyle name="Comma 19 5 9" xfId="7748"/>
    <cellStyle name="Comma 19 5 9 2" xfId="14463"/>
    <cellStyle name="Comma 19 5 9 2 2" xfId="37884"/>
    <cellStyle name="Comma 19 5 9 3" xfId="31252"/>
    <cellStyle name="Comma 19 6" xfId="1470"/>
    <cellStyle name="Comma 19 6 10" xfId="28001"/>
    <cellStyle name="Comma 19 6 2" xfId="1532"/>
    <cellStyle name="Comma 19 6 2 2" xfId="18409"/>
    <cellStyle name="Comma 19 6 3" xfId="1780"/>
    <cellStyle name="Comma 19 6 3 2" xfId="2018"/>
    <cellStyle name="Comma 19 6 3 3" xfId="2777"/>
    <cellStyle name="Comma 19 6 3 3 2" xfId="5869"/>
    <cellStyle name="Comma 19 6 3 3 2 2" xfId="7651"/>
    <cellStyle name="Comma 19 6 3 3 2 2 2" xfId="10980"/>
    <cellStyle name="Comma 19 6 3 3 2 2 2 2" xfId="17684"/>
    <cellStyle name="Comma 19 6 3 3 2 2 2 2 2" xfId="41105"/>
    <cellStyle name="Comma 19 6 3 3 2 2 2 3" xfId="34473"/>
    <cellStyle name="Comma 19 6 3 3 2 2 3" xfId="14368"/>
    <cellStyle name="Comma 19 6 3 3 2 2 3 2" xfId="37789"/>
    <cellStyle name="Comma 19 6 3 3 2 2 4" xfId="31157"/>
    <cellStyle name="Comma 19 6 3 3 2 3" xfId="9322"/>
    <cellStyle name="Comma 19 6 3 3 2 3 2" xfId="16026"/>
    <cellStyle name="Comma 19 6 3 3 2 3 2 2" xfId="39447"/>
    <cellStyle name="Comma 19 6 3 3 2 3 3" xfId="32815"/>
    <cellStyle name="Comma 19 6 3 3 2 4" xfId="12710"/>
    <cellStyle name="Comma 19 6 3 3 2 4 2" xfId="36131"/>
    <cellStyle name="Comma 19 6 3 3 2 5" xfId="29499"/>
    <cellStyle name="Comma 19 6 3 3 3" xfId="6752"/>
    <cellStyle name="Comma 19 6 3 3 3 2" xfId="10084"/>
    <cellStyle name="Comma 19 6 3 3 3 2 2" xfId="16788"/>
    <cellStyle name="Comma 19 6 3 3 3 2 2 2" xfId="40209"/>
    <cellStyle name="Comma 19 6 3 3 3 2 3" xfId="33577"/>
    <cellStyle name="Comma 19 6 3 3 3 3" xfId="13472"/>
    <cellStyle name="Comma 19 6 3 3 3 3 2" xfId="36893"/>
    <cellStyle name="Comma 19 6 3 3 3 4" xfId="30261"/>
    <cellStyle name="Comma 19 6 3 3 4" xfId="8418"/>
    <cellStyle name="Comma 19 6 3 3 4 2" xfId="15130"/>
    <cellStyle name="Comma 19 6 3 3 4 2 2" xfId="38551"/>
    <cellStyle name="Comma 19 6 3 3 4 3" xfId="31919"/>
    <cellStyle name="Comma 19 6 3 3 5" xfId="11812"/>
    <cellStyle name="Comma 19 6 3 3 5 2" xfId="35235"/>
    <cellStyle name="Comma 19 6 3 3 6" xfId="28603"/>
    <cellStyle name="Comma 19 6 3 4" xfId="5390"/>
    <cellStyle name="Comma 19 6 3 4 2" xfId="7242"/>
    <cellStyle name="Comma 19 6 3 4 2 2" xfId="10573"/>
    <cellStyle name="Comma 19 6 3 4 2 2 2" xfId="17277"/>
    <cellStyle name="Comma 19 6 3 4 2 2 2 2" xfId="40698"/>
    <cellStyle name="Comma 19 6 3 4 2 2 3" xfId="34066"/>
    <cellStyle name="Comma 19 6 3 4 2 3" xfId="13961"/>
    <cellStyle name="Comma 19 6 3 4 2 3 2" xfId="37382"/>
    <cellStyle name="Comma 19 6 3 4 2 4" xfId="30750"/>
    <cellStyle name="Comma 19 6 3 4 3" xfId="8915"/>
    <cellStyle name="Comma 19 6 3 4 3 2" xfId="15619"/>
    <cellStyle name="Comma 19 6 3 4 3 2 2" xfId="39040"/>
    <cellStyle name="Comma 19 6 3 4 3 3" xfId="32408"/>
    <cellStyle name="Comma 19 6 3 4 4" xfId="12303"/>
    <cellStyle name="Comma 19 6 3 4 4 2" xfId="35724"/>
    <cellStyle name="Comma 19 6 3 4 5" xfId="29092"/>
    <cellStyle name="Comma 19 6 3 5" xfId="6279"/>
    <cellStyle name="Comma 19 6 3 5 2" xfId="9613"/>
    <cellStyle name="Comma 19 6 3 5 2 2" xfId="16317"/>
    <cellStyle name="Comma 19 6 3 5 2 2 2" xfId="39738"/>
    <cellStyle name="Comma 19 6 3 5 2 3" xfId="33106"/>
    <cellStyle name="Comma 19 6 3 5 3" xfId="13001"/>
    <cellStyle name="Comma 19 6 3 5 3 2" xfId="36422"/>
    <cellStyle name="Comma 19 6 3 5 4" xfId="29790"/>
    <cellStyle name="Comma 19 6 3 6" xfId="7945"/>
    <cellStyle name="Comma 19 6 3 6 2" xfId="14659"/>
    <cellStyle name="Comma 19 6 3 6 2 2" xfId="38080"/>
    <cellStyle name="Comma 19 6 3 6 3" xfId="31448"/>
    <cellStyle name="Comma 19 6 3 7" xfId="11341"/>
    <cellStyle name="Comma 19 6 3 7 2" xfId="34764"/>
    <cellStyle name="Comma 19 6 3 8" xfId="28132"/>
    <cellStyle name="Comma 19 6 4" xfId="2019"/>
    <cellStyle name="Comma 19 6 4 2" xfId="17865"/>
    <cellStyle name="Comma 19 6 5" xfId="2645"/>
    <cellStyle name="Comma 19 6 5 2" xfId="5738"/>
    <cellStyle name="Comma 19 6 5 2 2" xfId="7520"/>
    <cellStyle name="Comma 19 6 5 2 2 2" xfId="10849"/>
    <cellStyle name="Comma 19 6 5 2 2 2 2" xfId="17553"/>
    <cellStyle name="Comma 19 6 5 2 2 2 2 2" xfId="40974"/>
    <cellStyle name="Comma 19 6 5 2 2 2 3" xfId="34342"/>
    <cellStyle name="Comma 19 6 5 2 2 3" xfId="14237"/>
    <cellStyle name="Comma 19 6 5 2 2 3 2" xfId="37658"/>
    <cellStyle name="Comma 19 6 5 2 2 4" xfId="31026"/>
    <cellStyle name="Comma 19 6 5 2 3" xfId="9191"/>
    <cellStyle name="Comma 19 6 5 2 3 2" xfId="15895"/>
    <cellStyle name="Comma 19 6 5 2 3 2 2" xfId="39316"/>
    <cellStyle name="Comma 19 6 5 2 3 3" xfId="32684"/>
    <cellStyle name="Comma 19 6 5 2 4" xfId="12579"/>
    <cellStyle name="Comma 19 6 5 2 4 2" xfId="36000"/>
    <cellStyle name="Comma 19 6 5 2 5" xfId="17818"/>
    <cellStyle name="Comma 19 6 5 2 6" xfId="29368"/>
    <cellStyle name="Comma 19 6 5 3" xfId="6621"/>
    <cellStyle name="Comma 19 6 5 3 2" xfId="9953"/>
    <cellStyle name="Comma 19 6 5 3 2 2" xfId="16657"/>
    <cellStyle name="Comma 19 6 5 3 2 2 2" xfId="40078"/>
    <cellStyle name="Comma 19 6 5 3 2 3" xfId="33446"/>
    <cellStyle name="Comma 19 6 5 3 3" xfId="13341"/>
    <cellStyle name="Comma 19 6 5 3 3 2" xfId="36762"/>
    <cellStyle name="Comma 19 6 5 3 4" xfId="21740"/>
    <cellStyle name="Comma 19 6 5 3 5" xfId="30130"/>
    <cellStyle name="Comma 19 6 5 4" xfId="8287"/>
    <cellStyle name="Comma 19 6 5 4 2" xfId="14999"/>
    <cellStyle name="Comma 19 6 5 4 2 2" xfId="38420"/>
    <cellStyle name="Comma 19 6 5 4 3" xfId="31788"/>
    <cellStyle name="Comma 19 6 5 5" xfId="11681"/>
    <cellStyle name="Comma 19 6 5 5 2" xfId="35104"/>
    <cellStyle name="Comma 19 6 5 6" xfId="18408"/>
    <cellStyle name="Comma 19 6 5 7" xfId="17867"/>
    <cellStyle name="Comma 19 6 5 8" xfId="28472"/>
    <cellStyle name="Comma 19 6 6" xfId="5324"/>
    <cellStyle name="Comma 19 6 6 2" xfId="7211"/>
    <cellStyle name="Comma 19 6 6 2 2" xfId="10542"/>
    <cellStyle name="Comma 19 6 6 2 2 2" xfId="17246"/>
    <cellStyle name="Comma 19 6 6 2 2 2 2" xfId="40667"/>
    <cellStyle name="Comma 19 6 6 2 2 3" xfId="34035"/>
    <cellStyle name="Comma 19 6 6 2 3" xfId="13930"/>
    <cellStyle name="Comma 19 6 6 2 3 2" xfId="37351"/>
    <cellStyle name="Comma 19 6 6 2 4" xfId="30719"/>
    <cellStyle name="Comma 19 6 6 3" xfId="8884"/>
    <cellStyle name="Comma 19 6 6 3 2" xfId="15588"/>
    <cellStyle name="Comma 19 6 6 3 2 2" xfId="39009"/>
    <cellStyle name="Comma 19 6 6 3 3" xfId="32377"/>
    <cellStyle name="Comma 19 6 6 4" xfId="12271"/>
    <cellStyle name="Comma 19 6 6 4 2" xfId="35693"/>
    <cellStyle name="Comma 19 6 6 5" xfId="20454"/>
    <cellStyle name="Comma 19 6 6 6" xfId="29061"/>
    <cellStyle name="Comma 19 6 7" xfId="6148"/>
    <cellStyle name="Comma 19 6 7 2" xfId="9482"/>
    <cellStyle name="Comma 19 6 7 2 2" xfId="16186"/>
    <cellStyle name="Comma 19 6 7 2 2 2" xfId="39607"/>
    <cellStyle name="Comma 19 6 7 2 3" xfId="32975"/>
    <cellStyle name="Comma 19 6 7 3" xfId="12870"/>
    <cellStyle name="Comma 19 6 7 3 2" xfId="36291"/>
    <cellStyle name="Comma 19 6 7 4" xfId="29659"/>
    <cellStyle name="Comma 19 6 8" xfId="7814"/>
    <cellStyle name="Comma 19 6 8 2" xfId="14528"/>
    <cellStyle name="Comma 19 6 8 2 2" xfId="37949"/>
    <cellStyle name="Comma 19 6 8 3" xfId="31317"/>
    <cellStyle name="Comma 19 6 9" xfId="11210"/>
    <cellStyle name="Comma 19 6 9 2" xfId="34633"/>
    <cellStyle name="Comma 19 7" xfId="1525"/>
    <cellStyle name="Comma 19 7 2" xfId="1787"/>
    <cellStyle name="Comma 19 7 2 2" xfId="2021"/>
    <cellStyle name="Comma 19 7 2 3" xfId="2784"/>
    <cellStyle name="Comma 19 7 2 3 2" xfId="5876"/>
    <cellStyle name="Comma 19 7 2 3 2 2" xfId="7658"/>
    <cellStyle name="Comma 19 7 2 3 2 2 2" xfId="10987"/>
    <cellStyle name="Comma 19 7 2 3 2 2 2 2" xfId="17691"/>
    <cellStyle name="Comma 19 7 2 3 2 2 2 2 2" xfId="41112"/>
    <cellStyle name="Comma 19 7 2 3 2 2 2 3" xfId="34480"/>
    <cellStyle name="Comma 19 7 2 3 2 2 3" xfId="14375"/>
    <cellStyle name="Comma 19 7 2 3 2 2 3 2" xfId="37796"/>
    <cellStyle name="Comma 19 7 2 3 2 2 4" xfId="31164"/>
    <cellStyle name="Comma 19 7 2 3 2 3" xfId="9329"/>
    <cellStyle name="Comma 19 7 2 3 2 3 2" xfId="16033"/>
    <cellStyle name="Comma 19 7 2 3 2 3 2 2" xfId="39454"/>
    <cellStyle name="Comma 19 7 2 3 2 3 3" xfId="32822"/>
    <cellStyle name="Comma 19 7 2 3 2 4" xfId="12717"/>
    <cellStyle name="Comma 19 7 2 3 2 4 2" xfId="36138"/>
    <cellStyle name="Comma 19 7 2 3 2 5" xfId="29506"/>
    <cellStyle name="Comma 19 7 2 3 3" xfId="6759"/>
    <cellStyle name="Comma 19 7 2 3 3 2" xfId="10091"/>
    <cellStyle name="Comma 19 7 2 3 3 2 2" xfId="16795"/>
    <cellStyle name="Comma 19 7 2 3 3 2 2 2" xfId="40216"/>
    <cellStyle name="Comma 19 7 2 3 3 2 3" xfId="33584"/>
    <cellStyle name="Comma 19 7 2 3 3 3" xfId="13479"/>
    <cellStyle name="Comma 19 7 2 3 3 3 2" xfId="36900"/>
    <cellStyle name="Comma 19 7 2 3 3 4" xfId="30268"/>
    <cellStyle name="Comma 19 7 2 3 4" xfId="8425"/>
    <cellStyle name="Comma 19 7 2 3 4 2" xfId="15137"/>
    <cellStyle name="Comma 19 7 2 3 4 2 2" xfId="38558"/>
    <cellStyle name="Comma 19 7 2 3 4 3" xfId="31926"/>
    <cellStyle name="Comma 19 7 2 3 5" xfId="11819"/>
    <cellStyle name="Comma 19 7 2 3 5 2" xfId="35242"/>
    <cellStyle name="Comma 19 7 2 3 6" xfId="28610"/>
    <cellStyle name="Comma 19 7 2 4" xfId="5393"/>
    <cellStyle name="Comma 19 7 2 4 2" xfId="7244"/>
    <cellStyle name="Comma 19 7 2 4 2 2" xfId="10575"/>
    <cellStyle name="Comma 19 7 2 4 2 2 2" xfId="17279"/>
    <cellStyle name="Comma 19 7 2 4 2 2 2 2" xfId="40700"/>
    <cellStyle name="Comma 19 7 2 4 2 2 3" xfId="34068"/>
    <cellStyle name="Comma 19 7 2 4 2 3" xfId="13963"/>
    <cellStyle name="Comma 19 7 2 4 2 3 2" xfId="37384"/>
    <cellStyle name="Comma 19 7 2 4 2 4" xfId="30752"/>
    <cellStyle name="Comma 19 7 2 4 3" xfId="8917"/>
    <cellStyle name="Comma 19 7 2 4 3 2" xfId="15621"/>
    <cellStyle name="Comma 19 7 2 4 3 2 2" xfId="39042"/>
    <cellStyle name="Comma 19 7 2 4 3 3" xfId="32410"/>
    <cellStyle name="Comma 19 7 2 4 4" xfId="12305"/>
    <cellStyle name="Comma 19 7 2 4 4 2" xfId="35726"/>
    <cellStyle name="Comma 19 7 2 4 5" xfId="29094"/>
    <cellStyle name="Comma 19 7 2 5" xfId="6286"/>
    <cellStyle name="Comma 19 7 2 5 2" xfId="9620"/>
    <cellStyle name="Comma 19 7 2 5 2 2" xfId="16324"/>
    <cellStyle name="Comma 19 7 2 5 2 2 2" xfId="39745"/>
    <cellStyle name="Comma 19 7 2 5 2 3" xfId="33113"/>
    <cellStyle name="Comma 19 7 2 5 3" xfId="13008"/>
    <cellStyle name="Comma 19 7 2 5 3 2" xfId="36429"/>
    <cellStyle name="Comma 19 7 2 5 4" xfId="29797"/>
    <cellStyle name="Comma 19 7 2 6" xfId="7952"/>
    <cellStyle name="Comma 19 7 2 6 2" xfId="14666"/>
    <cellStyle name="Comma 19 7 2 6 2 2" xfId="38087"/>
    <cellStyle name="Comma 19 7 2 6 3" xfId="31455"/>
    <cellStyle name="Comma 19 7 2 7" xfId="11348"/>
    <cellStyle name="Comma 19 7 2 7 2" xfId="34771"/>
    <cellStyle name="Comma 19 7 2 8" xfId="28139"/>
    <cellStyle name="Comma 19 7 3" xfId="2020"/>
    <cellStyle name="Comma 19 7 4" xfId="2652"/>
    <cellStyle name="Comma 19 7 4 2" xfId="5745"/>
    <cellStyle name="Comma 19 7 4 2 2" xfId="7527"/>
    <cellStyle name="Comma 19 7 4 2 2 2" xfId="10856"/>
    <cellStyle name="Comma 19 7 4 2 2 2 2" xfId="17560"/>
    <cellStyle name="Comma 19 7 4 2 2 2 2 2" xfId="40981"/>
    <cellStyle name="Comma 19 7 4 2 2 2 3" xfId="34349"/>
    <cellStyle name="Comma 19 7 4 2 2 3" xfId="14244"/>
    <cellStyle name="Comma 19 7 4 2 2 3 2" xfId="37665"/>
    <cellStyle name="Comma 19 7 4 2 2 4" xfId="31033"/>
    <cellStyle name="Comma 19 7 4 2 3" xfId="9198"/>
    <cellStyle name="Comma 19 7 4 2 3 2" xfId="15902"/>
    <cellStyle name="Comma 19 7 4 2 3 2 2" xfId="39323"/>
    <cellStyle name="Comma 19 7 4 2 3 3" xfId="32691"/>
    <cellStyle name="Comma 19 7 4 2 4" xfId="12586"/>
    <cellStyle name="Comma 19 7 4 2 4 2" xfId="36007"/>
    <cellStyle name="Comma 19 7 4 2 5" xfId="29375"/>
    <cellStyle name="Comma 19 7 4 3" xfId="6628"/>
    <cellStyle name="Comma 19 7 4 3 2" xfId="9960"/>
    <cellStyle name="Comma 19 7 4 3 2 2" xfId="16664"/>
    <cellStyle name="Comma 19 7 4 3 2 2 2" xfId="40085"/>
    <cellStyle name="Comma 19 7 4 3 2 3" xfId="33453"/>
    <cellStyle name="Comma 19 7 4 3 3" xfId="13348"/>
    <cellStyle name="Comma 19 7 4 3 3 2" xfId="36769"/>
    <cellStyle name="Comma 19 7 4 3 4" xfId="30137"/>
    <cellStyle name="Comma 19 7 4 4" xfId="8294"/>
    <cellStyle name="Comma 19 7 4 4 2" xfId="15006"/>
    <cellStyle name="Comma 19 7 4 4 2 2" xfId="38427"/>
    <cellStyle name="Comma 19 7 4 4 3" xfId="31795"/>
    <cellStyle name="Comma 19 7 4 5" xfId="11688"/>
    <cellStyle name="Comma 19 7 4 5 2" xfId="35111"/>
    <cellStyle name="Comma 19 7 4 6" xfId="28479"/>
    <cellStyle name="Comma 19 7 5" xfId="5335"/>
    <cellStyle name="Comma 19 7 5 2" xfId="7213"/>
    <cellStyle name="Comma 19 7 5 2 2" xfId="10544"/>
    <cellStyle name="Comma 19 7 5 2 2 2" xfId="17248"/>
    <cellStyle name="Comma 19 7 5 2 2 2 2" xfId="40669"/>
    <cellStyle name="Comma 19 7 5 2 2 3" xfId="34037"/>
    <cellStyle name="Comma 19 7 5 2 3" xfId="13932"/>
    <cellStyle name="Comma 19 7 5 2 3 2" xfId="37353"/>
    <cellStyle name="Comma 19 7 5 2 4" xfId="30721"/>
    <cellStyle name="Comma 19 7 5 3" xfId="8886"/>
    <cellStyle name="Comma 19 7 5 3 2" xfId="15590"/>
    <cellStyle name="Comma 19 7 5 3 2 2" xfId="39011"/>
    <cellStyle name="Comma 19 7 5 3 3" xfId="32379"/>
    <cellStyle name="Comma 19 7 5 4" xfId="12273"/>
    <cellStyle name="Comma 19 7 5 4 2" xfId="35695"/>
    <cellStyle name="Comma 19 7 5 5" xfId="29063"/>
    <cellStyle name="Comma 19 7 6" xfId="6155"/>
    <cellStyle name="Comma 19 7 6 2" xfId="9489"/>
    <cellStyle name="Comma 19 7 6 2 2" xfId="16193"/>
    <cellStyle name="Comma 19 7 6 2 2 2" xfId="39614"/>
    <cellStyle name="Comma 19 7 6 2 3" xfId="32982"/>
    <cellStyle name="Comma 19 7 6 3" xfId="12877"/>
    <cellStyle name="Comma 19 7 6 3 2" xfId="36298"/>
    <cellStyle name="Comma 19 7 6 4" xfId="29666"/>
    <cellStyle name="Comma 19 7 7" xfId="7821"/>
    <cellStyle name="Comma 19 7 7 2" xfId="14535"/>
    <cellStyle name="Comma 19 7 7 2 2" xfId="37956"/>
    <cellStyle name="Comma 19 7 7 3" xfId="31324"/>
    <cellStyle name="Comma 19 7 8" xfId="11217"/>
    <cellStyle name="Comma 19 7 8 2" xfId="34640"/>
    <cellStyle name="Comma 19 7 9" xfId="28008"/>
    <cellStyle name="Comma 2" xfId="289"/>
    <cellStyle name="Comma 2 2" xfId="290"/>
    <cellStyle name="Comma 2 2 2" xfId="810"/>
    <cellStyle name="Comma 2 2 2 2" xfId="18411"/>
    <cellStyle name="Comma 2 2 3" xfId="3381"/>
    <cellStyle name="Comma 2 2 3 2" xfId="5090"/>
    <cellStyle name="Comma 2 2 4" xfId="4768"/>
    <cellStyle name="Comma 2 2 4 2" xfId="7153"/>
    <cellStyle name="Comma 2 2 4 2 2" xfId="10485"/>
    <cellStyle name="Comma 2 2 4 2 2 2" xfId="17189"/>
    <cellStyle name="Comma 2 2 4 2 2 2 2" xfId="40610"/>
    <cellStyle name="Comma 2 2 4 2 2 3" xfId="33978"/>
    <cellStyle name="Comma 2 2 4 2 3" xfId="13873"/>
    <cellStyle name="Comma 2 2 4 2 3 2" xfId="37294"/>
    <cellStyle name="Comma 2 2 4 2 4" xfId="25996"/>
    <cellStyle name="Comma 2 2 4 2 4 2" xfId="48241"/>
    <cellStyle name="Comma 2 2 4 2 5" xfId="30662"/>
    <cellStyle name="Comma 2 2 4 3" xfId="8822"/>
    <cellStyle name="Comma 2 2 4 3 2" xfId="15531"/>
    <cellStyle name="Comma 2 2 4 3 2 2" xfId="38952"/>
    <cellStyle name="Comma 2 2 4 3 3" xfId="32320"/>
    <cellStyle name="Comma 2 2 4 4" xfId="12213"/>
    <cellStyle name="Comma 2 2 4 4 2" xfId="35636"/>
    <cellStyle name="Comma 2 2 4 5" xfId="23450"/>
    <cellStyle name="Comma 2 2 4 5 2" xfId="45789"/>
    <cellStyle name="Comma 2 2 4 6" xfId="29004"/>
    <cellStyle name="Comma 2 2 5" xfId="23230"/>
    <cellStyle name="Comma 2 2 5 2" xfId="45632"/>
    <cellStyle name="Comma 2 3" xfId="834"/>
    <cellStyle name="Comma 2 3 2" xfId="1534"/>
    <cellStyle name="Comma 2 3 2 2" xfId="3382"/>
    <cellStyle name="Comma 2 3 3" xfId="1533"/>
    <cellStyle name="Comma 2 3 3 2" xfId="23464"/>
    <cellStyle name="Comma 2 3 3 2 2" xfId="45799"/>
    <cellStyle name="Comma 2 3 4" xfId="5050"/>
    <cellStyle name="Comma 2 3 4 2" xfId="7164"/>
    <cellStyle name="Comma 2 3 4 2 2" xfId="10495"/>
    <cellStyle name="Comma 2 3 4 2 2 2" xfId="17199"/>
    <cellStyle name="Comma 2 3 4 2 2 2 2" xfId="40620"/>
    <cellStyle name="Comma 2 3 4 2 2 3" xfId="33988"/>
    <cellStyle name="Comma 2 3 4 2 3" xfId="13883"/>
    <cellStyle name="Comma 2 3 4 2 3 2" xfId="37304"/>
    <cellStyle name="Comma 2 3 4 2 4" xfId="26006"/>
    <cellStyle name="Comma 2 3 4 2 4 2" xfId="48251"/>
    <cellStyle name="Comma 2 3 4 2 5" xfId="30672"/>
    <cellStyle name="Comma 2 3 4 3" xfId="8834"/>
    <cellStyle name="Comma 2 3 4 3 2" xfId="15541"/>
    <cellStyle name="Comma 2 3 4 3 2 2" xfId="38962"/>
    <cellStyle name="Comma 2 3 4 3 3" xfId="32330"/>
    <cellStyle name="Comma 2 3 4 4" xfId="12224"/>
    <cellStyle name="Comma 2 3 4 4 2" xfId="35646"/>
    <cellStyle name="Comma 2 3 4 5" xfId="23797"/>
    <cellStyle name="Comma 2 3 4 5 2" xfId="46062"/>
    <cellStyle name="Comma 2 3 4 6" xfId="29014"/>
    <cellStyle name="Comma 2 3 5" xfId="23300"/>
    <cellStyle name="Comma 2 3 5 2" xfId="45667"/>
    <cellStyle name="Comma 2 4" xfId="1401"/>
    <cellStyle name="Comma 2 4 2" xfId="3384"/>
    <cellStyle name="Comma 2 4 3" xfId="3383"/>
    <cellStyle name="Comma 2 5" xfId="18410"/>
    <cellStyle name="Comma 2_Exhibits" xfId="986"/>
    <cellStyle name="Comma 20" xfId="291"/>
    <cellStyle name="Comma 20 2" xfId="292"/>
    <cellStyle name="Comma 20 2 2" xfId="1275"/>
    <cellStyle name="Comma 20 2 2 2" xfId="5251"/>
    <cellStyle name="Comma 20 2 3" xfId="5358"/>
    <cellStyle name="Comma 20 3" xfId="1276"/>
    <cellStyle name="Comma 20 3 2" xfId="5172"/>
    <cellStyle name="Comma 20 4" xfId="5948"/>
    <cellStyle name="Comma 21" xfId="293"/>
    <cellStyle name="Comma 21 2" xfId="294"/>
    <cellStyle name="Comma 21 2 2" xfId="1277"/>
    <cellStyle name="Comma 21 2 2 2" xfId="5332"/>
    <cellStyle name="Comma 21 2 3" xfId="5205"/>
    <cellStyle name="Comma 21 3" xfId="1278"/>
    <cellStyle name="Comma 21 3 2" xfId="5395"/>
    <cellStyle name="Comma 21 4" xfId="5376"/>
    <cellStyle name="Comma 22" xfId="295"/>
    <cellStyle name="Comma 22 2" xfId="296"/>
    <cellStyle name="Comma 22 2 2" xfId="3385"/>
    <cellStyle name="Comma 22 3" xfId="3386"/>
    <cellStyle name="Comma 23" xfId="297"/>
    <cellStyle name="Comma 23 2" xfId="298"/>
    <cellStyle name="Comma 23 2 2" xfId="3387"/>
    <cellStyle name="Comma 23 3" xfId="3388"/>
    <cellStyle name="Comma 24" xfId="299"/>
    <cellStyle name="Comma 24 2" xfId="300"/>
    <cellStyle name="Comma 24 2 2" xfId="3389"/>
    <cellStyle name="Comma 24 3" xfId="3390"/>
    <cellStyle name="Comma 24 4" xfId="5048"/>
    <cellStyle name="Comma 25" xfId="301"/>
    <cellStyle name="Comma 25 2" xfId="302"/>
    <cellStyle name="Comma 25 2 2" xfId="3391"/>
    <cellStyle name="Comma 25 3" xfId="1130"/>
    <cellStyle name="Comma 25 3 2" xfId="18413"/>
    <cellStyle name="Comma 25 4" xfId="2011"/>
    <cellStyle name="Comma 25 4 2" xfId="5408"/>
    <cellStyle name="Comma 25 4 2 2" xfId="21741"/>
    <cellStyle name="Comma 25 4 3" xfId="5055"/>
    <cellStyle name="Comma 25 4 4" xfId="18412"/>
    <cellStyle name="Comma 25 5" xfId="18023"/>
    <cellStyle name="Comma 26" xfId="303"/>
    <cellStyle name="Comma 26 2" xfId="304"/>
    <cellStyle name="Comma 26 2 2" xfId="2022"/>
    <cellStyle name="Comma 26 2 2 2" xfId="18211"/>
    <cellStyle name="Comma 26 2 3" xfId="2017"/>
    <cellStyle name="Comma 26 2 4" xfId="20450"/>
    <cellStyle name="Comma 26 3" xfId="1131"/>
    <cellStyle name="Comma 26 3 2" xfId="18415"/>
    <cellStyle name="Comma 26 4" xfId="2016"/>
    <cellStyle name="Comma 26 4 2" xfId="5409"/>
    <cellStyle name="Comma 26 4 2 2" xfId="21742"/>
    <cellStyle name="Comma 26 4 3" xfId="5047"/>
    <cellStyle name="Comma 26 4 4" xfId="18414"/>
    <cellStyle name="Comma 26 5" xfId="20436"/>
    <cellStyle name="Comma 27" xfId="305"/>
    <cellStyle name="Comma 27 2" xfId="306"/>
    <cellStyle name="Comma 27 2 2" xfId="3392"/>
    <cellStyle name="Comma 27 3" xfId="1132"/>
    <cellStyle name="Comma 27 3 2" xfId="18417"/>
    <cellStyle name="Comma 27 4" xfId="5056"/>
    <cellStyle name="Comma 27 4 2" xfId="7168"/>
    <cellStyle name="Comma 27 4 2 2" xfId="10499"/>
    <cellStyle name="Comma 27 4 2 2 2" xfId="17203"/>
    <cellStyle name="Comma 27 4 2 2 2 2" xfId="40624"/>
    <cellStyle name="Comma 27 4 2 2 3" xfId="33992"/>
    <cellStyle name="Comma 27 4 2 3" xfId="13887"/>
    <cellStyle name="Comma 27 4 2 3 2" xfId="37308"/>
    <cellStyle name="Comma 27 4 2 4" xfId="26010"/>
    <cellStyle name="Comma 27 4 2 4 2" xfId="48255"/>
    <cellStyle name="Comma 27 4 2 5" xfId="30676"/>
    <cellStyle name="Comma 27 4 3" xfId="8838"/>
    <cellStyle name="Comma 27 4 3 2" xfId="15545"/>
    <cellStyle name="Comma 27 4 3 2 2" xfId="38966"/>
    <cellStyle name="Comma 27 4 3 3" xfId="32334"/>
    <cellStyle name="Comma 27 4 4" xfId="12228"/>
    <cellStyle name="Comma 27 4 4 2" xfId="35650"/>
    <cellStyle name="Comma 27 4 5" xfId="18416"/>
    <cellStyle name="Comma 27 4 6" xfId="23469"/>
    <cellStyle name="Comma 27 4 6 2" xfId="45803"/>
    <cellStyle name="Comma 27 4 7" xfId="29018"/>
    <cellStyle name="Comma 27 5" xfId="23305"/>
    <cellStyle name="Comma 27 5 2" xfId="45671"/>
    <cellStyle name="Comma 28" xfId="307"/>
    <cellStyle name="Comma 28 2" xfId="308"/>
    <cellStyle name="Comma 28 2 2" xfId="3393"/>
    <cellStyle name="Comma 28 3" xfId="1133"/>
    <cellStyle name="Comma 28 3 2" xfId="18419"/>
    <cellStyle name="Comma 28 4" xfId="5053"/>
    <cellStyle name="Comma 28 4 2" xfId="7166"/>
    <cellStyle name="Comma 28 4 2 2" xfId="10497"/>
    <cellStyle name="Comma 28 4 2 2 2" xfId="17201"/>
    <cellStyle name="Comma 28 4 2 2 2 2" xfId="40622"/>
    <cellStyle name="Comma 28 4 2 2 3" xfId="33990"/>
    <cellStyle name="Comma 28 4 2 3" xfId="13885"/>
    <cellStyle name="Comma 28 4 2 3 2" xfId="37306"/>
    <cellStyle name="Comma 28 4 2 4" xfId="26008"/>
    <cellStyle name="Comma 28 4 2 4 2" xfId="48253"/>
    <cellStyle name="Comma 28 4 2 5" xfId="30674"/>
    <cellStyle name="Comma 28 4 3" xfId="8836"/>
    <cellStyle name="Comma 28 4 3 2" xfId="15543"/>
    <cellStyle name="Comma 28 4 3 2 2" xfId="38964"/>
    <cellStyle name="Comma 28 4 3 3" xfId="32332"/>
    <cellStyle name="Comma 28 4 4" xfId="12226"/>
    <cellStyle name="Comma 28 4 4 2" xfId="35648"/>
    <cellStyle name="Comma 28 4 5" xfId="18418"/>
    <cellStyle name="Comma 28 4 6" xfId="23467"/>
    <cellStyle name="Comma 28 4 6 2" xfId="45801"/>
    <cellStyle name="Comma 28 4 7" xfId="29016"/>
    <cellStyle name="Comma 28 5" xfId="23303"/>
    <cellStyle name="Comma 28 5 2" xfId="45669"/>
    <cellStyle name="Comma 29" xfId="309"/>
    <cellStyle name="Comma 29 2" xfId="1134"/>
    <cellStyle name="Comma 29 2 2" xfId="3394"/>
    <cellStyle name="Comma 29 3" xfId="3395"/>
    <cellStyle name="Comma 29 4" xfId="5052"/>
    <cellStyle name="Comma 29 4 2" xfId="7165"/>
    <cellStyle name="Comma 29 4 2 2" xfId="10496"/>
    <cellStyle name="Comma 29 4 2 2 2" xfId="17200"/>
    <cellStyle name="Comma 29 4 2 2 2 2" xfId="40621"/>
    <cellStyle name="Comma 29 4 2 2 3" xfId="33989"/>
    <cellStyle name="Comma 29 4 2 3" xfId="13884"/>
    <cellStyle name="Comma 29 4 2 3 2" xfId="37305"/>
    <cellStyle name="Comma 29 4 2 4" xfId="26007"/>
    <cellStyle name="Comma 29 4 2 4 2" xfId="48252"/>
    <cellStyle name="Comma 29 4 2 5" xfId="30673"/>
    <cellStyle name="Comma 29 4 3" xfId="8835"/>
    <cellStyle name="Comma 29 4 3 2" xfId="15542"/>
    <cellStyle name="Comma 29 4 3 2 2" xfId="38963"/>
    <cellStyle name="Comma 29 4 3 3" xfId="32331"/>
    <cellStyle name="Comma 29 4 4" xfId="12225"/>
    <cellStyle name="Comma 29 4 4 2" xfId="35647"/>
    <cellStyle name="Comma 29 4 5" xfId="23466"/>
    <cellStyle name="Comma 29 4 5 2" xfId="45800"/>
    <cellStyle name="Comma 29 4 6" xfId="29015"/>
    <cellStyle name="Comma 29 5" xfId="23302"/>
    <cellStyle name="Comma 29 5 2" xfId="45668"/>
    <cellStyle name="Comma 3" xfId="310"/>
    <cellStyle name="Comma 3 2" xfId="311"/>
    <cellStyle name="Comma 3 2 2" xfId="312"/>
    <cellStyle name="Comma 3 2 2 2" xfId="835"/>
    <cellStyle name="Comma 3 2 2 2 2" xfId="18421"/>
    <cellStyle name="Comma 3 2 2 3" xfId="18420"/>
    <cellStyle name="Comma 3 2 3" xfId="836"/>
    <cellStyle name="Comma 3 2 3 2" xfId="18422"/>
    <cellStyle name="Comma 3 2 4" xfId="3396"/>
    <cellStyle name="Comma 3 2 4 2" xfId="5091"/>
    <cellStyle name="Comma 3 3" xfId="313"/>
    <cellStyle name="Comma 3 3 2" xfId="837"/>
    <cellStyle name="Comma 3 3 2 2" xfId="18424"/>
    <cellStyle name="Comma 3 3 3" xfId="18423"/>
    <cellStyle name="Comma 3 4" xfId="838"/>
    <cellStyle name="Comma 3 4 2" xfId="3397"/>
    <cellStyle name="Comma 3 4 2 2" xfId="18425"/>
    <cellStyle name="Comma 3 4 3" xfId="3398"/>
    <cellStyle name="Comma 3 5" xfId="1535"/>
    <cellStyle name="Comma 3 5 2" xfId="3400"/>
    <cellStyle name="Comma 3 5 3" xfId="3401"/>
    <cellStyle name="Comma 3 5 4" xfId="3399"/>
    <cellStyle name="Comma 3 6" xfId="4769"/>
    <cellStyle name="Comma 3 6 2" xfId="24349"/>
    <cellStyle name="Comma 3 6 2 2" xfId="26552"/>
    <cellStyle name="Comma 3 6 2 2 2" xfId="48797"/>
    <cellStyle name="Comma 3 6 2 3" xfId="46594"/>
    <cellStyle name="Comma 3 7" xfId="6072"/>
    <cellStyle name="Comma 3 7 2" xfId="7737"/>
    <cellStyle name="Comma 3 7 2 2" xfId="11066"/>
    <cellStyle name="Comma 3 7 2 2 2" xfId="17770"/>
    <cellStyle name="Comma 3 7 2 2 2 2" xfId="41191"/>
    <cellStyle name="Comma 3 7 2 2 3" xfId="34559"/>
    <cellStyle name="Comma 3 7 2 3" xfId="14454"/>
    <cellStyle name="Comma 3 7 2 3 2" xfId="37875"/>
    <cellStyle name="Comma 3 7 2 4" xfId="31243"/>
    <cellStyle name="Comma 3 7 3" xfId="9408"/>
    <cellStyle name="Comma 3 7 3 2" xfId="16112"/>
    <cellStyle name="Comma 3 7 3 2 2" xfId="39533"/>
    <cellStyle name="Comma 3 7 3 3" xfId="32901"/>
    <cellStyle name="Comma 3 7 4" xfId="12796"/>
    <cellStyle name="Comma 3 7 4 2" xfId="36217"/>
    <cellStyle name="Comma 3 7 5" xfId="29585"/>
    <cellStyle name="Comma 30" xfId="314"/>
    <cellStyle name="Comma 30 2" xfId="1135"/>
    <cellStyle name="Comma 30 2 2" xfId="5989"/>
    <cellStyle name="Comma 30 3" xfId="5338"/>
    <cellStyle name="Comma 31" xfId="315"/>
    <cellStyle name="Comma 31 2" xfId="1136"/>
    <cellStyle name="Comma 31 2 2" xfId="5995"/>
    <cellStyle name="Comma 31 3" xfId="5259"/>
    <cellStyle name="Comma 32" xfId="316"/>
    <cellStyle name="Comma 32 2" xfId="1279"/>
    <cellStyle name="Comma 32 2 2" xfId="5200"/>
    <cellStyle name="Comma 32 3" xfId="5165"/>
    <cellStyle name="Comma 33" xfId="317"/>
    <cellStyle name="Comma 33 2" xfId="1280"/>
    <cellStyle name="Comma 33 2 2" xfId="5262"/>
    <cellStyle name="Comma 33 3" xfId="5238"/>
    <cellStyle name="Comma 34" xfId="318"/>
    <cellStyle name="Comma 34 2" xfId="1281"/>
    <cellStyle name="Comma 34 2 2" xfId="5417"/>
    <cellStyle name="Comma 34 3" xfId="5331"/>
    <cellStyle name="Comma 35" xfId="319"/>
    <cellStyle name="Comma 35 2" xfId="1282"/>
    <cellStyle name="Comma 35 2 2" xfId="5651"/>
    <cellStyle name="Comma 35 3" xfId="5628"/>
    <cellStyle name="Comma 36" xfId="320"/>
    <cellStyle name="Comma 36 2" xfId="1283"/>
    <cellStyle name="Comma 36 2 2" xfId="5177"/>
    <cellStyle name="Comma 36 3" xfId="5936"/>
    <cellStyle name="Comma 37" xfId="321"/>
    <cellStyle name="Comma 37 2" xfId="750"/>
    <cellStyle name="Comma 37 2 2" xfId="5655"/>
    <cellStyle name="Comma 37 3" xfId="5195"/>
    <cellStyle name="Comma 38" xfId="953"/>
    <cellStyle name="Comma 38 2" xfId="1284"/>
    <cellStyle name="Comma 38 2 2" xfId="3402"/>
    <cellStyle name="Comma 38 3" xfId="3403"/>
    <cellStyle name="Comma 39" xfId="1125"/>
    <cellStyle name="Comma 39 2" xfId="1285"/>
    <cellStyle name="Comma 39 2 2" xfId="3404"/>
    <cellStyle name="Comma 39 3" xfId="3405"/>
    <cellStyle name="Comma 4" xfId="322"/>
    <cellStyle name="Comma 4 2" xfId="323"/>
    <cellStyle name="Comma 4 2 2" xfId="324"/>
    <cellStyle name="Comma 4 2 2 2" xfId="3406"/>
    <cellStyle name="Comma 4 2 3" xfId="1537"/>
    <cellStyle name="Comma 4 2 3 2" xfId="18429"/>
    <cellStyle name="Comma 4 2 4" xfId="1536"/>
    <cellStyle name="Comma 4 2 4 2" xfId="18430"/>
    <cellStyle name="Comma 4 2 5" xfId="18428"/>
    <cellStyle name="Comma 4 3" xfId="325"/>
    <cellStyle name="Comma 4 3 2" xfId="3407"/>
    <cellStyle name="Comma 4 4" xfId="3408"/>
    <cellStyle name="Comma 4 4 2" xfId="3409"/>
    <cellStyle name="Comma 4 5" xfId="4770"/>
    <cellStyle name="Comma 40" xfId="1164"/>
    <cellStyle name="Comma 40 2" xfId="1286"/>
    <cellStyle name="Comma 40 2 2" xfId="3410"/>
    <cellStyle name="Comma 40 3" xfId="3411"/>
    <cellStyle name="Comma 41" xfId="1174"/>
    <cellStyle name="Comma 41 2" xfId="1287"/>
    <cellStyle name="Comma 41 2 2" xfId="5966"/>
    <cellStyle name="Comma 41 3" xfId="5154"/>
    <cellStyle name="Comma 42" xfId="1258"/>
    <cellStyle name="Comma 42 10" xfId="6090"/>
    <cellStyle name="Comma 42 10 2" xfId="9424"/>
    <cellStyle name="Comma 42 10 2 2" xfId="16128"/>
    <cellStyle name="Comma 42 10 2 2 2" xfId="39549"/>
    <cellStyle name="Comma 42 10 2 3" xfId="32917"/>
    <cellStyle name="Comma 42 10 3" xfId="12812"/>
    <cellStyle name="Comma 42 10 3 2" xfId="36233"/>
    <cellStyle name="Comma 42 10 4" xfId="29601"/>
    <cellStyle name="Comma 42 11" xfId="7755"/>
    <cellStyle name="Comma 42 11 2" xfId="14470"/>
    <cellStyle name="Comma 42 11 2 2" xfId="37891"/>
    <cellStyle name="Comma 42 11 3" xfId="31259"/>
    <cellStyle name="Comma 42 12" xfId="11152"/>
    <cellStyle name="Comma 42 12 2" xfId="34575"/>
    <cellStyle name="Comma 42 13" xfId="27943"/>
    <cellStyle name="Comma 42 2" xfId="1289"/>
    <cellStyle name="Comma 42 2 2" xfId="5254"/>
    <cellStyle name="Comma 42 3" xfId="1288"/>
    <cellStyle name="Comma 42 3 2" xfId="18431"/>
    <cellStyle name="Comma 42 4" xfId="1443"/>
    <cellStyle name="Comma 42 4 10" xfId="27979"/>
    <cellStyle name="Comma 42 4 2" xfId="1539"/>
    <cellStyle name="Comma 42 4 3" xfId="1758"/>
    <cellStyle name="Comma 42 4 3 2" xfId="2026"/>
    <cellStyle name="Comma 42 4 3 3" xfId="2755"/>
    <cellStyle name="Comma 42 4 3 3 2" xfId="5847"/>
    <cellStyle name="Comma 42 4 3 3 2 2" xfId="7629"/>
    <cellStyle name="Comma 42 4 3 3 2 2 2" xfId="10958"/>
    <cellStyle name="Comma 42 4 3 3 2 2 2 2" xfId="17662"/>
    <cellStyle name="Comma 42 4 3 3 2 2 2 2 2" xfId="41083"/>
    <cellStyle name="Comma 42 4 3 3 2 2 2 3" xfId="34451"/>
    <cellStyle name="Comma 42 4 3 3 2 2 3" xfId="14346"/>
    <cellStyle name="Comma 42 4 3 3 2 2 3 2" xfId="37767"/>
    <cellStyle name="Comma 42 4 3 3 2 2 4" xfId="31135"/>
    <cellStyle name="Comma 42 4 3 3 2 3" xfId="9300"/>
    <cellStyle name="Comma 42 4 3 3 2 3 2" xfId="16004"/>
    <cellStyle name="Comma 42 4 3 3 2 3 2 2" xfId="39425"/>
    <cellStyle name="Comma 42 4 3 3 2 3 3" xfId="32793"/>
    <cellStyle name="Comma 42 4 3 3 2 4" xfId="12688"/>
    <cellStyle name="Comma 42 4 3 3 2 4 2" xfId="36109"/>
    <cellStyle name="Comma 42 4 3 3 2 5" xfId="29477"/>
    <cellStyle name="Comma 42 4 3 3 3" xfId="6730"/>
    <cellStyle name="Comma 42 4 3 3 3 2" xfId="10062"/>
    <cellStyle name="Comma 42 4 3 3 3 2 2" xfId="16766"/>
    <cellStyle name="Comma 42 4 3 3 3 2 2 2" xfId="40187"/>
    <cellStyle name="Comma 42 4 3 3 3 2 3" xfId="33555"/>
    <cellStyle name="Comma 42 4 3 3 3 3" xfId="13450"/>
    <cellStyle name="Comma 42 4 3 3 3 3 2" xfId="36871"/>
    <cellStyle name="Comma 42 4 3 3 3 4" xfId="30239"/>
    <cellStyle name="Comma 42 4 3 3 4" xfId="8396"/>
    <cellStyle name="Comma 42 4 3 3 4 2" xfId="15108"/>
    <cellStyle name="Comma 42 4 3 3 4 2 2" xfId="38529"/>
    <cellStyle name="Comma 42 4 3 3 4 3" xfId="31897"/>
    <cellStyle name="Comma 42 4 3 3 5" xfId="11790"/>
    <cellStyle name="Comma 42 4 3 3 5 2" xfId="35213"/>
    <cellStyle name="Comma 42 4 3 3 6" xfId="28581"/>
    <cellStyle name="Comma 42 4 3 4" xfId="5380"/>
    <cellStyle name="Comma 42 4 3 4 2" xfId="7233"/>
    <cellStyle name="Comma 42 4 3 4 2 2" xfId="10564"/>
    <cellStyle name="Comma 42 4 3 4 2 2 2" xfId="17268"/>
    <cellStyle name="Comma 42 4 3 4 2 2 2 2" xfId="40689"/>
    <cellStyle name="Comma 42 4 3 4 2 2 3" xfId="34057"/>
    <cellStyle name="Comma 42 4 3 4 2 3" xfId="13952"/>
    <cellStyle name="Comma 42 4 3 4 2 3 2" xfId="37373"/>
    <cellStyle name="Comma 42 4 3 4 2 4" xfId="30741"/>
    <cellStyle name="Comma 42 4 3 4 3" xfId="8906"/>
    <cellStyle name="Comma 42 4 3 4 3 2" xfId="15610"/>
    <cellStyle name="Comma 42 4 3 4 3 2 2" xfId="39031"/>
    <cellStyle name="Comma 42 4 3 4 3 3" xfId="32399"/>
    <cellStyle name="Comma 42 4 3 4 4" xfId="12293"/>
    <cellStyle name="Comma 42 4 3 4 4 2" xfId="35715"/>
    <cellStyle name="Comma 42 4 3 4 5" xfId="29083"/>
    <cellStyle name="Comma 42 4 3 5" xfId="6257"/>
    <cellStyle name="Comma 42 4 3 5 2" xfId="9591"/>
    <cellStyle name="Comma 42 4 3 5 2 2" xfId="16295"/>
    <cellStyle name="Comma 42 4 3 5 2 2 2" xfId="39716"/>
    <cellStyle name="Comma 42 4 3 5 2 3" xfId="33084"/>
    <cellStyle name="Comma 42 4 3 5 3" xfId="12979"/>
    <cellStyle name="Comma 42 4 3 5 3 2" xfId="36400"/>
    <cellStyle name="Comma 42 4 3 5 4" xfId="29768"/>
    <cellStyle name="Comma 42 4 3 6" xfId="7923"/>
    <cellStyle name="Comma 42 4 3 6 2" xfId="14637"/>
    <cellStyle name="Comma 42 4 3 6 2 2" xfId="38058"/>
    <cellStyle name="Comma 42 4 3 6 3" xfId="31426"/>
    <cellStyle name="Comma 42 4 3 7" xfId="11319"/>
    <cellStyle name="Comma 42 4 3 7 2" xfId="34742"/>
    <cellStyle name="Comma 42 4 3 8" xfId="28110"/>
    <cellStyle name="Comma 42 4 4" xfId="2027"/>
    <cellStyle name="Comma 42 4 4 2" xfId="17868"/>
    <cellStyle name="Comma 42 4 5" xfId="2623"/>
    <cellStyle name="Comma 42 4 5 2" xfId="5716"/>
    <cellStyle name="Comma 42 4 5 2 2" xfId="7498"/>
    <cellStyle name="Comma 42 4 5 2 2 2" xfId="10827"/>
    <cellStyle name="Comma 42 4 5 2 2 2 2" xfId="17531"/>
    <cellStyle name="Comma 42 4 5 2 2 2 2 2" xfId="40952"/>
    <cellStyle name="Comma 42 4 5 2 2 2 3" xfId="34320"/>
    <cellStyle name="Comma 42 4 5 2 2 3" xfId="14215"/>
    <cellStyle name="Comma 42 4 5 2 2 3 2" xfId="37636"/>
    <cellStyle name="Comma 42 4 5 2 2 4" xfId="31004"/>
    <cellStyle name="Comma 42 4 5 2 3" xfId="9169"/>
    <cellStyle name="Comma 42 4 5 2 3 2" xfId="15873"/>
    <cellStyle name="Comma 42 4 5 2 3 2 2" xfId="39294"/>
    <cellStyle name="Comma 42 4 5 2 3 3" xfId="32662"/>
    <cellStyle name="Comma 42 4 5 2 4" xfId="12557"/>
    <cellStyle name="Comma 42 4 5 2 4 2" xfId="35978"/>
    <cellStyle name="Comma 42 4 5 2 5" xfId="18213"/>
    <cellStyle name="Comma 42 4 5 2 6" xfId="29346"/>
    <cellStyle name="Comma 42 4 5 3" xfId="6599"/>
    <cellStyle name="Comma 42 4 5 3 2" xfId="9931"/>
    <cellStyle name="Comma 42 4 5 3 2 2" xfId="16635"/>
    <cellStyle name="Comma 42 4 5 3 2 2 2" xfId="40056"/>
    <cellStyle name="Comma 42 4 5 3 2 3" xfId="33424"/>
    <cellStyle name="Comma 42 4 5 3 3" xfId="13319"/>
    <cellStyle name="Comma 42 4 5 3 3 2" xfId="36740"/>
    <cellStyle name="Comma 42 4 5 3 4" xfId="30108"/>
    <cellStyle name="Comma 42 4 5 4" xfId="8265"/>
    <cellStyle name="Comma 42 4 5 4 2" xfId="14977"/>
    <cellStyle name="Comma 42 4 5 4 2 2" xfId="38398"/>
    <cellStyle name="Comma 42 4 5 4 3" xfId="31766"/>
    <cellStyle name="Comma 42 4 5 5" xfId="11659"/>
    <cellStyle name="Comma 42 4 5 5 2" xfId="35082"/>
    <cellStyle name="Comma 42 4 5 6" xfId="17873"/>
    <cellStyle name="Comma 42 4 5 7" xfId="28450"/>
    <cellStyle name="Comma 42 4 6" xfId="5313"/>
    <cellStyle name="Comma 42 4 6 2" xfId="7202"/>
    <cellStyle name="Comma 42 4 6 2 2" xfId="10533"/>
    <cellStyle name="Comma 42 4 6 2 2 2" xfId="17237"/>
    <cellStyle name="Comma 42 4 6 2 2 2 2" xfId="40658"/>
    <cellStyle name="Comma 42 4 6 2 2 3" xfId="34026"/>
    <cellStyle name="Comma 42 4 6 2 3" xfId="13921"/>
    <cellStyle name="Comma 42 4 6 2 3 2" xfId="37342"/>
    <cellStyle name="Comma 42 4 6 2 4" xfId="30710"/>
    <cellStyle name="Comma 42 4 6 3" xfId="8875"/>
    <cellStyle name="Comma 42 4 6 3 2" xfId="15579"/>
    <cellStyle name="Comma 42 4 6 3 2 2" xfId="39000"/>
    <cellStyle name="Comma 42 4 6 3 3" xfId="32368"/>
    <cellStyle name="Comma 42 4 6 4" xfId="12262"/>
    <cellStyle name="Comma 42 4 6 4 2" xfId="35684"/>
    <cellStyle name="Comma 42 4 6 5" xfId="29052"/>
    <cellStyle name="Comma 42 4 7" xfId="6126"/>
    <cellStyle name="Comma 42 4 7 2" xfId="9460"/>
    <cellStyle name="Comma 42 4 7 2 2" xfId="16164"/>
    <cellStyle name="Comma 42 4 7 2 2 2" xfId="39585"/>
    <cellStyle name="Comma 42 4 7 2 3" xfId="32953"/>
    <cellStyle name="Comma 42 4 7 3" xfId="12848"/>
    <cellStyle name="Comma 42 4 7 3 2" xfId="36269"/>
    <cellStyle name="Comma 42 4 7 4" xfId="29637"/>
    <cellStyle name="Comma 42 4 8" xfId="7792"/>
    <cellStyle name="Comma 42 4 8 2" xfId="14506"/>
    <cellStyle name="Comma 42 4 8 2 2" xfId="37927"/>
    <cellStyle name="Comma 42 4 8 3" xfId="31295"/>
    <cellStyle name="Comma 42 4 9" xfId="11188"/>
    <cellStyle name="Comma 42 4 9 2" xfId="34611"/>
    <cellStyle name="Comma 42 5" xfId="1538"/>
    <cellStyle name="Comma 42 6" xfId="1721"/>
    <cellStyle name="Comma 42 6 2" xfId="2028"/>
    <cellStyle name="Comma 42 6 3" xfId="2719"/>
    <cellStyle name="Comma 42 6 3 2" xfId="5811"/>
    <cellStyle name="Comma 42 6 3 2 2" xfId="7593"/>
    <cellStyle name="Comma 42 6 3 2 2 2" xfId="10922"/>
    <cellStyle name="Comma 42 6 3 2 2 2 2" xfId="17626"/>
    <cellStyle name="Comma 42 6 3 2 2 2 2 2" xfId="41047"/>
    <cellStyle name="Comma 42 6 3 2 2 2 3" xfId="34415"/>
    <cellStyle name="Comma 42 6 3 2 2 3" xfId="14310"/>
    <cellStyle name="Comma 42 6 3 2 2 3 2" xfId="37731"/>
    <cellStyle name="Comma 42 6 3 2 2 4" xfId="31099"/>
    <cellStyle name="Comma 42 6 3 2 3" xfId="9264"/>
    <cellStyle name="Comma 42 6 3 2 3 2" xfId="15968"/>
    <cellStyle name="Comma 42 6 3 2 3 2 2" xfId="39389"/>
    <cellStyle name="Comma 42 6 3 2 3 3" xfId="32757"/>
    <cellStyle name="Comma 42 6 3 2 4" xfId="12652"/>
    <cellStyle name="Comma 42 6 3 2 4 2" xfId="36073"/>
    <cellStyle name="Comma 42 6 3 2 5" xfId="29441"/>
    <cellStyle name="Comma 42 6 3 3" xfId="6694"/>
    <cellStyle name="Comma 42 6 3 3 2" xfId="10026"/>
    <cellStyle name="Comma 42 6 3 3 2 2" xfId="16730"/>
    <cellStyle name="Comma 42 6 3 3 2 2 2" xfId="40151"/>
    <cellStyle name="Comma 42 6 3 3 2 3" xfId="33519"/>
    <cellStyle name="Comma 42 6 3 3 3" xfId="13414"/>
    <cellStyle name="Comma 42 6 3 3 3 2" xfId="36835"/>
    <cellStyle name="Comma 42 6 3 3 4" xfId="30203"/>
    <cellStyle name="Comma 42 6 3 4" xfId="8360"/>
    <cellStyle name="Comma 42 6 3 4 2" xfId="15072"/>
    <cellStyle name="Comma 42 6 3 4 2 2" xfId="38493"/>
    <cellStyle name="Comma 42 6 3 4 3" xfId="31861"/>
    <cellStyle name="Comma 42 6 3 5" xfId="11754"/>
    <cellStyle name="Comma 42 6 3 5 2" xfId="35177"/>
    <cellStyle name="Comma 42 6 3 6" xfId="28545"/>
    <cellStyle name="Comma 42 6 4" xfId="5366"/>
    <cellStyle name="Comma 42 6 4 2" xfId="7220"/>
    <cellStyle name="Comma 42 6 4 2 2" xfId="10551"/>
    <cellStyle name="Comma 42 6 4 2 2 2" xfId="17255"/>
    <cellStyle name="Comma 42 6 4 2 2 2 2" xfId="40676"/>
    <cellStyle name="Comma 42 6 4 2 2 3" xfId="34044"/>
    <cellStyle name="Comma 42 6 4 2 3" xfId="13939"/>
    <cellStyle name="Comma 42 6 4 2 3 2" xfId="37360"/>
    <cellStyle name="Comma 42 6 4 2 4" xfId="30728"/>
    <cellStyle name="Comma 42 6 4 3" xfId="8893"/>
    <cellStyle name="Comma 42 6 4 3 2" xfId="15597"/>
    <cellStyle name="Comma 42 6 4 3 2 2" xfId="39018"/>
    <cellStyle name="Comma 42 6 4 3 3" xfId="32386"/>
    <cellStyle name="Comma 42 6 4 4" xfId="12280"/>
    <cellStyle name="Comma 42 6 4 4 2" xfId="35702"/>
    <cellStyle name="Comma 42 6 4 5" xfId="29070"/>
    <cellStyle name="Comma 42 6 5" xfId="6221"/>
    <cellStyle name="Comma 42 6 5 2" xfId="9555"/>
    <cellStyle name="Comma 42 6 5 2 2" xfId="16259"/>
    <cellStyle name="Comma 42 6 5 2 2 2" xfId="39680"/>
    <cellStyle name="Comma 42 6 5 2 3" xfId="33048"/>
    <cellStyle name="Comma 42 6 5 3" xfId="12943"/>
    <cellStyle name="Comma 42 6 5 3 2" xfId="36364"/>
    <cellStyle name="Comma 42 6 5 4" xfId="29732"/>
    <cellStyle name="Comma 42 6 6" xfId="7887"/>
    <cellStyle name="Comma 42 6 6 2" xfId="14601"/>
    <cellStyle name="Comma 42 6 6 2 2" xfId="38022"/>
    <cellStyle name="Comma 42 6 6 3" xfId="31390"/>
    <cellStyle name="Comma 42 6 7" xfId="11283"/>
    <cellStyle name="Comma 42 6 7 2" xfId="34706"/>
    <cellStyle name="Comma 42 6 8" xfId="28074"/>
    <cellStyle name="Comma 42 7" xfId="2029"/>
    <cellStyle name="Comma 42 7 2" xfId="17869"/>
    <cellStyle name="Comma 42 8" xfId="2586"/>
    <cellStyle name="Comma 42 8 2" xfId="5680"/>
    <cellStyle name="Comma 42 8 2 2" xfId="7463"/>
    <cellStyle name="Comma 42 8 2 2 2" xfId="10792"/>
    <cellStyle name="Comma 42 8 2 2 2 2" xfId="17496"/>
    <cellStyle name="Comma 42 8 2 2 2 2 2" xfId="40917"/>
    <cellStyle name="Comma 42 8 2 2 2 3" xfId="34285"/>
    <cellStyle name="Comma 42 8 2 2 3" xfId="14180"/>
    <cellStyle name="Comma 42 8 2 2 3 2" xfId="37601"/>
    <cellStyle name="Comma 42 8 2 2 4" xfId="30969"/>
    <cellStyle name="Comma 42 8 2 3" xfId="9134"/>
    <cellStyle name="Comma 42 8 2 3 2" xfId="15838"/>
    <cellStyle name="Comma 42 8 2 3 2 2" xfId="39259"/>
    <cellStyle name="Comma 42 8 2 3 3" xfId="32627"/>
    <cellStyle name="Comma 42 8 2 4" xfId="12522"/>
    <cellStyle name="Comma 42 8 2 4 2" xfId="35943"/>
    <cellStyle name="Comma 42 8 2 5" xfId="18946"/>
    <cellStyle name="Comma 42 8 2 6" xfId="29311"/>
    <cellStyle name="Comma 42 8 3" xfId="6563"/>
    <cellStyle name="Comma 42 8 3 2" xfId="9895"/>
    <cellStyle name="Comma 42 8 3 2 2" xfId="16599"/>
    <cellStyle name="Comma 42 8 3 2 2 2" xfId="40020"/>
    <cellStyle name="Comma 42 8 3 2 3" xfId="33388"/>
    <cellStyle name="Comma 42 8 3 3" xfId="13283"/>
    <cellStyle name="Comma 42 8 3 3 2" xfId="36704"/>
    <cellStyle name="Comma 42 8 3 4" xfId="30072"/>
    <cellStyle name="Comma 42 8 4" xfId="8229"/>
    <cellStyle name="Comma 42 8 4 2" xfId="14941"/>
    <cellStyle name="Comma 42 8 4 2 2" xfId="38362"/>
    <cellStyle name="Comma 42 8 4 3" xfId="31730"/>
    <cellStyle name="Comma 42 8 5" xfId="11623"/>
    <cellStyle name="Comma 42 8 5 2" xfId="35046"/>
    <cellStyle name="Comma 42 8 6" xfId="18433"/>
    <cellStyle name="Comma 42 8 7" xfId="28414"/>
    <cellStyle name="Comma 42 9" xfId="5282"/>
    <cellStyle name="Comma 42 9 2" xfId="7189"/>
    <cellStyle name="Comma 42 9 2 2" xfId="10520"/>
    <cellStyle name="Comma 42 9 2 2 2" xfId="17224"/>
    <cellStyle name="Comma 42 9 2 2 2 2" xfId="40645"/>
    <cellStyle name="Comma 42 9 2 2 3" xfId="34013"/>
    <cellStyle name="Comma 42 9 2 3" xfId="13908"/>
    <cellStyle name="Comma 42 9 2 3 2" xfId="37329"/>
    <cellStyle name="Comma 42 9 2 4" xfId="30697"/>
    <cellStyle name="Comma 42 9 3" xfId="8861"/>
    <cellStyle name="Comma 42 9 3 2" xfId="15566"/>
    <cellStyle name="Comma 42 9 3 2 2" xfId="38987"/>
    <cellStyle name="Comma 42 9 3 3" xfId="32355"/>
    <cellStyle name="Comma 42 9 4" xfId="12249"/>
    <cellStyle name="Comma 42 9 4 2" xfId="35671"/>
    <cellStyle name="Comma 42 9 5" xfId="29039"/>
    <cellStyle name="Comma 43" xfId="1262"/>
    <cellStyle name="Comma 43 10" xfId="6093"/>
    <cellStyle name="Comma 43 10 2" xfId="9427"/>
    <cellStyle name="Comma 43 10 2 2" xfId="16131"/>
    <cellStyle name="Comma 43 10 2 2 2" xfId="39552"/>
    <cellStyle name="Comma 43 10 2 3" xfId="32920"/>
    <cellStyle name="Comma 43 10 3" xfId="12815"/>
    <cellStyle name="Comma 43 10 3 2" xfId="36236"/>
    <cellStyle name="Comma 43 10 4" xfId="29604"/>
    <cellStyle name="Comma 43 11" xfId="7758"/>
    <cellStyle name="Comma 43 11 2" xfId="14473"/>
    <cellStyle name="Comma 43 11 2 2" xfId="37894"/>
    <cellStyle name="Comma 43 11 3" xfId="31262"/>
    <cellStyle name="Comma 43 12" xfId="11155"/>
    <cellStyle name="Comma 43 12 2" xfId="34578"/>
    <cellStyle name="Comma 43 13" xfId="27946"/>
    <cellStyle name="Comma 43 2" xfId="1291"/>
    <cellStyle name="Comma 43 2 2" xfId="5412"/>
    <cellStyle name="Comma 43 3" xfId="1290"/>
    <cellStyle name="Comma 43 3 2" xfId="18432"/>
    <cellStyle name="Comma 43 4" xfId="1446"/>
    <cellStyle name="Comma 43 4 10" xfId="27982"/>
    <cellStyle name="Comma 43 4 2" xfId="1541"/>
    <cellStyle name="Comma 43 4 3" xfId="1761"/>
    <cellStyle name="Comma 43 4 3 2" xfId="2030"/>
    <cellStyle name="Comma 43 4 3 3" xfId="2758"/>
    <cellStyle name="Comma 43 4 3 3 2" xfId="5850"/>
    <cellStyle name="Comma 43 4 3 3 2 2" xfId="7632"/>
    <cellStyle name="Comma 43 4 3 3 2 2 2" xfId="10961"/>
    <cellStyle name="Comma 43 4 3 3 2 2 2 2" xfId="17665"/>
    <cellStyle name="Comma 43 4 3 3 2 2 2 2 2" xfId="41086"/>
    <cellStyle name="Comma 43 4 3 3 2 2 2 3" xfId="34454"/>
    <cellStyle name="Comma 43 4 3 3 2 2 3" xfId="14349"/>
    <cellStyle name="Comma 43 4 3 3 2 2 3 2" xfId="37770"/>
    <cellStyle name="Comma 43 4 3 3 2 2 4" xfId="31138"/>
    <cellStyle name="Comma 43 4 3 3 2 3" xfId="9303"/>
    <cellStyle name="Comma 43 4 3 3 2 3 2" xfId="16007"/>
    <cellStyle name="Comma 43 4 3 3 2 3 2 2" xfId="39428"/>
    <cellStyle name="Comma 43 4 3 3 2 3 3" xfId="32796"/>
    <cellStyle name="Comma 43 4 3 3 2 4" xfId="12691"/>
    <cellStyle name="Comma 43 4 3 3 2 4 2" xfId="36112"/>
    <cellStyle name="Comma 43 4 3 3 2 5" xfId="29480"/>
    <cellStyle name="Comma 43 4 3 3 3" xfId="6733"/>
    <cellStyle name="Comma 43 4 3 3 3 2" xfId="10065"/>
    <cellStyle name="Comma 43 4 3 3 3 2 2" xfId="16769"/>
    <cellStyle name="Comma 43 4 3 3 3 2 2 2" xfId="40190"/>
    <cellStyle name="Comma 43 4 3 3 3 2 3" xfId="33558"/>
    <cellStyle name="Comma 43 4 3 3 3 3" xfId="13453"/>
    <cellStyle name="Comma 43 4 3 3 3 3 2" xfId="36874"/>
    <cellStyle name="Comma 43 4 3 3 3 4" xfId="30242"/>
    <cellStyle name="Comma 43 4 3 3 4" xfId="8399"/>
    <cellStyle name="Comma 43 4 3 3 4 2" xfId="15111"/>
    <cellStyle name="Comma 43 4 3 3 4 2 2" xfId="38532"/>
    <cellStyle name="Comma 43 4 3 3 4 3" xfId="31900"/>
    <cellStyle name="Comma 43 4 3 3 5" xfId="11793"/>
    <cellStyle name="Comma 43 4 3 3 5 2" xfId="35216"/>
    <cellStyle name="Comma 43 4 3 3 6" xfId="28584"/>
    <cellStyle name="Comma 43 4 3 4" xfId="5382"/>
    <cellStyle name="Comma 43 4 3 4 2" xfId="7235"/>
    <cellStyle name="Comma 43 4 3 4 2 2" xfId="10566"/>
    <cellStyle name="Comma 43 4 3 4 2 2 2" xfId="17270"/>
    <cellStyle name="Comma 43 4 3 4 2 2 2 2" xfId="40691"/>
    <cellStyle name="Comma 43 4 3 4 2 2 3" xfId="34059"/>
    <cellStyle name="Comma 43 4 3 4 2 3" xfId="13954"/>
    <cellStyle name="Comma 43 4 3 4 2 3 2" xfId="37375"/>
    <cellStyle name="Comma 43 4 3 4 2 4" xfId="30743"/>
    <cellStyle name="Comma 43 4 3 4 3" xfId="8908"/>
    <cellStyle name="Comma 43 4 3 4 3 2" xfId="15612"/>
    <cellStyle name="Comma 43 4 3 4 3 2 2" xfId="39033"/>
    <cellStyle name="Comma 43 4 3 4 3 3" xfId="32401"/>
    <cellStyle name="Comma 43 4 3 4 4" xfId="12295"/>
    <cellStyle name="Comma 43 4 3 4 4 2" xfId="35717"/>
    <cellStyle name="Comma 43 4 3 4 5" xfId="29085"/>
    <cellStyle name="Comma 43 4 3 5" xfId="6260"/>
    <cellStyle name="Comma 43 4 3 5 2" xfId="9594"/>
    <cellStyle name="Comma 43 4 3 5 2 2" xfId="16298"/>
    <cellStyle name="Comma 43 4 3 5 2 2 2" xfId="39719"/>
    <cellStyle name="Comma 43 4 3 5 2 3" xfId="33087"/>
    <cellStyle name="Comma 43 4 3 5 3" xfId="12982"/>
    <cellStyle name="Comma 43 4 3 5 3 2" xfId="36403"/>
    <cellStyle name="Comma 43 4 3 5 4" xfId="29771"/>
    <cellStyle name="Comma 43 4 3 6" xfId="7926"/>
    <cellStyle name="Comma 43 4 3 6 2" xfId="14640"/>
    <cellStyle name="Comma 43 4 3 6 2 2" xfId="38061"/>
    <cellStyle name="Comma 43 4 3 6 3" xfId="31429"/>
    <cellStyle name="Comma 43 4 3 7" xfId="11322"/>
    <cellStyle name="Comma 43 4 3 7 2" xfId="34745"/>
    <cellStyle name="Comma 43 4 3 8" xfId="28113"/>
    <cellStyle name="Comma 43 4 4" xfId="2031"/>
    <cellStyle name="Comma 43 4 4 2" xfId="17870"/>
    <cellStyle name="Comma 43 4 5" xfId="2626"/>
    <cellStyle name="Comma 43 4 5 2" xfId="5719"/>
    <cellStyle name="Comma 43 4 5 2 2" xfId="7501"/>
    <cellStyle name="Comma 43 4 5 2 2 2" xfId="10830"/>
    <cellStyle name="Comma 43 4 5 2 2 2 2" xfId="17534"/>
    <cellStyle name="Comma 43 4 5 2 2 2 2 2" xfId="40955"/>
    <cellStyle name="Comma 43 4 5 2 2 2 3" xfId="34323"/>
    <cellStyle name="Comma 43 4 5 2 2 3" xfId="14218"/>
    <cellStyle name="Comma 43 4 5 2 2 3 2" xfId="37639"/>
    <cellStyle name="Comma 43 4 5 2 2 4" xfId="31007"/>
    <cellStyle name="Comma 43 4 5 2 3" xfId="9172"/>
    <cellStyle name="Comma 43 4 5 2 3 2" xfId="15876"/>
    <cellStyle name="Comma 43 4 5 2 3 2 2" xfId="39297"/>
    <cellStyle name="Comma 43 4 5 2 3 3" xfId="32665"/>
    <cellStyle name="Comma 43 4 5 2 4" xfId="12560"/>
    <cellStyle name="Comma 43 4 5 2 4 2" xfId="35981"/>
    <cellStyle name="Comma 43 4 5 2 5" xfId="18945"/>
    <cellStyle name="Comma 43 4 5 2 6" xfId="29349"/>
    <cellStyle name="Comma 43 4 5 3" xfId="6602"/>
    <cellStyle name="Comma 43 4 5 3 2" xfId="9934"/>
    <cellStyle name="Comma 43 4 5 3 2 2" xfId="16638"/>
    <cellStyle name="Comma 43 4 5 3 2 2 2" xfId="40059"/>
    <cellStyle name="Comma 43 4 5 3 2 3" xfId="33427"/>
    <cellStyle name="Comma 43 4 5 3 3" xfId="13322"/>
    <cellStyle name="Comma 43 4 5 3 3 2" xfId="36743"/>
    <cellStyle name="Comma 43 4 5 3 4" xfId="30111"/>
    <cellStyle name="Comma 43 4 5 4" xfId="8268"/>
    <cellStyle name="Comma 43 4 5 4 2" xfId="14980"/>
    <cellStyle name="Comma 43 4 5 4 2 2" xfId="38401"/>
    <cellStyle name="Comma 43 4 5 4 3" xfId="31769"/>
    <cellStyle name="Comma 43 4 5 5" xfId="11662"/>
    <cellStyle name="Comma 43 4 5 5 2" xfId="35085"/>
    <cellStyle name="Comma 43 4 5 6" xfId="20407"/>
    <cellStyle name="Comma 43 4 5 7" xfId="28453"/>
    <cellStyle name="Comma 43 4 6" xfId="5315"/>
    <cellStyle name="Comma 43 4 6 2" xfId="7204"/>
    <cellStyle name="Comma 43 4 6 2 2" xfId="10535"/>
    <cellStyle name="Comma 43 4 6 2 2 2" xfId="17239"/>
    <cellStyle name="Comma 43 4 6 2 2 2 2" xfId="40660"/>
    <cellStyle name="Comma 43 4 6 2 2 3" xfId="34028"/>
    <cellStyle name="Comma 43 4 6 2 3" xfId="13923"/>
    <cellStyle name="Comma 43 4 6 2 3 2" xfId="37344"/>
    <cellStyle name="Comma 43 4 6 2 4" xfId="30712"/>
    <cellStyle name="Comma 43 4 6 3" xfId="8877"/>
    <cellStyle name="Comma 43 4 6 3 2" xfId="15581"/>
    <cellStyle name="Comma 43 4 6 3 2 2" xfId="39002"/>
    <cellStyle name="Comma 43 4 6 3 3" xfId="32370"/>
    <cellStyle name="Comma 43 4 6 4" xfId="12264"/>
    <cellStyle name="Comma 43 4 6 4 2" xfId="35686"/>
    <cellStyle name="Comma 43 4 6 5" xfId="29054"/>
    <cellStyle name="Comma 43 4 7" xfId="6129"/>
    <cellStyle name="Comma 43 4 7 2" xfId="9463"/>
    <cellStyle name="Comma 43 4 7 2 2" xfId="16167"/>
    <cellStyle name="Comma 43 4 7 2 2 2" xfId="39588"/>
    <cellStyle name="Comma 43 4 7 2 3" xfId="32956"/>
    <cellStyle name="Comma 43 4 7 3" xfId="12851"/>
    <cellStyle name="Comma 43 4 7 3 2" xfId="36272"/>
    <cellStyle name="Comma 43 4 7 4" xfId="29640"/>
    <cellStyle name="Comma 43 4 8" xfId="7795"/>
    <cellStyle name="Comma 43 4 8 2" xfId="14509"/>
    <cellStyle name="Comma 43 4 8 2 2" xfId="37930"/>
    <cellStyle name="Comma 43 4 8 3" xfId="31298"/>
    <cellStyle name="Comma 43 4 9" xfId="11191"/>
    <cellStyle name="Comma 43 4 9 2" xfId="34614"/>
    <cellStyle name="Comma 43 5" xfId="1540"/>
    <cellStyle name="Comma 43 6" xfId="1724"/>
    <cellStyle name="Comma 43 6 2" xfId="2032"/>
    <cellStyle name="Comma 43 6 3" xfId="2722"/>
    <cellStyle name="Comma 43 6 3 2" xfId="5814"/>
    <cellStyle name="Comma 43 6 3 2 2" xfId="7596"/>
    <cellStyle name="Comma 43 6 3 2 2 2" xfId="10925"/>
    <cellStyle name="Comma 43 6 3 2 2 2 2" xfId="17629"/>
    <cellStyle name="Comma 43 6 3 2 2 2 2 2" xfId="41050"/>
    <cellStyle name="Comma 43 6 3 2 2 2 3" xfId="34418"/>
    <cellStyle name="Comma 43 6 3 2 2 3" xfId="14313"/>
    <cellStyle name="Comma 43 6 3 2 2 3 2" xfId="37734"/>
    <cellStyle name="Comma 43 6 3 2 2 4" xfId="31102"/>
    <cellStyle name="Comma 43 6 3 2 3" xfId="9267"/>
    <cellStyle name="Comma 43 6 3 2 3 2" xfId="15971"/>
    <cellStyle name="Comma 43 6 3 2 3 2 2" xfId="39392"/>
    <cellStyle name="Comma 43 6 3 2 3 3" xfId="32760"/>
    <cellStyle name="Comma 43 6 3 2 4" xfId="12655"/>
    <cellStyle name="Comma 43 6 3 2 4 2" xfId="36076"/>
    <cellStyle name="Comma 43 6 3 2 5" xfId="29444"/>
    <cellStyle name="Comma 43 6 3 3" xfId="6697"/>
    <cellStyle name="Comma 43 6 3 3 2" xfId="10029"/>
    <cellStyle name="Comma 43 6 3 3 2 2" xfId="16733"/>
    <cellStyle name="Comma 43 6 3 3 2 2 2" xfId="40154"/>
    <cellStyle name="Comma 43 6 3 3 2 3" xfId="33522"/>
    <cellStyle name="Comma 43 6 3 3 3" xfId="13417"/>
    <cellStyle name="Comma 43 6 3 3 3 2" xfId="36838"/>
    <cellStyle name="Comma 43 6 3 3 4" xfId="30206"/>
    <cellStyle name="Comma 43 6 3 4" xfId="8363"/>
    <cellStyle name="Comma 43 6 3 4 2" xfId="15075"/>
    <cellStyle name="Comma 43 6 3 4 2 2" xfId="38496"/>
    <cellStyle name="Comma 43 6 3 4 3" xfId="31864"/>
    <cellStyle name="Comma 43 6 3 5" xfId="11757"/>
    <cellStyle name="Comma 43 6 3 5 2" xfId="35180"/>
    <cellStyle name="Comma 43 6 3 6" xfId="28548"/>
    <cellStyle name="Comma 43 6 4" xfId="5368"/>
    <cellStyle name="Comma 43 6 4 2" xfId="7222"/>
    <cellStyle name="Comma 43 6 4 2 2" xfId="10553"/>
    <cellStyle name="Comma 43 6 4 2 2 2" xfId="17257"/>
    <cellStyle name="Comma 43 6 4 2 2 2 2" xfId="40678"/>
    <cellStyle name="Comma 43 6 4 2 2 3" xfId="34046"/>
    <cellStyle name="Comma 43 6 4 2 3" xfId="13941"/>
    <cellStyle name="Comma 43 6 4 2 3 2" xfId="37362"/>
    <cellStyle name="Comma 43 6 4 2 4" xfId="30730"/>
    <cellStyle name="Comma 43 6 4 3" xfId="8895"/>
    <cellStyle name="Comma 43 6 4 3 2" xfId="15599"/>
    <cellStyle name="Comma 43 6 4 3 2 2" xfId="39020"/>
    <cellStyle name="Comma 43 6 4 3 3" xfId="32388"/>
    <cellStyle name="Comma 43 6 4 4" xfId="12282"/>
    <cellStyle name="Comma 43 6 4 4 2" xfId="35704"/>
    <cellStyle name="Comma 43 6 4 5" xfId="29072"/>
    <cellStyle name="Comma 43 6 5" xfId="6224"/>
    <cellStyle name="Comma 43 6 5 2" xfId="9558"/>
    <cellStyle name="Comma 43 6 5 2 2" xfId="16262"/>
    <cellStyle name="Comma 43 6 5 2 2 2" xfId="39683"/>
    <cellStyle name="Comma 43 6 5 2 3" xfId="33051"/>
    <cellStyle name="Comma 43 6 5 3" xfId="12946"/>
    <cellStyle name="Comma 43 6 5 3 2" xfId="36367"/>
    <cellStyle name="Comma 43 6 5 4" xfId="29735"/>
    <cellStyle name="Comma 43 6 6" xfId="7890"/>
    <cellStyle name="Comma 43 6 6 2" xfId="14604"/>
    <cellStyle name="Comma 43 6 6 2 2" xfId="38025"/>
    <cellStyle name="Comma 43 6 6 3" xfId="31393"/>
    <cellStyle name="Comma 43 6 7" xfId="11286"/>
    <cellStyle name="Comma 43 6 7 2" xfId="34709"/>
    <cellStyle name="Comma 43 6 8" xfId="28077"/>
    <cellStyle name="Comma 43 7" xfId="2033"/>
    <cellStyle name="Comma 43 7 2" xfId="17872"/>
    <cellStyle name="Comma 43 8" xfId="2589"/>
    <cellStyle name="Comma 43 8 2" xfId="5683"/>
    <cellStyle name="Comma 43 8 2 2" xfId="7466"/>
    <cellStyle name="Comma 43 8 2 2 2" xfId="10795"/>
    <cellStyle name="Comma 43 8 2 2 2 2" xfId="17499"/>
    <cellStyle name="Comma 43 8 2 2 2 2 2" xfId="40920"/>
    <cellStyle name="Comma 43 8 2 2 2 3" xfId="34288"/>
    <cellStyle name="Comma 43 8 2 2 3" xfId="14183"/>
    <cellStyle name="Comma 43 8 2 2 3 2" xfId="37604"/>
    <cellStyle name="Comma 43 8 2 2 4" xfId="30972"/>
    <cellStyle name="Comma 43 8 2 3" xfId="9137"/>
    <cellStyle name="Comma 43 8 2 3 2" xfId="15841"/>
    <cellStyle name="Comma 43 8 2 3 2 2" xfId="39262"/>
    <cellStyle name="Comma 43 8 2 3 3" xfId="32630"/>
    <cellStyle name="Comma 43 8 2 4" xfId="12525"/>
    <cellStyle name="Comma 43 8 2 4 2" xfId="35946"/>
    <cellStyle name="Comma 43 8 2 5" xfId="18214"/>
    <cellStyle name="Comma 43 8 2 6" xfId="29314"/>
    <cellStyle name="Comma 43 8 3" xfId="6566"/>
    <cellStyle name="Comma 43 8 3 2" xfId="9898"/>
    <cellStyle name="Comma 43 8 3 2 2" xfId="16602"/>
    <cellStyle name="Comma 43 8 3 2 2 2" xfId="40023"/>
    <cellStyle name="Comma 43 8 3 2 3" xfId="33391"/>
    <cellStyle name="Comma 43 8 3 3" xfId="13286"/>
    <cellStyle name="Comma 43 8 3 3 2" xfId="36707"/>
    <cellStyle name="Comma 43 8 3 4" xfId="30075"/>
    <cellStyle name="Comma 43 8 4" xfId="8232"/>
    <cellStyle name="Comma 43 8 4 2" xfId="14944"/>
    <cellStyle name="Comma 43 8 4 2 2" xfId="38365"/>
    <cellStyle name="Comma 43 8 4 3" xfId="31733"/>
    <cellStyle name="Comma 43 8 5" xfId="11626"/>
    <cellStyle name="Comma 43 8 5 2" xfId="35049"/>
    <cellStyle name="Comma 43 8 6" xfId="20406"/>
    <cellStyle name="Comma 43 8 7" xfId="28417"/>
    <cellStyle name="Comma 43 9" xfId="5284"/>
    <cellStyle name="Comma 43 9 2" xfId="7191"/>
    <cellStyle name="Comma 43 9 2 2" xfId="10522"/>
    <cellStyle name="Comma 43 9 2 2 2" xfId="17226"/>
    <cellStyle name="Comma 43 9 2 2 2 2" xfId="40647"/>
    <cellStyle name="Comma 43 9 2 2 3" xfId="34015"/>
    <cellStyle name="Comma 43 9 2 3" xfId="13910"/>
    <cellStyle name="Comma 43 9 2 3 2" xfId="37331"/>
    <cellStyle name="Comma 43 9 2 4" xfId="30699"/>
    <cellStyle name="Comma 43 9 3" xfId="8863"/>
    <cellStyle name="Comma 43 9 3 2" xfId="15568"/>
    <cellStyle name="Comma 43 9 3 2 2" xfId="38989"/>
    <cellStyle name="Comma 43 9 3 3" xfId="32357"/>
    <cellStyle name="Comma 43 9 4" xfId="12251"/>
    <cellStyle name="Comma 43 9 4 2" xfId="35673"/>
    <cellStyle name="Comma 43 9 5" xfId="29041"/>
    <cellStyle name="Comma 44" xfId="1292"/>
    <cellStyle name="Comma 44 2" xfId="3412"/>
    <cellStyle name="Comma 45" xfId="1293"/>
    <cellStyle name="Comma 45 2" xfId="3413"/>
    <cellStyle name="Comma 46" xfId="1294"/>
    <cellStyle name="Comma 46 2" xfId="3414"/>
    <cellStyle name="Comma 47" xfId="1295"/>
    <cellStyle name="Comma 47 2" xfId="3415"/>
    <cellStyle name="Comma 48" xfId="1296"/>
    <cellStyle name="Comma 48 2" xfId="3416"/>
    <cellStyle name="Comma 49" xfId="1297"/>
    <cellStyle name="Comma 49 2" xfId="3417"/>
    <cellStyle name="Comma 5" xfId="326"/>
    <cellStyle name="Comma 5 2" xfId="327"/>
    <cellStyle name="Comma 5 2 2" xfId="328"/>
    <cellStyle name="Comma 5 2 2 2" xfId="3418"/>
    <cellStyle name="Comma 5 2 3" xfId="3419"/>
    <cellStyle name="Comma 5 3" xfId="329"/>
    <cellStyle name="Comma 5 3 2" xfId="3420"/>
    <cellStyle name="Comma 5 4" xfId="3421"/>
    <cellStyle name="Comma 5 4 2" xfId="3422"/>
    <cellStyle name="Comma 50" xfId="1298"/>
    <cellStyle name="Comma 50 2" xfId="3423"/>
    <cellStyle name="Comma 51" xfId="1299"/>
    <cellStyle name="Comma 51 2" xfId="3424"/>
    <cellStyle name="Comma 52" xfId="1300"/>
    <cellStyle name="Comma 52 2" xfId="1301"/>
    <cellStyle name="Comma 52 2 2" xfId="5951"/>
    <cellStyle name="Comma 52 2 2 2" xfId="5334"/>
    <cellStyle name="Comma 52 2 3" xfId="5191"/>
    <cellStyle name="Comma 52 3" xfId="3425"/>
    <cellStyle name="Comma 52 3 2" xfId="3426"/>
    <cellStyle name="Comma 52 4" xfId="5650"/>
    <cellStyle name="Comma 53" xfId="1302"/>
    <cellStyle name="Comma 53 2" xfId="1303"/>
    <cellStyle name="Comma 53 2 2" xfId="5185"/>
    <cellStyle name="Comma 53 2 2 2" xfId="5152"/>
    <cellStyle name="Comma 53 2 3" xfId="5388"/>
    <cellStyle name="Comma 53 3" xfId="3427"/>
    <cellStyle name="Comma 53 3 2" xfId="3428"/>
    <cellStyle name="Comma 53 4" xfId="5247"/>
    <cellStyle name="Comma 54" xfId="1304"/>
    <cellStyle name="Comma 54 2" xfId="1305"/>
    <cellStyle name="Comma 54 2 2" xfId="5189"/>
    <cellStyle name="Comma 54 2 2 2" xfId="5648"/>
    <cellStyle name="Comma 54 2 3" xfId="5248"/>
    <cellStyle name="Comma 54 3" xfId="3429"/>
    <cellStyle name="Comma 54 3 2" xfId="3430"/>
    <cellStyle name="Comma 54 4" xfId="5183"/>
    <cellStyle name="Comma 55" xfId="1306"/>
    <cellStyle name="Comma 55 2" xfId="1307"/>
    <cellStyle name="Comma 55 2 2" xfId="5156"/>
    <cellStyle name="Comma 55 2 2 2" xfId="5942"/>
    <cellStyle name="Comma 55 2 3" xfId="5237"/>
    <cellStyle name="Comma 55 3" xfId="3431"/>
    <cellStyle name="Comma 55 3 2" xfId="3432"/>
    <cellStyle name="Comma 55 4" xfId="5649"/>
    <cellStyle name="Comma 56" xfId="1308"/>
    <cellStyle name="Comma 56 2" xfId="1309"/>
    <cellStyle name="Comma 56 2 2" xfId="5955"/>
    <cellStyle name="Comma 56 2 2 2" xfId="5337"/>
    <cellStyle name="Comma 56 2 3" xfId="5175"/>
    <cellStyle name="Comma 56 3" xfId="3433"/>
    <cellStyle name="Comma 56 3 2" xfId="3434"/>
    <cellStyle name="Comma 56 4" xfId="5930"/>
    <cellStyle name="Comma 57" xfId="1310"/>
    <cellStyle name="Comma 57 2" xfId="1311"/>
    <cellStyle name="Comma 57 2 2" xfId="5991"/>
    <cellStyle name="Comma 57 2 2 2" xfId="5223"/>
    <cellStyle name="Comma 57 2 3" xfId="5929"/>
    <cellStyle name="Comma 57 3" xfId="3435"/>
    <cellStyle name="Comma 57 3 2" xfId="3436"/>
    <cellStyle name="Comma 57 4" xfId="5249"/>
    <cellStyle name="Comma 58" xfId="1312"/>
    <cellStyle name="Comma 58 2" xfId="1313"/>
    <cellStyle name="Comma 58 2 2" xfId="5953"/>
    <cellStyle name="Comma 58 2 2 2" xfId="6002"/>
    <cellStyle name="Comma 58 2 3" xfId="5157"/>
    <cellStyle name="Comma 58 3" xfId="3437"/>
    <cellStyle name="Comma 58 3 2" xfId="3438"/>
    <cellStyle name="Comma 58 4" xfId="5207"/>
    <cellStyle name="Comma 59" xfId="1314"/>
    <cellStyle name="Comma 59 2" xfId="3439"/>
    <cellStyle name="Comma 59 2 2" xfId="5933"/>
    <cellStyle name="Comma 59 3" xfId="5252"/>
    <cellStyle name="Comma 6" xfId="330"/>
    <cellStyle name="Comma 6 2" xfId="331"/>
    <cellStyle name="Comma 6 2 2" xfId="332"/>
    <cellStyle name="Comma 6 2 2 2" xfId="3440"/>
    <cellStyle name="Comma 6 2 3" xfId="3441"/>
    <cellStyle name="Comma 6 3" xfId="333"/>
    <cellStyle name="Comma 6 3 2" xfId="3442"/>
    <cellStyle name="Comma 6 4" xfId="3443"/>
    <cellStyle name="Comma 6 4 2" xfId="3444"/>
    <cellStyle name="Comma 6 4 3" xfId="3445"/>
    <cellStyle name="Comma 6 5" xfId="3446"/>
    <cellStyle name="Comma 60" xfId="1315"/>
    <cellStyle name="Comma 60 2" xfId="3447"/>
    <cellStyle name="Comma 60 2 2" xfId="5179"/>
    <cellStyle name="Comma 60 3" xfId="5394"/>
    <cellStyle name="Comma 61" xfId="1316"/>
    <cellStyle name="Comma 61 2" xfId="3448"/>
    <cellStyle name="Comma 61 2 2" xfId="3449"/>
    <cellStyle name="Comma 61 3" xfId="3450"/>
    <cellStyle name="Comma 61 3 2" xfId="5235"/>
    <cellStyle name="Comma 61 3 2 2" xfId="23789"/>
    <cellStyle name="Comma 62" xfId="1317"/>
    <cellStyle name="Comma 62 2" xfId="3451"/>
    <cellStyle name="Comma 62 2 2" xfId="5647"/>
    <cellStyle name="Comma 62 3" xfId="5977"/>
    <cellStyle name="Comma 63" xfId="1318"/>
    <cellStyle name="Comma 63 2" xfId="3452"/>
    <cellStyle name="Comma 63 2 2" xfId="5160"/>
    <cellStyle name="Comma 63 3" xfId="5193"/>
    <cellStyle name="Comma 64" xfId="1407"/>
    <cellStyle name="Comma 64 2" xfId="3453"/>
    <cellStyle name="Comma 65" xfId="1410"/>
    <cellStyle name="Comma 65 10" xfId="7767"/>
    <cellStyle name="Comma 65 10 2" xfId="14481"/>
    <cellStyle name="Comma 65 10 2 2" xfId="37902"/>
    <cellStyle name="Comma 65 10 3" xfId="31270"/>
    <cellStyle name="Comma 65 11" xfId="11163"/>
    <cellStyle name="Comma 65 11 2" xfId="34586"/>
    <cellStyle name="Comma 65 12" xfId="27954"/>
    <cellStyle name="Comma 65 2" xfId="1454"/>
    <cellStyle name="Comma 65 2 10" xfId="11199"/>
    <cellStyle name="Comma 65 2 10 2" xfId="34622"/>
    <cellStyle name="Comma 65 2 11" xfId="27990"/>
    <cellStyle name="Comma 65 2 2" xfId="1544"/>
    <cellStyle name="Comma 65 2 3" xfId="1769"/>
    <cellStyle name="Comma 65 2 3 2" xfId="2046"/>
    <cellStyle name="Comma 65 2 3 3" xfId="2766"/>
    <cellStyle name="Comma 65 2 3 3 2" xfId="5858"/>
    <cellStyle name="Comma 65 2 3 3 2 2" xfId="7640"/>
    <cellStyle name="Comma 65 2 3 3 2 2 2" xfId="10969"/>
    <cellStyle name="Comma 65 2 3 3 2 2 2 2" xfId="17673"/>
    <cellStyle name="Comma 65 2 3 3 2 2 2 2 2" xfId="41094"/>
    <cellStyle name="Comma 65 2 3 3 2 2 2 3" xfId="34462"/>
    <cellStyle name="Comma 65 2 3 3 2 2 3" xfId="14357"/>
    <cellStyle name="Comma 65 2 3 3 2 2 3 2" xfId="37778"/>
    <cellStyle name="Comma 65 2 3 3 2 2 4" xfId="31146"/>
    <cellStyle name="Comma 65 2 3 3 2 3" xfId="9311"/>
    <cellStyle name="Comma 65 2 3 3 2 3 2" xfId="16015"/>
    <cellStyle name="Comma 65 2 3 3 2 3 2 2" xfId="39436"/>
    <cellStyle name="Comma 65 2 3 3 2 3 3" xfId="32804"/>
    <cellStyle name="Comma 65 2 3 3 2 4" xfId="12699"/>
    <cellStyle name="Comma 65 2 3 3 2 4 2" xfId="36120"/>
    <cellStyle name="Comma 65 2 3 3 2 5" xfId="29488"/>
    <cellStyle name="Comma 65 2 3 3 3" xfId="6741"/>
    <cellStyle name="Comma 65 2 3 3 3 2" xfId="10073"/>
    <cellStyle name="Comma 65 2 3 3 3 2 2" xfId="16777"/>
    <cellStyle name="Comma 65 2 3 3 3 2 2 2" xfId="40198"/>
    <cellStyle name="Comma 65 2 3 3 3 2 3" xfId="33566"/>
    <cellStyle name="Comma 65 2 3 3 3 3" xfId="13461"/>
    <cellStyle name="Comma 65 2 3 3 3 3 2" xfId="36882"/>
    <cellStyle name="Comma 65 2 3 3 3 4" xfId="30250"/>
    <cellStyle name="Comma 65 2 3 3 4" xfId="8407"/>
    <cellStyle name="Comma 65 2 3 3 4 2" xfId="15119"/>
    <cellStyle name="Comma 65 2 3 3 4 2 2" xfId="38540"/>
    <cellStyle name="Comma 65 2 3 3 4 3" xfId="31908"/>
    <cellStyle name="Comma 65 2 3 3 5" xfId="11801"/>
    <cellStyle name="Comma 65 2 3 3 5 2" xfId="35224"/>
    <cellStyle name="Comma 65 2 3 3 6" xfId="28592"/>
    <cellStyle name="Comma 65 2 3 4" xfId="5385"/>
    <cellStyle name="Comma 65 2 3 4 2" xfId="7238"/>
    <cellStyle name="Comma 65 2 3 4 2 2" xfId="10569"/>
    <cellStyle name="Comma 65 2 3 4 2 2 2" xfId="17273"/>
    <cellStyle name="Comma 65 2 3 4 2 2 2 2" xfId="40694"/>
    <cellStyle name="Comma 65 2 3 4 2 2 3" xfId="34062"/>
    <cellStyle name="Comma 65 2 3 4 2 3" xfId="13957"/>
    <cellStyle name="Comma 65 2 3 4 2 3 2" xfId="37378"/>
    <cellStyle name="Comma 65 2 3 4 2 4" xfId="30746"/>
    <cellStyle name="Comma 65 2 3 4 3" xfId="8911"/>
    <cellStyle name="Comma 65 2 3 4 3 2" xfId="15615"/>
    <cellStyle name="Comma 65 2 3 4 3 2 2" xfId="39036"/>
    <cellStyle name="Comma 65 2 3 4 3 3" xfId="32404"/>
    <cellStyle name="Comma 65 2 3 4 4" xfId="12298"/>
    <cellStyle name="Comma 65 2 3 4 4 2" xfId="35720"/>
    <cellStyle name="Comma 65 2 3 4 5" xfId="29088"/>
    <cellStyle name="Comma 65 2 3 5" xfId="6268"/>
    <cellStyle name="Comma 65 2 3 5 2" xfId="9602"/>
    <cellStyle name="Comma 65 2 3 5 2 2" xfId="16306"/>
    <cellStyle name="Comma 65 2 3 5 2 2 2" xfId="39727"/>
    <cellStyle name="Comma 65 2 3 5 2 3" xfId="33095"/>
    <cellStyle name="Comma 65 2 3 5 3" xfId="12990"/>
    <cellStyle name="Comma 65 2 3 5 3 2" xfId="36411"/>
    <cellStyle name="Comma 65 2 3 5 4" xfId="29779"/>
    <cellStyle name="Comma 65 2 3 6" xfId="7934"/>
    <cellStyle name="Comma 65 2 3 6 2" xfId="14648"/>
    <cellStyle name="Comma 65 2 3 6 2 2" xfId="38069"/>
    <cellStyle name="Comma 65 2 3 6 3" xfId="31437"/>
    <cellStyle name="Comma 65 2 3 7" xfId="11330"/>
    <cellStyle name="Comma 65 2 3 7 2" xfId="34753"/>
    <cellStyle name="Comma 65 2 3 8" xfId="28121"/>
    <cellStyle name="Comma 65 2 4" xfId="2047"/>
    <cellStyle name="Comma 65 2 4 2" xfId="17875"/>
    <cellStyle name="Comma 65 2 5" xfId="2634"/>
    <cellStyle name="Comma 65 2 5 2" xfId="5727"/>
    <cellStyle name="Comma 65 2 5 2 2" xfId="7509"/>
    <cellStyle name="Comma 65 2 5 2 2 2" xfId="10838"/>
    <cellStyle name="Comma 65 2 5 2 2 2 2" xfId="17542"/>
    <cellStyle name="Comma 65 2 5 2 2 2 2 2" xfId="40963"/>
    <cellStyle name="Comma 65 2 5 2 2 2 3" xfId="34331"/>
    <cellStyle name="Comma 65 2 5 2 2 3" xfId="14226"/>
    <cellStyle name="Comma 65 2 5 2 2 3 2" xfId="37647"/>
    <cellStyle name="Comma 65 2 5 2 2 4" xfId="31015"/>
    <cellStyle name="Comma 65 2 5 2 3" xfId="9180"/>
    <cellStyle name="Comma 65 2 5 2 3 2" xfId="15884"/>
    <cellStyle name="Comma 65 2 5 2 3 2 2" xfId="39305"/>
    <cellStyle name="Comma 65 2 5 2 3 3" xfId="32673"/>
    <cellStyle name="Comma 65 2 5 2 4" xfId="12568"/>
    <cellStyle name="Comma 65 2 5 2 4 2" xfId="35989"/>
    <cellStyle name="Comma 65 2 5 2 5" xfId="18215"/>
    <cellStyle name="Comma 65 2 5 2 6" xfId="29357"/>
    <cellStyle name="Comma 65 2 5 3" xfId="6610"/>
    <cellStyle name="Comma 65 2 5 3 2" xfId="9942"/>
    <cellStyle name="Comma 65 2 5 3 2 2" xfId="16646"/>
    <cellStyle name="Comma 65 2 5 3 2 2 2" xfId="40067"/>
    <cellStyle name="Comma 65 2 5 3 2 3" xfId="33435"/>
    <cellStyle name="Comma 65 2 5 3 3" xfId="13330"/>
    <cellStyle name="Comma 65 2 5 3 3 2" xfId="36751"/>
    <cellStyle name="Comma 65 2 5 3 4" xfId="30119"/>
    <cellStyle name="Comma 65 2 5 4" xfId="8276"/>
    <cellStyle name="Comma 65 2 5 4 2" xfId="14988"/>
    <cellStyle name="Comma 65 2 5 4 2 2" xfId="38409"/>
    <cellStyle name="Comma 65 2 5 4 3" xfId="31777"/>
    <cellStyle name="Comma 65 2 5 5" xfId="11670"/>
    <cellStyle name="Comma 65 2 5 5 2" xfId="35093"/>
    <cellStyle name="Comma 65 2 5 6" xfId="18434"/>
    <cellStyle name="Comma 65 2 5 7" xfId="28461"/>
    <cellStyle name="Comma 65 2 6" xfId="5319"/>
    <cellStyle name="Comma 65 2 6 2" xfId="7207"/>
    <cellStyle name="Comma 65 2 6 2 2" xfId="10538"/>
    <cellStyle name="Comma 65 2 6 2 2 2" xfId="17242"/>
    <cellStyle name="Comma 65 2 6 2 2 2 2" xfId="40663"/>
    <cellStyle name="Comma 65 2 6 2 2 3" xfId="34031"/>
    <cellStyle name="Comma 65 2 6 2 3" xfId="13926"/>
    <cellStyle name="Comma 65 2 6 2 3 2" xfId="37347"/>
    <cellStyle name="Comma 65 2 6 2 4" xfId="30715"/>
    <cellStyle name="Comma 65 2 6 3" xfId="8880"/>
    <cellStyle name="Comma 65 2 6 3 2" xfId="15584"/>
    <cellStyle name="Comma 65 2 6 3 2 2" xfId="39005"/>
    <cellStyle name="Comma 65 2 6 3 3" xfId="32373"/>
    <cellStyle name="Comma 65 2 6 4" xfId="12267"/>
    <cellStyle name="Comma 65 2 6 4 2" xfId="35689"/>
    <cellStyle name="Comma 65 2 6 5" xfId="29057"/>
    <cellStyle name="Comma 65 2 7" xfId="3455"/>
    <cellStyle name="Comma 65 2 8" xfId="6137"/>
    <cellStyle name="Comma 65 2 8 2" xfId="9471"/>
    <cellStyle name="Comma 65 2 8 2 2" xfId="16175"/>
    <cellStyle name="Comma 65 2 8 2 2 2" xfId="39596"/>
    <cellStyle name="Comma 65 2 8 2 3" xfId="32964"/>
    <cellStyle name="Comma 65 2 8 3" xfId="12859"/>
    <cellStyle name="Comma 65 2 8 3 2" xfId="36280"/>
    <cellStyle name="Comma 65 2 8 4" xfId="29648"/>
    <cellStyle name="Comma 65 2 9" xfId="7803"/>
    <cellStyle name="Comma 65 2 9 2" xfId="14517"/>
    <cellStyle name="Comma 65 2 9 2 2" xfId="37938"/>
    <cellStyle name="Comma 65 2 9 3" xfId="31306"/>
    <cellStyle name="Comma 65 3" xfId="1543"/>
    <cellStyle name="Comma 65 4" xfId="1733"/>
    <cellStyle name="Comma 65 4 2" xfId="2048"/>
    <cellStyle name="Comma 65 4 3" xfId="2730"/>
    <cellStyle name="Comma 65 4 3 2" xfId="5822"/>
    <cellStyle name="Comma 65 4 3 2 2" xfId="7604"/>
    <cellStyle name="Comma 65 4 3 2 2 2" xfId="10933"/>
    <cellStyle name="Comma 65 4 3 2 2 2 2" xfId="17637"/>
    <cellStyle name="Comma 65 4 3 2 2 2 2 2" xfId="41058"/>
    <cellStyle name="Comma 65 4 3 2 2 2 3" xfId="34426"/>
    <cellStyle name="Comma 65 4 3 2 2 3" xfId="14321"/>
    <cellStyle name="Comma 65 4 3 2 2 3 2" xfId="37742"/>
    <cellStyle name="Comma 65 4 3 2 2 4" xfId="31110"/>
    <cellStyle name="Comma 65 4 3 2 3" xfId="9275"/>
    <cellStyle name="Comma 65 4 3 2 3 2" xfId="15979"/>
    <cellStyle name="Comma 65 4 3 2 3 2 2" xfId="39400"/>
    <cellStyle name="Comma 65 4 3 2 3 3" xfId="32768"/>
    <cellStyle name="Comma 65 4 3 2 4" xfId="12663"/>
    <cellStyle name="Comma 65 4 3 2 4 2" xfId="36084"/>
    <cellStyle name="Comma 65 4 3 2 5" xfId="29452"/>
    <cellStyle name="Comma 65 4 3 3" xfId="6705"/>
    <cellStyle name="Comma 65 4 3 3 2" xfId="10037"/>
    <cellStyle name="Comma 65 4 3 3 2 2" xfId="16741"/>
    <cellStyle name="Comma 65 4 3 3 2 2 2" xfId="40162"/>
    <cellStyle name="Comma 65 4 3 3 2 3" xfId="33530"/>
    <cellStyle name="Comma 65 4 3 3 3" xfId="13425"/>
    <cellStyle name="Comma 65 4 3 3 3 2" xfId="36846"/>
    <cellStyle name="Comma 65 4 3 3 4" xfId="30214"/>
    <cellStyle name="Comma 65 4 3 4" xfId="8371"/>
    <cellStyle name="Comma 65 4 3 4 2" xfId="15083"/>
    <cellStyle name="Comma 65 4 3 4 2 2" xfId="38504"/>
    <cellStyle name="Comma 65 4 3 4 3" xfId="31872"/>
    <cellStyle name="Comma 65 4 3 5" xfId="11765"/>
    <cellStyle name="Comma 65 4 3 5 2" xfId="35188"/>
    <cellStyle name="Comma 65 4 3 6" xfId="28556"/>
    <cellStyle name="Comma 65 4 4" xfId="5371"/>
    <cellStyle name="Comma 65 4 4 2" xfId="7225"/>
    <cellStyle name="Comma 65 4 4 2 2" xfId="10556"/>
    <cellStyle name="Comma 65 4 4 2 2 2" xfId="17260"/>
    <cellStyle name="Comma 65 4 4 2 2 2 2" xfId="40681"/>
    <cellStyle name="Comma 65 4 4 2 2 3" xfId="34049"/>
    <cellStyle name="Comma 65 4 4 2 3" xfId="13944"/>
    <cellStyle name="Comma 65 4 4 2 3 2" xfId="37365"/>
    <cellStyle name="Comma 65 4 4 2 4" xfId="30733"/>
    <cellStyle name="Comma 65 4 4 3" xfId="8898"/>
    <cellStyle name="Comma 65 4 4 3 2" xfId="15602"/>
    <cellStyle name="Comma 65 4 4 3 2 2" xfId="39023"/>
    <cellStyle name="Comma 65 4 4 3 3" xfId="32391"/>
    <cellStyle name="Comma 65 4 4 4" xfId="12285"/>
    <cellStyle name="Comma 65 4 4 4 2" xfId="35707"/>
    <cellStyle name="Comma 65 4 4 5" xfId="29075"/>
    <cellStyle name="Comma 65 4 5" xfId="6232"/>
    <cellStyle name="Comma 65 4 5 2" xfId="9566"/>
    <cellStyle name="Comma 65 4 5 2 2" xfId="16270"/>
    <cellStyle name="Comma 65 4 5 2 2 2" xfId="39691"/>
    <cellStyle name="Comma 65 4 5 2 3" xfId="33059"/>
    <cellStyle name="Comma 65 4 5 3" xfId="12954"/>
    <cellStyle name="Comma 65 4 5 3 2" xfId="36375"/>
    <cellStyle name="Comma 65 4 5 4" xfId="29743"/>
    <cellStyle name="Comma 65 4 6" xfId="7898"/>
    <cellStyle name="Comma 65 4 6 2" xfId="14612"/>
    <cellStyle name="Comma 65 4 6 2 2" xfId="38033"/>
    <cellStyle name="Comma 65 4 6 3" xfId="31401"/>
    <cellStyle name="Comma 65 4 7" xfId="11294"/>
    <cellStyle name="Comma 65 4 7 2" xfId="34717"/>
    <cellStyle name="Comma 65 4 8" xfId="28085"/>
    <cellStyle name="Comma 65 5" xfId="2049"/>
    <cellStyle name="Comma 65 5 2" xfId="17876"/>
    <cellStyle name="Comma 65 6" xfId="2598"/>
    <cellStyle name="Comma 65 6 2" xfId="5691"/>
    <cellStyle name="Comma 65 6 2 2" xfId="7473"/>
    <cellStyle name="Comma 65 6 2 2 2" xfId="10802"/>
    <cellStyle name="Comma 65 6 2 2 2 2" xfId="17506"/>
    <cellStyle name="Comma 65 6 2 2 2 2 2" xfId="40927"/>
    <cellStyle name="Comma 65 6 2 2 2 3" xfId="34295"/>
    <cellStyle name="Comma 65 6 2 2 3" xfId="14190"/>
    <cellStyle name="Comma 65 6 2 2 3 2" xfId="37611"/>
    <cellStyle name="Comma 65 6 2 2 4" xfId="30979"/>
    <cellStyle name="Comma 65 6 2 3" xfId="9144"/>
    <cellStyle name="Comma 65 6 2 3 2" xfId="15848"/>
    <cellStyle name="Comma 65 6 2 3 2 2" xfId="39269"/>
    <cellStyle name="Comma 65 6 2 3 3" xfId="32637"/>
    <cellStyle name="Comma 65 6 2 4" xfId="12532"/>
    <cellStyle name="Comma 65 6 2 4 2" xfId="35953"/>
    <cellStyle name="Comma 65 6 2 5" xfId="18216"/>
    <cellStyle name="Comma 65 6 2 6" xfId="29321"/>
    <cellStyle name="Comma 65 6 3" xfId="6574"/>
    <cellStyle name="Comma 65 6 3 2" xfId="9906"/>
    <cellStyle name="Comma 65 6 3 2 2" xfId="16610"/>
    <cellStyle name="Comma 65 6 3 2 2 2" xfId="40031"/>
    <cellStyle name="Comma 65 6 3 2 3" xfId="33399"/>
    <cellStyle name="Comma 65 6 3 3" xfId="13294"/>
    <cellStyle name="Comma 65 6 3 3 2" xfId="36715"/>
    <cellStyle name="Comma 65 6 3 4" xfId="30083"/>
    <cellStyle name="Comma 65 6 4" xfId="8240"/>
    <cellStyle name="Comma 65 6 4 2" xfId="14952"/>
    <cellStyle name="Comma 65 6 4 2 2" xfId="38373"/>
    <cellStyle name="Comma 65 6 4 3" xfId="31741"/>
    <cellStyle name="Comma 65 6 5" xfId="11634"/>
    <cellStyle name="Comma 65 6 5 2" xfId="35057"/>
    <cellStyle name="Comma 65 6 6" xfId="20405"/>
    <cellStyle name="Comma 65 6 7" xfId="28425"/>
    <cellStyle name="Comma 65 7" xfId="5303"/>
    <cellStyle name="Comma 65 7 2" xfId="7194"/>
    <cellStyle name="Comma 65 7 2 2" xfId="10525"/>
    <cellStyle name="Comma 65 7 2 2 2" xfId="17229"/>
    <cellStyle name="Comma 65 7 2 2 2 2" xfId="40650"/>
    <cellStyle name="Comma 65 7 2 2 3" xfId="34018"/>
    <cellStyle name="Comma 65 7 2 3" xfId="13913"/>
    <cellStyle name="Comma 65 7 2 3 2" xfId="37334"/>
    <cellStyle name="Comma 65 7 2 4" xfId="30702"/>
    <cellStyle name="Comma 65 7 3" xfId="8867"/>
    <cellStyle name="Comma 65 7 3 2" xfId="15571"/>
    <cellStyle name="Comma 65 7 3 2 2" xfId="38992"/>
    <cellStyle name="Comma 65 7 3 3" xfId="32360"/>
    <cellStyle name="Comma 65 7 4" xfId="12254"/>
    <cellStyle name="Comma 65 7 4 2" xfId="35676"/>
    <cellStyle name="Comma 65 7 5" xfId="29044"/>
    <cellStyle name="Comma 65 8" xfId="3454"/>
    <cellStyle name="Comma 65 9" xfId="6101"/>
    <cellStyle name="Comma 65 9 2" xfId="9435"/>
    <cellStyle name="Comma 65 9 2 2" xfId="16139"/>
    <cellStyle name="Comma 65 9 2 2 2" xfId="39560"/>
    <cellStyle name="Comma 65 9 2 3" xfId="32928"/>
    <cellStyle name="Comma 65 9 3" xfId="12823"/>
    <cellStyle name="Comma 65 9 3 2" xfId="36244"/>
    <cellStyle name="Comma 65 9 4" xfId="29612"/>
    <cellStyle name="Comma 66" xfId="1465"/>
    <cellStyle name="Comma 66 2" xfId="1545"/>
    <cellStyle name="Comma 66 2 2" xfId="18436"/>
    <cellStyle name="Comma 66 3" xfId="2051"/>
    <cellStyle name="Comma 66 4" xfId="18435"/>
    <cellStyle name="Comma 66 4 2" xfId="21743"/>
    <cellStyle name="Comma 66 4 3" xfId="17874"/>
    <cellStyle name="Comma 66 5" xfId="20416"/>
    <cellStyle name="Comma 67" xfId="1546"/>
    <cellStyle name="Comma 67 2" xfId="3456"/>
    <cellStyle name="Comma 67 2 2" xfId="3457"/>
    <cellStyle name="Comma 67 3" xfId="3458"/>
    <cellStyle name="Comma 68" xfId="1547"/>
    <cellStyle name="Comma 68 2" xfId="3459"/>
    <cellStyle name="Comma 68 2 2" xfId="3460"/>
    <cellStyle name="Comma 68 3" xfId="3461"/>
    <cellStyle name="Comma 69" xfId="1548"/>
    <cellStyle name="Comma 69 2" xfId="3462"/>
    <cellStyle name="Comma 7" xfId="334"/>
    <cellStyle name="Comma 7 2" xfId="335"/>
    <cellStyle name="Comma 7 2 2" xfId="3463"/>
    <cellStyle name="Comma 7 3" xfId="3464"/>
    <cellStyle name="Comma 7 3 2" xfId="3465"/>
    <cellStyle name="Comma 7 3 3" xfId="23788"/>
    <cellStyle name="Comma 70" xfId="1549"/>
    <cellStyle name="Comma 70 2" xfId="3466"/>
    <cellStyle name="Comma 71" xfId="2057"/>
    <cellStyle name="Comma 71 2" xfId="2058"/>
    <cellStyle name="Comma 71 2 2" xfId="3467"/>
    <cellStyle name="Comma 71 2 2 2" xfId="18438"/>
    <cellStyle name="Comma 71 2 3" xfId="3468"/>
    <cellStyle name="Comma 71 3" xfId="2059"/>
    <cellStyle name="Comma 71 3 2" xfId="17878"/>
    <cellStyle name="Comma 71 3 2 2" xfId="18440"/>
    <cellStyle name="Comma 71 3 3" xfId="18439"/>
    <cellStyle name="Comma 71 4" xfId="17879"/>
    <cellStyle name="Comma 71 4 2" xfId="18441"/>
    <cellStyle name="Comma 71 5" xfId="18437"/>
    <cellStyle name="Comma 72" xfId="2060"/>
    <cellStyle name="Comma 72 2" xfId="2061"/>
    <cellStyle name="Comma 72 2 2" xfId="3469"/>
    <cellStyle name="Comma 72 2 2 2" xfId="18443"/>
    <cellStyle name="Comma 72 2 3" xfId="3470"/>
    <cellStyle name="Comma 72 3" xfId="2062"/>
    <cellStyle name="Comma 72 3 2" xfId="17880"/>
    <cellStyle name="Comma 72 3 2 2" xfId="18445"/>
    <cellStyle name="Comma 72 3 3" xfId="18444"/>
    <cellStyle name="Comma 72 4" xfId="17881"/>
    <cellStyle name="Comma 72 4 2" xfId="18446"/>
    <cellStyle name="Comma 72 5" xfId="18442"/>
    <cellStyle name="Comma 73" xfId="2063"/>
    <cellStyle name="Comma 73 2" xfId="2064"/>
    <cellStyle name="Comma 73 2 2" xfId="3471"/>
    <cellStyle name="Comma 73 2 2 2" xfId="18448"/>
    <cellStyle name="Comma 73 2 3" xfId="3472"/>
    <cellStyle name="Comma 73 3" xfId="2065"/>
    <cellStyle name="Comma 73 3 2" xfId="17882"/>
    <cellStyle name="Comma 73 3 2 2" xfId="18450"/>
    <cellStyle name="Comma 73 3 3" xfId="18449"/>
    <cellStyle name="Comma 73 4" xfId="17883"/>
    <cellStyle name="Comma 73 4 2" xfId="18451"/>
    <cellStyle name="Comma 73 5" xfId="18447"/>
    <cellStyle name="Comma 74" xfId="2066"/>
    <cellStyle name="Comma 74 2" xfId="2067"/>
    <cellStyle name="Comma 74 2 2" xfId="3473"/>
    <cellStyle name="Comma 74 2 2 2" xfId="18452"/>
    <cellStyle name="Comma 74 2 3" xfId="3474"/>
    <cellStyle name="Comma 74 3" xfId="3475"/>
    <cellStyle name="Comma 75" xfId="2068"/>
    <cellStyle name="Comma 75 2" xfId="2069"/>
    <cellStyle name="Comma 75 2 2" xfId="3478"/>
    <cellStyle name="Comma 75 2 2 2" xfId="18453"/>
    <cellStyle name="Comma 75 2 3" xfId="3479"/>
    <cellStyle name="Comma 75 2 4" xfId="3480"/>
    <cellStyle name="Comma 75 2 5" xfId="3477"/>
    <cellStyle name="Comma 75 3" xfId="3481"/>
    <cellStyle name="Comma 75 4" xfId="3482"/>
    <cellStyle name="Comma 75 5" xfId="3476"/>
    <cellStyle name="Comma 76" xfId="2070"/>
    <cellStyle name="Comma 76 2" xfId="2071"/>
    <cellStyle name="Comma 76 2 2" xfId="3485"/>
    <cellStyle name="Comma 76 2 2 2" xfId="18454"/>
    <cellStyle name="Comma 76 2 3" xfId="3486"/>
    <cellStyle name="Comma 76 2 4" xfId="3487"/>
    <cellStyle name="Comma 76 2 5" xfId="3484"/>
    <cellStyle name="Comma 76 3" xfId="3488"/>
    <cellStyle name="Comma 76 4" xfId="3489"/>
    <cellStyle name="Comma 76 5" xfId="3483"/>
    <cellStyle name="Comma 77" xfId="2072"/>
    <cellStyle name="Comma 77 2" xfId="2073"/>
    <cellStyle name="Comma 77 2 2" xfId="3490"/>
    <cellStyle name="Comma 77 2 2 2" xfId="18455"/>
    <cellStyle name="Comma 77 2 3" xfId="3491"/>
    <cellStyle name="Comma 77 3" xfId="3492"/>
    <cellStyle name="Comma 77 3 2" xfId="20404"/>
    <cellStyle name="Comma 77 4" xfId="5413"/>
    <cellStyle name="Comma 77 4 2" xfId="20425"/>
    <cellStyle name="Comma 78" xfId="2074"/>
    <cellStyle name="Comma 78 2" xfId="2075"/>
    <cellStyle name="Comma 78 2 2" xfId="3493"/>
    <cellStyle name="Comma 78 2 2 2" xfId="18456"/>
    <cellStyle name="Comma 78 2 3" xfId="3494"/>
    <cellStyle name="Comma 78 3" xfId="3495"/>
    <cellStyle name="Comma 78 3 2" xfId="20403"/>
    <cellStyle name="Comma 78 4" xfId="5414"/>
    <cellStyle name="Comma 78 4 2" xfId="18024"/>
    <cellStyle name="Comma 79" xfId="2076"/>
    <cellStyle name="Comma 79 2" xfId="2077"/>
    <cellStyle name="Comma 79 2 2" xfId="3496"/>
    <cellStyle name="Comma 79 2 2 2" xfId="18457"/>
    <cellStyle name="Comma 79 2 3" xfId="3497"/>
    <cellStyle name="Comma 79 3" xfId="3498"/>
    <cellStyle name="Comma 79 3 2" xfId="17877"/>
    <cellStyle name="Comma 79 4" xfId="5415"/>
    <cellStyle name="Comma 79 4 2" xfId="20451"/>
    <cellStyle name="Comma 8" xfId="336"/>
    <cellStyle name="Comma 8 2" xfId="337"/>
    <cellStyle name="Comma 8 2 2" xfId="3499"/>
    <cellStyle name="Comma 8 3" xfId="3500"/>
    <cellStyle name="Comma 8 3 2" xfId="3501"/>
    <cellStyle name="Comma 8 3 2 2" xfId="23476"/>
    <cellStyle name="Comma 8 3 2 2 2" xfId="45810"/>
    <cellStyle name="Comma 8 3 3" xfId="3502"/>
    <cellStyle name="Comma 8 3 4" xfId="5093"/>
    <cellStyle name="Comma 8 3 4 2" xfId="7175"/>
    <cellStyle name="Comma 8 3 4 2 2" xfId="10506"/>
    <cellStyle name="Comma 8 3 4 2 2 2" xfId="17210"/>
    <cellStyle name="Comma 8 3 4 2 2 2 2" xfId="40631"/>
    <cellStyle name="Comma 8 3 4 2 2 3" xfId="33999"/>
    <cellStyle name="Comma 8 3 4 2 3" xfId="13894"/>
    <cellStyle name="Comma 8 3 4 2 3 2" xfId="37315"/>
    <cellStyle name="Comma 8 3 4 2 4" xfId="26017"/>
    <cellStyle name="Comma 8 3 4 2 4 2" xfId="48262"/>
    <cellStyle name="Comma 8 3 4 2 5" xfId="30683"/>
    <cellStyle name="Comma 8 3 4 3" xfId="8846"/>
    <cellStyle name="Comma 8 3 4 3 2" xfId="15552"/>
    <cellStyle name="Comma 8 3 4 3 2 2" xfId="38973"/>
    <cellStyle name="Comma 8 3 4 3 3" xfId="32341"/>
    <cellStyle name="Comma 8 3 4 4" xfId="12235"/>
    <cellStyle name="Comma 8 3 4 4 2" xfId="35657"/>
    <cellStyle name="Comma 8 3 4 5" xfId="23805"/>
    <cellStyle name="Comma 8 3 4 5 2" xfId="46070"/>
    <cellStyle name="Comma 8 3 4 6" xfId="29025"/>
    <cellStyle name="Comma 8 3 5" xfId="23362"/>
    <cellStyle name="Comma 8 3 5 2" xfId="45707"/>
    <cellStyle name="Comma 8 4" xfId="3503"/>
    <cellStyle name="Comma 8 4 2" xfId="5092"/>
    <cellStyle name="Comma 80" xfId="2079"/>
    <cellStyle name="Comma 80 2" xfId="2080"/>
    <cellStyle name="Comma 80 2 2" xfId="3504"/>
    <cellStyle name="Comma 80 2 2 2" xfId="18458"/>
    <cellStyle name="Comma 80 2 3" xfId="3505"/>
    <cellStyle name="Comma 80 3" xfId="3506"/>
    <cellStyle name="Comma 80 3 2" xfId="20402"/>
    <cellStyle name="Comma 80 4" xfId="3507"/>
    <cellStyle name="Comma 80 5" xfId="5416"/>
    <cellStyle name="Comma 81" xfId="2081"/>
    <cellStyle name="Comma 81 2" xfId="2082"/>
    <cellStyle name="Comma 81 2 2" xfId="3508"/>
    <cellStyle name="Comma 81 2 2 2" xfId="18459"/>
    <cellStyle name="Comma 81 2 3" xfId="3509"/>
    <cellStyle name="Comma 81 3" xfId="3510"/>
    <cellStyle name="Comma 81 4" xfId="3511"/>
    <cellStyle name="Comma 82" xfId="2083"/>
    <cellStyle name="Comma 82 2" xfId="2084"/>
    <cellStyle name="Comma 82 2 2" xfId="17884"/>
    <cellStyle name="Comma 82 2 2 2" xfId="18461"/>
    <cellStyle name="Comma 82 2 3" xfId="18460"/>
    <cellStyle name="Comma 82 3" xfId="3512"/>
    <cellStyle name="Comma 82 4" xfId="3513"/>
    <cellStyle name="Comma 83" xfId="2085"/>
    <cellStyle name="Comma 83 2" xfId="2305"/>
    <cellStyle name="Comma 83 2 2" xfId="18462"/>
    <cellStyle name="Comma 83 3" xfId="3514"/>
    <cellStyle name="Comma 83 4" xfId="3515"/>
    <cellStyle name="Comma 84" xfId="2086"/>
    <cellStyle name="Comma 84 2" xfId="2304"/>
    <cellStyle name="Comma 84 2 2" xfId="18463"/>
    <cellStyle name="Comma 84 3" xfId="3516"/>
    <cellStyle name="Comma 85" xfId="2087"/>
    <cellStyle name="Comma 85 2" xfId="2301"/>
    <cellStyle name="Comma 85 2 2" xfId="18464"/>
    <cellStyle name="Comma 85 3" xfId="3517"/>
    <cellStyle name="Comma 86" xfId="2088"/>
    <cellStyle name="Comma 86 2" xfId="2276"/>
    <cellStyle name="Comma 86 2 2" xfId="18465"/>
    <cellStyle name="Comma 86 3" xfId="3518"/>
    <cellStyle name="Comma 87" xfId="2089"/>
    <cellStyle name="Comma 87 2" xfId="3519"/>
    <cellStyle name="Comma 87 2 2" xfId="18466"/>
    <cellStyle name="Comma 87 3" xfId="3520"/>
    <cellStyle name="Comma 88" xfId="2090"/>
    <cellStyle name="Comma 88 2" xfId="3521"/>
    <cellStyle name="Comma 88 2 2" xfId="18467"/>
    <cellStyle name="Comma 88 3" xfId="3522"/>
    <cellStyle name="Comma 89" xfId="2091"/>
    <cellStyle name="Comma 89 2" xfId="3523"/>
    <cellStyle name="Comma 89 2 2" xfId="18468"/>
    <cellStyle name="Comma 89 3" xfId="3524"/>
    <cellStyle name="Comma 9" xfId="338"/>
    <cellStyle name="Comma 9 2" xfId="339"/>
    <cellStyle name="Comma 9 2 2" xfId="340"/>
    <cellStyle name="Comma 9 2 2 2" xfId="3525"/>
    <cellStyle name="Comma 9 2 3" xfId="1062"/>
    <cellStyle name="Comma 9 2 3 2" xfId="3527"/>
    <cellStyle name="Comma 9 2 3 3" xfId="3526"/>
    <cellStyle name="Comma 9 2 4" xfId="18469"/>
    <cellStyle name="Comma 9 3" xfId="341"/>
    <cellStyle name="Comma 9 3 2" xfId="342"/>
    <cellStyle name="Comma 9 3 2 2" xfId="3528"/>
    <cellStyle name="Comma 9 3 3" xfId="3529"/>
    <cellStyle name="Comma 9 4" xfId="343"/>
    <cellStyle name="Comma 9 4 2" xfId="1061"/>
    <cellStyle name="Comma 9 4 2 2" xfId="3531"/>
    <cellStyle name="Comma 9 4 2 3" xfId="3530"/>
    <cellStyle name="Comma 9 4 3" xfId="3532"/>
    <cellStyle name="Comma 9 5" xfId="3533"/>
    <cellStyle name="Comma 9 5 2" xfId="3534"/>
    <cellStyle name="Comma 9 5 2 2" xfId="23477"/>
    <cellStyle name="Comma 9 5 2 2 2" xfId="45811"/>
    <cellStyle name="Comma 9 5 3" xfId="3535"/>
    <cellStyle name="Comma 9 5 4" xfId="5094"/>
    <cellStyle name="Comma 9 5 4 2" xfId="7176"/>
    <cellStyle name="Comma 9 5 4 2 2" xfId="10507"/>
    <cellStyle name="Comma 9 5 4 2 2 2" xfId="17211"/>
    <cellStyle name="Comma 9 5 4 2 2 2 2" xfId="40632"/>
    <cellStyle name="Comma 9 5 4 2 2 3" xfId="34000"/>
    <cellStyle name="Comma 9 5 4 2 3" xfId="13895"/>
    <cellStyle name="Comma 9 5 4 2 3 2" xfId="37316"/>
    <cellStyle name="Comma 9 5 4 2 4" xfId="26018"/>
    <cellStyle name="Comma 9 5 4 2 4 2" xfId="48263"/>
    <cellStyle name="Comma 9 5 4 2 5" xfId="30684"/>
    <cellStyle name="Comma 9 5 4 3" xfId="8847"/>
    <cellStyle name="Comma 9 5 4 3 2" xfId="15553"/>
    <cellStyle name="Comma 9 5 4 3 2 2" xfId="38974"/>
    <cellStyle name="Comma 9 5 4 3 3" xfId="32342"/>
    <cellStyle name="Comma 9 5 4 4" xfId="12236"/>
    <cellStyle name="Comma 9 5 4 4 2" xfId="35658"/>
    <cellStyle name="Comma 9 5 4 5" xfId="23806"/>
    <cellStyle name="Comma 9 5 4 5 2" xfId="46071"/>
    <cellStyle name="Comma 9 5 4 6" xfId="29026"/>
    <cellStyle name="Comma 9 5 5" xfId="23363"/>
    <cellStyle name="Comma 9 5 5 2" xfId="45708"/>
    <cellStyle name="Comma 90" xfId="2095"/>
    <cellStyle name="Comma 90 2" xfId="3536"/>
    <cellStyle name="Comma 90 2 2" xfId="18470"/>
    <cellStyle name="Comma 90 3" xfId="3537"/>
    <cellStyle name="Comma 91" xfId="2096"/>
    <cellStyle name="Comma 91 2" xfId="3538"/>
    <cellStyle name="Comma 91 2 2" xfId="18471"/>
    <cellStyle name="Comma 91 3" xfId="3539"/>
    <cellStyle name="Comma 92" xfId="2097"/>
    <cellStyle name="Comma 92 2" xfId="3540"/>
    <cellStyle name="Comma 92 2 2" xfId="18472"/>
    <cellStyle name="Comma 92 3" xfId="3541"/>
    <cellStyle name="Comma 93" xfId="2098"/>
    <cellStyle name="Comma 93 2" xfId="17885"/>
    <cellStyle name="Comma 93 2 2" xfId="18474"/>
    <cellStyle name="Comma 93 2 2 2" xfId="26549"/>
    <cellStyle name="Comma 93 2 2 2 2" xfId="48794"/>
    <cellStyle name="Comma 93 2 3" xfId="24346"/>
    <cellStyle name="Comma 93 2 3 2" xfId="46591"/>
    <cellStyle name="Comma 93 3" xfId="18473"/>
    <cellStyle name="Comma 94" xfId="2099"/>
    <cellStyle name="Comma 94 2" xfId="17886"/>
    <cellStyle name="Comma 94 2 2" xfId="18476"/>
    <cellStyle name="Comma 94 3" xfId="18475"/>
    <cellStyle name="Comma 95" xfId="3542"/>
    <cellStyle name="Comma 95 2" xfId="18477"/>
    <cellStyle name="Comma 96" xfId="3543"/>
    <cellStyle name="Comma 96 2" xfId="18478"/>
    <cellStyle name="Comma 97" xfId="3544"/>
    <cellStyle name="Comma 97 2" xfId="18479"/>
    <cellStyle name="Comma 98" xfId="3545"/>
    <cellStyle name="Comma 98 2" xfId="18480"/>
    <cellStyle name="Comma 99" xfId="3546"/>
    <cellStyle name="Comma 99 2" xfId="18481"/>
    <cellStyle name="Comma0" xfId="4968"/>
    <cellStyle name="CommaU [0]" xfId="3547"/>
    <cellStyle name="CommaU [1]" xfId="3548"/>
    <cellStyle name="CommaU [2]" xfId="3549"/>
    <cellStyle name="Comment" xfId="344"/>
    <cellStyle name="Comment 2" xfId="4969"/>
    <cellStyle name="Company" xfId="4970"/>
    <cellStyle name="CompanyName" xfId="345"/>
    <cellStyle name="CompanyName 2" xfId="3550"/>
    <cellStyle name="Copied" xfId="3551"/>
    <cellStyle name="CurRatio" xfId="4971"/>
    <cellStyle name="Curren - Style7" xfId="4972"/>
    <cellStyle name="Curren - Style8" xfId="4973"/>
    <cellStyle name="Currency" xfId="346" builtinId="4"/>
    <cellStyle name="Currency (1)" xfId="3553"/>
    <cellStyle name="Currency [1]" xfId="3554"/>
    <cellStyle name="Currency [2]" xfId="3555"/>
    <cellStyle name="Currency 10" xfId="952"/>
    <cellStyle name="Currency 10 2" xfId="1169"/>
    <cellStyle name="Currency 10 2 2" xfId="5357"/>
    <cellStyle name="Currency 10 3" xfId="2023"/>
    <cellStyle name="Currency 10 3 2" xfId="5986"/>
    <cellStyle name="Currency 10 4" xfId="18025"/>
    <cellStyle name="Currency 11" xfId="1319"/>
    <cellStyle name="Currency 11 2" xfId="1320"/>
    <cellStyle name="Currency 11 2 2" xfId="2025"/>
    <cellStyle name="Currency 11 2 2 2" xfId="5348"/>
    <cellStyle name="Currency 11 2 2 3" xfId="5954"/>
    <cellStyle name="Currency 11 2 3" xfId="5171"/>
    <cellStyle name="Currency 11 3" xfId="2024"/>
    <cellStyle name="Currency 11 3 2" xfId="3557"/>
    <cellStyle name="Currency 11 3 3" xfId="5410"/>
    <cellStyle name="Currency 11 3 4" xfId="3556"/>
    <cellStyle name="Currency 11 4" xfId="5322"/>
    <cellStyle name="Currency 12" xfId="1321"/>
    <cellStyle name="Currency 12 2" xfId="3558"/>
    <cellStyle name="Currency 12 2 2" xfId="5266"/>
    <cellStyle name="Currency 12 3" xfId="3559"/>
    <cellStyle name="Currency 13" xfId="1466"/>
    <cellStyle name="Currency 13 2" xfId="2106"/>
    <cellStyle name="Currency 13 2 2" xfId="17887"/>
    <cellStyle name="Currency 13 2 2 2" xfId="18483"/>
    <cellStyle name="Currency 13 2 3" xfId="18482"/>
    <cellStyle name="Currency 13 3" xfId="3560"/>
    <cellStyle name="Currency 13 4" xfId="20380"/>
    <cellStyle name="Currency 14" xfId="2107"/>
    <cellStyle name="Currency 14 2" xfId="3561"/>
    <cellStyle name="Currency 14 2 2" xfId="18485"/>
    <cellStyle name="Currency 14 3" xfId="18484"/>
    <cellStyle name="Currency 15" xfId="2108"/>
    <cellStyle name="Currency 15 2" xfId="3562"/>
    <cellStyle name="Currency 15 2 2" xfId="18487"/>
    <cellStyle name="Currency 15 3" xfId="18486"/>
    <cellStyle name="Currency 16" xfId="3563"/>
    <cellStyle name="Currency 16 2" xfId="3564"/>
    <cellStyle name="Currency 17" xfId="3565"/>
    <cellStyle name="Currency 17 2" xfId="3566"/>
    <cellStyle name="Currency 18" xfId="3567"/>
    <cellStyle name="Currency 19" xfId="3568"/>
    <cellStyle name="Currency 2" xfId="347"/>
    <cellStyle name="Currency 2 2" xfId="348"/>
    <cellStyle name="Currency 2 2 2" xfId="349"/>
    <cellStyle name="Currency 2 2 2 2" xfId="3569"/>
    <cellStyle name="Currency 2 2 3" xfId="3570"/>
    <cellStyle name="Currency 2 2 4" xfId="4974"/>
    <cellStyle name="Currency 2 3" xfId="350"/>
    <cellStyle name="Currency 2 3 2" xfId="3571"/>
    <cellStyle name="Currency 2 4" xfId="3572"/>
    <cellStyle name="Currency 20" xfId="3573"/>
    <cellStyle name="Currency 21" xfId="3574"/>
    <cellStyle name="Currency 22" xfId="3575"/>
    <cellStyle name="Currency 23" xfId="3576"/>
    <cellStyle name="Currency 24" xfId="3577"/>
    <cellStyle name="Currency 25" xfId="3578"/>
    <cellStyle name="Currency 26" xfId="3579"/>
    <cellStyle name="Currency 27" xfId="3580"/>
    <cellStyle name="Currency 28" xfId="3581"/>
    <cellStyle name="Currency 29" xfId="3582"/>
    <cellStyle name="Currency 3" xfId="351"/>
    <cellStyle name="Currency 3 2" xfId="352"/>
    <cellStyle name="Currency 3 2 2" xfId="353"/>
    <cellStyle name="Currency 3 2 2 2" xfId="839"/>
    <cellStyle name="Currency 3 2 2 2 2" xfId="18490"/>
    <cellStyle name="Currency 3 2 2 3" xfId="18489"/>
    <cellStyle name="Currency 3 2 3" xfId="840"/>
    <cellStyle name="Currency 3 2 3 2" xfId="18491"/>
    <cellStyle name="Currency 3 2 4" xfId="18488"/>
    <cellStyle name="Currency 3 3" xfId="354"/>
    <cellStyle name="Currency 3 3 2" xfId="841"/>
    <cellStyle name="Currency 3 3 2 2" xfId="18493"/>
    <cellStyle name="Currency 3 3 3" xfId="18492"/>
    <cellStyle name="Currency 3 4" xfId="842"/>
    <cellStyle name="Currency 3 4 2" xfId="18494"/>
    <cellStyle name="Currency 3 5" xfId="1550"/>
    <cellStyle name="Currency 30" xfId="3583"/>
    <cellStyle name="Currency 31" xfId="3584"/>
    <cellStyle name="Currency 32" xfId="3585"/>
    <cellStyle name="Currency 33" xfId="3586"/>
    <cellStyle name="Currency 34" xfId="3587"/>
    <cellStyle name="Currency 35" xfId="3588"/>
    <cellStyle name="Currency 36" xfId="3589"/>
    <cellStyle name="Currency 37" xfId="3590"/>
    <cellStyle name="Currency 38" xfId="3591"/>
    <cellStyle name="Currency 39" xfId="3592"/>
    <cellStyle name="Currency 4" xfId="355"/>
    <cellStyle name="Currency 4 2" xfId="356"/>
    <cellStyle name="Currency 4 2 2" xfId="357"/>
    <cellStyle name="Currency 4 2 2 2" xfId="3593"/>
    <cellStyle name="Currency 4 2 3" xfId="3594"/>
    <cellStyle name="Currency 4 3" xfId="358"/>
    <cellStyle name="Currency 4 3 2" xfId="359"/>
    <cellStyle name="Currency 4 3 2 2" xfId="3595"/>
    <cellStyle name="Currency 4 3 3" xfId="3596"/>
    <cellStyle name="Currency 4 4" xfId="360"/>
    <cellStyle name="Currency 4 4 2" xfId="3598"/>
    <cellStyle name="Currency 4 4 3" xfId="3599"/>
    <cellStyle name="Currency 4 4 4" xfId="3597"/>
    <cellStyle name="Currency 4 5" xfId="3600"/>
    <cellStyle name="Currency 4 5 2" xfId="3601"/>
    <cellStyle name="Currency 4 6" xfId="3602"/>
    <cellStyle name="Currency 40" xfId="3603"/>
    <cellStyle name="Currency 41" xfId="3604"/>
    <cellStyle name="Currency 42" xfId="3605"/>
    <cellStyle name="Currency 43" xfId="3606"/>
    <cellStyle name="Currency 44" xfId="3607"/>
    <cellStyle name="Currency 45" xfId="3608"/>
    <cellStyle name="Currency 46" xfId="4766"/>
    <cellStyle name="Currency 47" xfId="5139"/>
    <cellStyle name="Currency 48" xfId="3552"/>
    <cellStyle name="Currency 49" xfId="5178"/>
    <cellStyle name="Currency 5" xfId="361"/>
    <cellStyle name="Currency 5 2" xfId="362"/>
    <cellStyle name="Currency 5 2 2" xfId="363"/>
    <cellStyle name="Currency 5 2 2 2" xfId="3609"/>
    <cellStyle name="Currency 5 2 3" xfId="3610"/>
    <cellStyle name="Currency 5 3" xfId="364"/>
    <cellStyle name="Currency 5 3 2" xfId="3611"/>
    <cellStyle name="Currency 5 4" xfId="843"/>
    <cellStyle name="Currency 5 4 2" xfId="3612"/>
    <cellStyle name="Currency 5 5" xfId="18495"/>
    <cellStyle name="Currency 50" xfId="5244"/>
    <cellStyle name="Currency 51" xfId="5289"/>
    <cellStyle name="Currency 52" xfId="5270"/>
    <cellStyle name="Currency 53" xfId="5169"/>
    <cellStyle name="Currency 54" xfId="5242"/>
    <cellStyle name="Currency 55" xfId="5257"/>
    <cellStyle name="Currency 56" xfId="6008"/>
    <cellStyle name="Currency 57" xfId="5181"/>
    <cellStyle name="Currency 58" xfId="5148"/>
    <cellStyle name="Currency 59" xfId="5256"/>
    <cellStyle name="Currency 6" xfId="365"/>
    <cellStyle name="Currency 6 2" xfId="366"/>
    <cellStyle name="Currency 6 2 2" xfId="3613"/>
    <cellStyle name="Currency 6 3" xfId="3614"/>
    <cellStyle name="Currency 60" xfId="6011"/>
    <cellStyle name="Currency 61" xfId="5962"/>
    <cellStyle name="Currency 62" xfId="5927"/>
    <cellStyle name="Currency 63" xfId="5258"/>
    <cellStyle name="Currency 64" xfId="6012"/>
    <cellStyle name="Currency 65" xfId="5146"/>
    <cellStyle name="Currency 66" xfId="5170"/>
    <cellStyle name="Currency 67" xfId="5147"/>
    <cellStyle name="Currency 68" xfId="5928"/>
    <cellStyle name="Currency 69" xfId="2844"/>
    <cellStyle name="Currency 69 2" xfId="6815"/>
    <cellStyle name="Currency 69 2 2" xfId="10147"/>
    <cellStyle name="Currency 69 2 2 2" xfId="16851"/>
    <cellStyle name="Currency 69 2 2 2 2" xfId="40272"/>
    <cellStyle name="Currency 69 2 2 3" xfId="33640"/>
    <cellStyle name="Currency 69 2 3" xfId="13535"/>
    <cellStyle name="Currency 69 2 3 2" xfId="36956"/>
    <cellStyle name="Currency 69 2 4" xfId="30324"/>
    <cellStyle name="Currency 69 3" xfId="8481"/>
    <cellStyle name="Currency 69 3 2" xfId="15193"/>
    <cellStyle name="Currency 69 3 2 2" xfId="38614"/>
    <cellStyle name="Currency 69 3 3" xfId="31982"/>
    <cellStyle name="Currency 69 4" xfId="11875"/>
    <cellStyle name="Currency 69 4 2" xfId="35298"/>
    <cellStyle name="Currency 69 5" xfId="28666"/>
    <cellStyle name="Currency 7" xfId="367"/>
    <cellStyle name="Currency 7 2" xfId="751"/>
    <cellStyle name="Currency 7 2 2" xfId="1322"/>
    <cellStyle name="Currency 7 2 2 2" xfId="5937"/>
    <cellStyle name="Currency 7 2 3" xfId="5275"/>
    <cellStyle name="Currency 7 3" xfId="1323"/>
    <cellStyle name="Currency 7 3 2" xfId="3615"/>
    <cellStyle name="Currency 7 4" xfId="3616"/>
    <cellStyle name="Currency 70" xfId="4758"/>
    <cellStyle name="Currency 70 2" xfId="7149"/>
    <cellStyle name="Currency 70 2 2" xfId="10481"/>
    <cellStyle name="Currency 70 2 2 2" xfId="17185"/>
    <cellStyle name="Currency 70 2 2 2 2" xfId="40606"/>
    <cellStyle name="Currency 70 2 2 3" xfId="33974"/>
    <cellStyle name="Currency 70 2 3" xfId="13869"/>
    <cellStyle name="Currency 70 2 3 2" xfId="37290"/>
    <cellStyle name="Currency 70 2 4" xfId="30658"/>
    <cellStyle name="Currency 70 3" xfId="8818"/>
    <cellStyle name="Currency 70 3 2" xfId="15527"/>
    <cellStyle name="Currency 70 3 2 2" xfId="38948"/>
    <cellStyle name="Currency 70 3 3" xfId="32316"/>
    <cellStyle name="Currency 70 4" xfId="12209"/>
    <cellStyle name="Currency 70 4 2" xfId="35632"/>
    <cellStyle name="Currency 70 5" xfId="29000"/>
    <cellStyle name="Currency 71" xfId="6020"/>
    <cellStyle name="Currency 71 2" xfId="7713"/>
    <cellStyle name="Currency 71 2 2" xfId="11042"/>
    <cellStyle name="Currency 71 2 2 2" xfId="17746"/>
    <cellStyle name="Currency 71 2 2 2 2" xfId="41167"/>
    <cellStyle name="Currency 71 2 2 3" xfId="34535"/>
    <cellStyle name="Currency 71 2 3" xfId="14430"/>
    <cellStyle name="Currency 71 2 3 2" xfId="37851"/>
    <cellStyle name="Currency 71 2 4" xfId="31219"/>
    <cellStyle name="Currency 71 3" xfId="9384"/>
    <cellStyle name="Currency 71 3 2" xfId="16088"/>
    <cellStyle name="Currency 71 3 2 2" xfId="39509"/>
    <cellStyle name="Currency 71 3 3" xfId="32877"/>
    <cellStyle name="Currency 71 4" xfId="12772"/>
    <cellStyle name="Currency 71 4 2" xfId="36193"/>
    <cellStyle name="Currency 71 5" xfId="29561"/>
    <cellStyle name="Currency 72" xfId="3749"/>
    <cellStyle name="Currency 72 2" xfId="6889"/>
    <cellStyle name="Currency 72 2 2" xfId="10221"/>
    <cellStyle name="Currency 72 2 2 2" xfId="16925"/>
    <cellStyle name="Currency 72 2 2 2 2" xfId="40346"/>
    <cellStyle name="Currency 72 2 2 3" xfId="33714"/>
    <cellStyle name="Currency 72 2 3" xfId="13609"/>
    <cellStyle name="Currency 72 2 3 2" xfId="37030"/>
    <cellStyle name="Currency 72 2 4" xfId="30398"/>
    <cellStyle name="Currency 72 3" xfId="8556"/>
    <cellStyle name="Currency 72 3 2" xfId="15267"/>
    <cellStyle name="Currency 72 3 2 2" xfId="38688"/>
    <cellStyle name="Currency 72 3 3" xfId="32056"/>
    <cellStyle name="Currency 72 4" xfId="11949"/>
    <cellStyle name="Currency 72 4 2" xfId="35372"/>
    <cellStyle name="Currency 72 5" xfId="28740"/>
    <cellStyle name="Currency 73" xfId="6016"/>
    <cellStyle name="Currency 73 2" xfId="7709"/>
    <cellStyle name="Currency 73 2 2" xfId="11038"/>
    <cellStyle name="Currency 73 2 2 2" xfId="17742"/>
    <cellStyle name="Currency 73 2 2 2 2" xfId="41163"/>
    <cellStyle name="Currency 73 2 2 3" xfId="34531"/>
    <cellStyle name="Currency 73 2 3" xfId="14426"/>
    <cellStyle name="Currency 73 2 3 2" xfId="37847"/>
    <cellStyle name="Currency 73 2 4" xfId="31215"/>
    <cellStyle name="Currency 73 3" xfId="9380"/>
    <cellStyle name="Currency 73 3 2" xfId="16084"/>
    <cellStyle name="Currency 73 3 2 2" xfId="39505"/>
    <cellStyle name="Currency 73 3 3" xfId="32873"/>
    <cellStyle name="Currency 73 4" xfId="12768"/>
    <cellStyle name="Currency 73 4 2" xfId="36189"/>
    <cellStyle name="Currency 73 5" xfId="29557"/>
    <cellStyle name="Currency 8" xfId="844"/>
    <cellStyle name="Currency 8 2" xfId="845"/>
    <cellStyle name="Currency 8 2 2" xfId="3617"/>
    <cellStyle name="Currency 8 3" xfId="1324"/>
    <cellStyle name="Currency 8 3 2" xfId="6003"/>
    <cellStyle name="Currency 8 4" xfId="3618"/>
    <cellStyle name="Currency 9" xfId="846"/>
    <cellStyle name="Currency 9 2" xfId="1063"/>
    <cellStyle name="Currency 9 2 2" xfId="5965"/>
    <cellStyle name="Currency 9 3" xfId="1137"/>
    <cellStyle name="Currency 9 3 2" xfId="18497"/>
    <cellStyle name="Currency 9 4" xfId="18496"/>
    <cellStyle name="Currency(1)" xfId="3619"/>
    <cellStyle name="Currency(1) 2" xfId="4975"/>
    <cellStyle name="Currency0" xfId="4976"/>
    <cellStyle name="CUS.Work.Area" xfId="4977"/>
    <cellStyle name="C㯵rrency_㳔PC Data" xfId="4978"/>
    <cellStyle name="d_yield_AA - BenefitsBonus " xfId="3620"/>
    <cellStyle name="d_yield_AA - BenefitsBonus  2" xfId="5049"/>
    <cellStyle name="d_yield_AA - BenefitsBonus  2 2" xfId="23463"/>
    <cellStyle name="d_yield_AA - BenefitsBonus  2 3" xfId="23299"/>
    <cellStyle name="d_yield_AA - BenefitsBonus  3" xfId="23451"/>
    <cellStyle name="d_yield_AA - BenefitsBonus  4" xfId="23231"/>
    <cellStyle name="Dash" xfId="368"/>
    <cellStyle name="Dash 2" xfId="3621"/>
    <cellStyle name="Data_0dp" xfId="4979"/>
    <cellStyle name="DataEntry" xfId="4980"/>
    <cellStyle name="DataEntry%" xfId="4981"/>
    <cellStyle name="DataEntry_Model2401" xfId="4982"/>
    <cellStyle name="DataPercentStyle" xfId="23552"/>
    <cellStyle name="DataStyle" xfId="23551"/>
    <cellStyle name="DataStyleForecast" xfId="23550"/>
    <cellStyle name="Date" xfId="369"/>
    <cellStyle name="Date 2" xfId="2034"/>
    <cellStyle name="Date m-yy" xfId="987"/>
    <cellStyle name="Date m-yy 2" xfId="3622"/>
    <cellStyle name="Date2" xfId="370"/>
    <cellStyle name="Dates" xfId="3623"/>
    <cellStyle name="DateYear" xfId="3624"/>
    <cellStyle name="Decimal" xfId="371"/>
    <cellStyle name="decimal 1" xfId="372"/>
    <cellStyle name="Decimal 2" xfId="4983"/>
    <cellStyle name="Decimal_ConsensusPanel_v20080325 (2)" xfId="3625"/>
    <cellStyle name="Derive" xfId="4984"/>
    <cellStyle name="Detail ligne" xfId="23549"/>
    <cellStyle name="Dezimal_ACEA" xfId="23547"/>
    <cellStyle name="Dollar" xfId="373"/>
    <cellStyle name="Dollar 2" xfId="3626"/>
    <cellStyle name="Dollars" xfId="374"/>
    <cellStyle name="Dollars 2" xfId="375"/>
    <cellStyle name="Dollars 3" xfId="2035"/>
    <cellStyle name="DollarWhole" xfId="3627"/>
    <cellStyle name="Entered" xfId="3628"/>
    <cellStyle name="Euro" xfId="1198"/>
    <cellStyle name="Explanatory Text" xfId="2837" builtinId="53" customBuiltin="1"/>
    <cellStyle name="Explanatory Text 2" xfId="376"/>
    <cellStyle name="Explanatory Text 3" xfId="1064"/>
    <cellStyle name="Explanatory Text 3 2" xfId="3631"/>
    <cellStyle name="Explanatory Text 3 3" xfId="3630"/>
    <cellStyle name="Explanatory Text 4" xfId="3629"/>
    <cellStyle name="f‰H_x0010_‹Ëf‰h,ÿt$_x0018_è¸Wÿÿé&gt;Ëÿÿ÷Ç_x0001_" xfId="3632"/>
    <cellStyle name="Fail" xfId="377"/>
    <cellStyle name="Fail 2" xfId="847"/>
    <cellStyle name="Fail 2 2" xfId="3634"/>
    <cellStyle name="Fail 2 3" xfId="3635"/>
    <cellStyle name="Fail 2 4" xfId="3633"/>
    <cellStyle name="Fail 3" xfId="2036"/>
    <cellStyle name="FieldName" xfId="378"/>
    <cellStyle name="FiscalPeriod" xfId="379"/>
    <cellStyle name="FiscalPeriod 2" xfId="848"/>
    <cellStyle name="FiscalPeriod 2 2" xfId="3637"/>
    <cellStyle name="FiscalPeriod 2 3" xfId="3638"/>
    <cellStyle name="FiscalPeriod 2 4" xfId="3636"/>
    <cellStyle name="FiscalPeriod 3" xfId="2037"/>
    <cellStyle name="Fixed" xfId="380"/>
    <cellStyle name="Fixed (1)" xfId="4985"/>
    <cellStyle name="Fixed [2]" xfId="4986"/>
    <cellStyle name="Fixed 2" xfId="3639"/>
    <cellStyle name="Fixed 3" xfId="4987"/>
    <cellStyle name="Fixed_1" xfId="4988"/>
    <cellStyle name="FooterStyle" xfId="23809"/>
    <cellStyle name="Footnote" xfId="381"/>
    <cellStyle name="g_rate_AA - BenefitsBonus " xfId="3640"/>
    <cellStyle name="g_rate_AA - BenefitsBonus  2" xfId="5051"/>
    <cellStyle name="g_rate_AA - BenefitsBonus  2 2" xfId="23465"/>
    <cellStyle name="g_rate_AA - BenefitsBonus  2 3" xfId="23301"/>
    <cellStyle name="g_rate_AA - BenefitsBonus  3" xfId="23452"/>
    <cellStyle name="g_rate_AA - BenefitsBonus  4" xfId="23232"/>
    <cellStyle name="G02 Table Text" xfId="382"/>
    <cellStyle name="G02 Table Text 2" xfId="383"/>
    <cellStyle name="G02 Table Text 2 2" xfId="2039"/>
    <cellStyle name="G02 Table Text 2 3" xfId="2038"/>
    <cellStyle name="G02 Table Text 3" xfId="2040"/>
    <cellStyle name="G02 Table Text 4" xfId="2041"/>
    <cellStyle name="G04_Main head" xfId="384"/>
    <cellStyle name="G05 Tab Head Bold" xfId="385"/>
    <cellStyle name="G05 Tab Head Bold 2" xfId="386"/>
    <cellStyle name="G05 Tab Head Bold 2 2" xfId="387"/>
    <cellStyle name="G05 Tab Head Bold 2 2 2" xfId="388"/>
    <cellStyle name="G05 Tab Head Bold 2 2 2 2" xfId="3641"/>
    <cellStyle name="G05 Tab Head Bold 2 2 3" xfId="3642"/>
    <cellStyle name="G05 Tab Head Bold 2 3" xfId="389"/>
    <cellStyle name="G05 Tab Head Bold 2 3 2" xfId="3643"/>
    <cellStyle name="G05 Tab Head Bold 2 4" xfId="2043"/>
    <cellStyle name="G05 Tab Head Bold 2 4 2" xfId="18217"/>
    <cellStyle name="G05 Tab Head Bold 2 5" xfId="2042"/>
    <cellStyle name="G05 Tab Head Bold 2 5 2" xfId="18218"/>
    <cellStyle name="G05 Tab Head Bold 2 6" xfId="20449"/>
    <cellStyle name="G05 Tab Head Bold 3" xfId="390"/>
    <cellStyle name="G05 Tab Head Bold 3 2" xfId="391"/>
    <cellStyle name="G05 Tab Head Bold 3 2 2" xfId="3644"/>
    <cellStyle name="G05 Tab Head Bold 3 3" xfId="2045"/>
    <cellStyle name="G05 Tab Head Bold 3 3 2" xfId="17824"/>
    <cellStyle name="G05 Tab Head Bold 3 4" xfId="2044"/>
    <cellStyle name="G05 Tab Head Bold 3 4 2" xfId="17819"/>
    <cellStyle name="G05 Tab Head Bold 3 5" xfId="20423"/>
    <cellStyle name="G05 Tab Head Bold 4" xfId="392"/>
    <cellStyle name="G05 Tab Head Bold 4 2" xfId="2050"/>
    <cellStyle name="G05 Tab Head Bold 4 2 2" xfId="5959"/>
    <cellStyle name="G05 Tab Head Bold 4 3" xfId="5411"/>
    <cellStyle name="G05 Tab Head Bold 5" xfId="393"/>
    <cellStyle name="G05 Tab Head Bold 5 2" xfId="752"/>
    <cellStyle name="G05 Tab Head Bold 5 2 2" xfId="5230"/>
    <cellStyle name="G05 Tab Head Bold 5 3" xfId="5246"/>
    <cellStyle name="G05 Tab Head Bold 6" xfId="2052"/>
    <cellStyle name="G05 Tab Head Bold 6 2" xfId="2053"/>
    <cellStyle name="G05 Tab Head Bold 6 2 2" xfId="17820"/>
    <cellStyle name="G05 Tab Head Bold 6 3" xfId="17823"/>
    <cellStyle name="G05 Tab Head Bold 7" xfId="2054"/>
    <cellStyle name="G05 Tab Head Bold 7 2" xfId="2055"/>
    <cellStyle name="G05 Tab Head Bold 7 2 2" xfId="17821"/>
    <cellStyle name="G05 Tab Head Bold 7 3" xfId="18948"/>
    <cellStyle name="G05 Tab Head Bold 8" xfId="2056"/>
    <cellStyle name="G05 Tab Head Bold 8 2" xfId="3645"/>
    <cellStyle name="G05 Tab Head Bold 9" xfId="20434"/>
    <cellStyle name="G05 Tab Head Light" xfId="394"/>
    <cellStyle name="G05 Tab Head Light 2" xfId="395"/>
    <cellStyle name="G05 Tab Head Light 2 2" xfId="396"/>
    <cellStyle name="G05 Tab Head Light 2 2 2" xfId="397"/>
    <cellStyle name="G05 Tab Head Light 2 2 2 2" xfId="3646"/>
    <cellStyle name="G05 Tab Head Light 2 2 3" xfId="3647"/>
    <cellStyle name="G05 Tab Head Light 2 3" xfId="398"/>
    <cellStyle name="G05 Tab Head Light 2 3 2" xfId="3648"/>
    <cellStyle name="G05 Tab Head Light 2 4" xfId="2092"/>
    <cellStyle name="G05 Tab Head Light 2 4 2" xfId="17822"/>
    <cellStyle name="G05 Tab Head Light 2 5" xfId="2078"/>
    <cellStyle name="G05 Tab Head Light 2 5 2" xfId="18219"/>
    <cellStyle name="G05 Tab Head Light 2 6" xfId="20453"/>
    <cellStyle name="G05 Tab Head Light 3" xfId="399"/>
    <cellStyle name="G05 Tab Head Light 3 2" xfId="400"/>
    <cellStyle name="G05 Tab Head Light 3 2 2" xfId="3649"/>
    <cellStyle name="G05 Tab Head Light 3 3" xfId="2094"/>
    <cellStyle name="G05 Tab Head Light 3 3 2" xfId="18949"/>
    <cellStyle name="G05 Tab Head Light 3 4" xfId="2093"/>
    <cellStyle name="G05 Tab Head Light 3 4 2" xfId="18947"/>
    <cellStyle name="G05 Tab Head Light 3 5" xfId="20435"/>
    <cellStyle name="G05 Tab Head Light 4" xfId="401"/>
    <cellStyle name="G05 Tab Head Light 4 2" xfId="2100"/>
    <cellStyle name="G05 Tab Head Light 4 2 2" xfId="5960"/>
    <cellStyle name="G05 Tab Head Light 4 3" xfId="5985"/>
    <cellStyle name="G05 Tab Head Light 5" xfId="402"/>
    <cellStyle name="G05 Tab Head Light 5 2" xfId="753"/>
    <cellStyle name="G05 Tab Head Light 5 2 2" xfId="5245"/>
    <cellStyle name="G05 Tab Head Light 5 3" xfId="5273"/>
    <cellStyle name="G05 Tab Head Light 6" xfId="2101"/>
    <cellStyle name="G05 Tab Head Light 6 2" xfId="2102"/>
    <cellStyle name="G05 Tab Head Light 6 2 2" xfId="18220"/>
    <cellStyle name="G05 Tab Head Light 6 3" xfId="17825"/>
    <cellStyle name="G05 Tab Head Light 7" xfId="2103"/>
    <cellStyle name="G05 Tab Head Light 7 2" xfId="2104"/>
    <cellStyle name="G05 Tab Head Light 7 2 2" xfId="17826"/>
    <cellStyle name="G05 Tab Head Light 7 3" xfId="18221"/>
    <cellStyle name="G05 Tab Head Light 8" xfId="2105"/>
    <cellStyle name="G05 Tab Head Light 8 2" xfId="3650"/>
    <cellStyle name="G05 Tab Head Light 9" xfId="20442"/>
    <cellStyle name="Good" xfId="6032" builtinId="26" customBuiltin="1"/>
    <cellStyle name="Good 2" xfId="403"/>
    <cellStyle name="Good 2 2" xfId="3653"/>
    <cellStyle name="Good 2 3" xfId="5096"/>
    <cellStyle name="Good 2 4" xfId="3652"/>
    <cellStyle name="Good 3" xfId="1065"/>
    <cellStyle name="Good 3 2" xfId="3655"/>
    <cellStyle name="Good 3 3" xfId="3656"/>
    <cellStyle name="Good 3 4" xfId="3654"/>
    <cellStyle name="Good 4" xfId="3651"/>
    <cellStyle name="Green" xfId="404"/>
    <cellStyle name="Green 2" xfId="405"/>
    <cellStyle name="Green 2 2" xfId="406"/>
    <cellStyle name="Green 2 2 2" xfId="2119"/>
    <cellStyle name="Green 2 3" xfId="2120"/>
    <cellStyle name="Green 3" xfId="407"/>
    <cellStyle name="Green 3 2" xfId="754"/>
    <cellStyle name="Green 3 2 2" xfId="2121"/>
    <cellStyle name="Green 3 3" xfId="2122"/>
    <cellStyle name="Green 4" xfId="785"/>
    <cellStyle name="Green 4 2" xfId="799"/>
    <cellStyle name="Green 4 2 2" xfId="804"/>
    <cellStyle name="Green 4 2 2 2" xfId="2124"/>
    <cellStyle name="Green 4 2 2 2 2" xfId="5418"/>
    <cellStyle name="Green 4 2 2 2 2 2" xfId="18365"/>
    <cellStyle name="Green 4 2 2 2 3" xfId="17892"/>
    <cellStyle name="Green 4 2 2 2 3 2" xfId="19103"/>
    <cellStyle name="Green 4 2 2 3" xfId="2123"/>
    <cellStyle name="Green 4 2 2 4" xfId="2568"/>
    <cellStyle name="Green 4 2 2 4 2" xfId="5662"/>
    <cellStyle name="Green 4 2 2 4 2 2" xfId="7446"/>
    <cellStyle name="Green 4 2 2 4 3" xfId="6546"/>
    <cellStyle name="Green 4 2 3" xfId="1008"/>
    <cellStyle name="Green 4 2 3 2" xfId="2125"/>
    <cellStyle name="Green 4 3" xfId="802"/>
    <cellStyle name="Green 4 3 2" xfId="2126"/>
    <cellStyle name="Green 5" xfId="2214"/>
    <cellStyle name="Green 5 2" xfId="5485"/>
    <cellStyle name="Green 5 2 2" xfId="19040"/>
    <cellStyle name="Green 5 3" xfId="18950"/>
    <cellStyle name="Grey" xfId="408"/>
    <cellStyle name="Grey 2" xfId="409"/>
    <cellStyle name="Grey 2 2" xfId="2110"/>
    <cellStyle name="Grey 2 3" xfId="2109"/>
    <cellStyle name="Grey 3" xfId="410"/>
    <cellStyle name="Growth%" xfId="3657"/>
    <cellStyle name="GrowthRate" xfId="3658"/>
    <cellStyle name="hard no" xfId="411"/>
    <cellStyle name="hard no 2" xfId="412"/>
    <cellStyle name="hard no 2 2" xfId="3659"/>
    <cellStyle name="hard no 3" xfId="3660"/>
    <cellStyle name="hardno" xfId="413"/>
    <cellStyle name="HEADER" xfId="3661"/>
    <cellStyle name="Header1" xfId="414"/>
    <cellStyle name="Header1 2" xfId="3662"/>
    <cellStyle name="Header2" xfId="415"/>
    <cellStyle name="Header2 2" xfId="3663"/>
    <cellStyle name="HeaderStyle" xfId="23513"/>
    <cellStyle name="Heading 1" xfId="6028" builtinId="16" customBuiltin="1"/>
    <cellStyle name="Heading 1 2" xfId="416"/>
    <cellStyle name="Heading 1 2 2" xfId="3666"/>
    <cellStyle name="Heading 1 2 3" xfId="5097"/>
    <cellStyle name="Heading 1 2 4" xfId="3665"/>
    <cellStyle name="Heading 1 3" xfId="1066"/>
    <cellStyle name="Heading 1 3 2" xfId="3668"/>
    <cellStyle name="Heading 1 3 3" xfId="3669"/>
    <cellStyle name="Heading 1 3 4" xfId="3667"/>
    <cellStyle name="Heading 1 3 5" xfId="23512"/>
    <cellStyle name="Heading 1 4" xfId="3664"/>
    <cellStyle name="Heading 2" xfId="6029" builtinId="17" customBuiltin="1"/>
    <cellStyle name="Heading 2 2" xfId="417"/>
    <cellStyle name="Heading 2 2 2" xfId="3672"/>
    <cellStyle name="Heading 2 2 3" xfId="5098"/>
    <cellStyle name="Heading 2 2 4" xfId="3671"/>
    <cellStyle name="Heading 2 3" xfId="1067"/>
    <cellStyle name="Heading 2 3 2" xfId="3674"/>
    <cellStyle name="Heading 2 3 3" xfId="3675"/>
    <cellStyle name="Heading 2 3 4" xfId="3673"/>
    <cellStyle name="Heading 2 3 5" xfId="23511"/>
    <cellStyle name="Heading 2 4" xfId="3670"/>
    <cellStyle name="Heading 3" xfId="6030" builtinId="18" customBuiltin="1"/>
    <cellStyle name="Heading 3 2" xfId="418"/>
    <cellStyle name="Heading 3 2 2" xfId="3678"/>
    <cellStyle name="Heading 3 2 3" xfId="5099"/>
    <cellStyle name="Heading 3 2 4" xfId="3677"/>
    <cellStyle name="Heading 3 3" xfId="1068"/>
    <cellStyle name="Heading 3 3 2" xfId="3680"/>
    <cellStyle name="Heading 3 3 3" xfId="3681"/>
    <cellStyle name="Heading 3 3 4" xfId="3679"/>
    <cellStyle name="Heading 3 3 5" xfId="23510"/>
    <cellStyle name="Heading 3 4" xfId="3676"/>
    <cellStyle name="Heading 4" xfId="6031" builtinId="19" customBuiltin="1"/>
    <cellStyle name="Heading 4 2" xfId="419"/>
    <cellStyle name="Heading 4 3" xfId="1069"/>
    <cellStyle name="Heading 4 3 2" xfId="3684"/>
    <cellStyle name="Heading 4 3 3" xfId="3685"/>
    <cellStyle name="Heading 4 3 4" xfId="3683"/>
    <cellStyle name="Heading 4 3 5" xfId="23509"/>
    <cellStyle name="Heading 4 4" xfId="3682"/>
    <cellStyle name="Heading1" xfId="3686"/>
    <cellStyle name="Heading2" xfId="3687"/>
    <cellStyle name="Hidden" xfId="420"/>
    <cellStyle name="Hidden 2" xfId="849"/>
    <cellStyle name="Hidden 2 2" xfId="3689"/>
    <cellStyle name="Hidden 2 3" xfId="3690"/>
    <cellStyle name="Hidden 2 4" xfId="3688"/>
    <cellStyle name="Hidden 3" xfId="2112"/>
    <cellStyle name="HIGHLIGHT" xfId="3691"/>
    <cellStyle name="Hyperlink 2" xfId="988"/>
    <cellStyle name="Hyperlink 2 2" xfId="1210"/>
    <cellStyle name="Hyperlink 2 2 2" xfId="1553"/>
    <cellStyle name="Hyperlink 2 2 3" xfId="1552"/>
    <cellStyle name="Hyperlink 2 2 4" xfId="3693"/>
    <cellStyle name="Hyperlink 2 2 5" xfId="3692"/>
    <cellStyle name="Hyperlink 2 2 6" xfId="23508"/>
    <cellStyle name="Hyperlink 2 3" xfId="1408"/>
    <cellStyle name="Hyperlink 2 3 2" xfId="3695"/>
    <cellStyle name="Hyperlink 2 3 3" xfId="5100"/>
    <cellStyle name="Hyperlink 2 3 4" xfId="3694"/>
    <cellStyle name="Hyperlink 3" xfId="1209"/>
    <cellStyle name="Hyperlink 3 2" xfId="1555"/>
    <cellStyle name="Hyperlink 3 3" xfId="1554"/>
    <cellStyle name="Hyperlink 3 4" xfId="3697"/>
    <cellStyle name="Hyperlink 3 5" xfId="3696"/>
    <cellStyle name="Hyperlink 4" xfId="989"/>
    <cellStyle name="Hyperlink 4 2" xfId="1557"/>
    <cellStyle name="Hyperlink 4 2 2" xfId="2138"/>
    <cellStyle name="Hyperlink 4 2 2 2" xfId="17893"/>
    <cellStyle name="Hyperlink 4 2 3" xfId="2139"/>
    <cellStyle name="Hyperlink 4 2 3 2" xfId="17894"/>
    <cellStyle name="Hyperlink 4 2 4" xfId="2137"/>
    <cellStyle name="Hyperlink 4 2 5" xfId="5340"/>
    <cellStyle name="Hyperlink 4 2 5 2" xfId="17888"/>
    <cellStyle name="Hyperlink 4 3" xfId="1556"/>
    <cellStyle name="Hyperlink 4 3 2" xfId="3699"/>
    <cellStyle name="Hyperlink 4 3 3" xfId="3700"/>
    <cellStyle name="Hyperlink 4 3 4" xfId="5101"/>
    <cellStyle name="Hyperlink 4 3 5" xfId="3698"/>
    <cellStyle name="Hyperlink 4 4" xfId="2140"/>
    <cellStyle name="Hyperlink 4 4 2" xfId="17895"/>
    <cellStyle name="Hyperlink 4 5" xfId="2113"/>
    <cellStyle name="Hyperlink 4 5 2" xfId="17827"/>
    <cellStyle name="Hyperlink 4 5 3" xfId="17889"/>
    <cellStyle name="Hyperlink 4 6" xfId="17890"/>
    <cellStyle name="Hyperlink 5" xfId="1551"/>
    <cellStyle name="Income Statement" xfId="3701"/>
    <cellStyle name="IncomeStatement" xfId="3702"/>
    <cellStyle name="Info_Main" xfId="4989"/>
    <cellStyle name="Input" xfId="6035" builtinId="20" customBuiltin="1"/>
    <cellStyle name="Input [yellow]" xfId="421"/>
    <cellStyle name="Input [yellow] 2" xfId="422"/>
    <cellStyle name="Input [yellow] 3" xfId="423"/>
    <cellStyle name="Input 10" xfId="424"/>
    <cellStyle name="Input 100" xfId="11101"/>
    <cellStyle name="Input 101" xfId="11111"/>
    <cellStyle name="Input 102" xfId="11100"/>
    <cellStyle name="Input 103" xfId="11115"/>
    <cellStyle name="Input 104" xfId="11099"/>
    <cellStyle name="Input 105" xfId="11116"/>
    <cellStyle name="Input 106" xfId="11098"/>
    <cellStyle name="Input 107" xfId="11108"/>
    <cellStyle name="Input 108" xfId="17896"/>
    <cellStyle name="Input 109" xfId="18115"/>
    <cellStyle name="Input 11" xfId="425"/>
    <cellStyle name="Input 110" xfId="20401"/>
    <cellStyle name="Input 111" xfId="20447"/>
    <cellStyle name="Input 112" xfId="20550"/>
    <cellStyle name="Input 113" xfId="23202"/>
    <cellStyle name="Input 114" xfId="20395"/>
    <cellStyle name="Input 115" xfId="17871"/>
    <cellStyle name="Input 116" xfId="18659"/>
    <cellStyle name="Input 117" xfId="23204"/>
    <cellStyle name="Input 118" xfId="20411"/>
    <cellStyle name="Input 119" xfId="20443"/>
    <cellStyle name="Input 12" xfId="426"/>
    <cellStyle name="Input 120" xfId="23207"/>
    <cellStyle name="Input 121" xfId="23208"/>
    <cellStyle name="Input 122" xfId="23203"/>
    <cellStyle name="Input 123" xfId="23325"/>
    <cellStyle name="Input 124" xfId="23649"/>
    <cellStyle name="Input 13" xfId="427"/>
    <cellStyle name="Input 13 2" xfId="23507"/>
    <cellStyle name="Input 14" xfId="428"/>
    <cellStyle name="Input 14 2" xfId="23787"/>
    <cellStyle name="Input 14 3" xfId="23506"/>
    <cellStyle name="Input 15" xfId="429"/>
    <cellStyle name="Input 15 2" xfId="23786"/>
    <cellStyle name="Input 15 3" xfId="23505"/>
    <cellStyle name="Input 16" xfId="430"/>
    <cellStyle name="Input 16 2" xfId="23785"/>
    <cellStyle name="Input 16 3" xfId="23504"/>
    <cellStyle name="Input 17" xfId="431"/>
    <cellStyle name="Input 17 2" xfId="23784"/>
    <cellStyle name="Input 17 3" xfId="23503"/>
    <cellStyle name="Input 18" xfId="432"/>
    <cellStyle name="Input 18 2" xfId="23783"/>
    <cellStyle name="Input 18 3" xfId="23502"/>
    <cellStyle name="Input 19" xfId="433"/>
    <cellStyle name="Input 2" xfId="434"/>
    <cellStyle name="Input 20" xfId="435"/>
    <cellStyle name="Input 21" xfId="436"/>
    <cellStyle name="Input 22" xfId="437"/>
    <cellStyle name="Input 23" xfId="788"/>
    <cellStyle name="Input 23 2" xfId="3704"/>
    <cellStyle name="Input 23 3" xfId="3703"/>
    <cellStyle name="Input 24" xfId="784"/>
    <cellStyle name="Input 24 2" xfId="3706"/>
    <cellStyle name="Input 24 3" xfId="3705"/>
    <cellStyle name="Input 25" xfId="786"/>
    <cellStyle name="Input 26" xfId="783"/>
    <cellStyle name="Input 27" xfId="787"/>
    <cellStyle name="Input 28" xfId="807"/>
    <cellStyle name="Input 29" xfId="808"/>
    <cellStyle name="Input 3" xfId="438"/>
    <cellStyle name="Input 30" xfId="900"/>
    <cellStyle name="Input 31" xfId="904"/>
    <cellStyle name="Input 32" xfId="1015"/>
    <cellStyle name="Input 33" xfId="1017"/>
    <cellStyle name="Input 34" xfId="1016"/>
    <cellStyle name="Input 35" xfId="1177"/>
    <cellStyle name="Input 36" xfId="1178"/>
    <cellStyle name="Input 37" xfId="1207"/>
    <cellStyle name="Input 38" xfId="1196"/>
    <cellStyle name="Input 39" xfId="1201"/>
    <cellStyle name="Input 4" xfId="439"/>
    <cellStyle name="Input 40" xfId="1195"/>
    <cellStyle name="Input 41" xfId="1202"/>
    <cellStyle name="Input 42" xfId="1194"/>
    <cellStyle name="Input 43" xfId="1203"/>
    <cellStyle name="Input 44" xfId="1193"/>
    <cellStyle name="Input 45" xfId="1204"/>
    <cellStyle name="Input 46" xfId="1192"/>
    <cellStyle name="Input 47" xfId="1205"/>
    <cellStyle name="Input 48" xfId="1191"/>
    <cellStyle name="Input 49" xfId="1199"/>
    <cellStyle name="Input 5" xfId="440"/>
    <cellStyle name="Input 50" xfId="1190"/>
    <cellStyle name="Input 51" xfId="1200"/>
    <cellStyle name="Input 52" xfId="1189"/>
    <cellStyle name="Input 53" xfId="1206"/>
    <cellStyle name="Input 54" xfId="1188"/>
    <cellStyle name="Input 55" xfId="1241"/>
    <cellStyle name="Input 56" xfId="1240"/>
    <cellStyle name="Input 57" xfId="1245"/>
    <cellStyle name="Input 58" xfId="1471"/>
    <cellStyle name="Input 59" xfId="1560"/>
    <cellStyle name="Input 6" xfId="441"/>
    <cellStyle name="Input 60" xfId="1561"/>
    <cellStyle name="Input 61" xfId="1562"/>
    <cellStyle name="Input 62" xfId="1558"/>
    <cellStyle name="Input 63" xfId="1559"/>
    <cellStyle name="Input 64" xfId="1542"/>
    <cellStyle name="Input 65" xfId="1843"/>
    <cellStyle name="Input 66" xfId="1840"/>
    <cellStyle name="Input 67" xfId="1842"/>
    <cellStyle name="Input 68" xfId="1841"/>
    <cellStyle name="Input 69" xfId="2141"/>
    <cellStyle name="Input 7" xfId="442"/>
    <cellStyle name="Input 70" xfId="2142"/>
    <cellStyle name="Input 71" xfId="2002"/>
    <cellStyle name="Input 72" xfId="2144"/>
    <cellStyle name="Input 73" xfId="2115"/>
    <cellStyle name="Input 74" xfId="2145"/>
    <cellStyle name="Input 75" xfId="2114"/>
    <cellStyle name="Input 76" xfId="1979"/>
    <cellStyle name="Input 77" xfId="2551"/>
    <cellStyle name="Input 78" xfId="1980"/>
    <cellStyle name="Input 79" xfId="2552"/>
    <cellStyle name="Input 8" xfId="443"/>
    <cellStyle name="Input 80" xfId="1987"/>
    <cellStyle name="Input 81" xfId="1933"/>
    <cellStyle name="Input 82" xfId="1988"/>
    <cellStyle name="Input 83" xfId="1932"/>
    <cellStyle name="Input 84" xfId="1989"/>
    <cellStyle name="Input 85" xfId="1931"/>
    <cellStyle name="Input 86" xfId="1990"/>
    <cellStyle name="Input 87" xfId="1929"/>
    <cellStyle name="Input 88" xfId="1991"/>
    <cellStyle name="Input 89" xfId="11117"/>
    <cellStyle name="Input 9" xfId="444"/>
    <cellStyle name="Input 90" xfId="11106"/>
    <cellStyle name="Input 91" xfId="11112"/>
    <cellStyle name="Input 92" xfId="11105"/>
    <cellStyle name="Input 93" xfId="11113"/>
    <cellStyle name="Input 94" xfId="11104"/>
    <cellStyle name="Input 95" xfId="11114"/>
    <cellStyle name="Input 96" xfId="11103"/>
    <cellStyle name="Input 97" xfId="11110"/>
    <cellStyle name="Input 98" xfId="11102"/>
    <cellStyle name="Input 99" xfId="11109"/>
    <cellStyle name="Input Titles" xfId="4990"/>
    <cellStyle name="Input%" xfId="4991"/>
    <cellStyle name="InputBlueFont" xfId="445"/>
    <cellStyle name="InputDate" xfId="4992"/>
    <cellStyle name="InputDecimal" xfId="4993"/>
    <cellStyle name="InputDescriptions" xfId="4994"/>
    <cellStyle name="InputHeading1" xfId="4995"/>
    <cellStyle name="InputValue" xfId="4996"/>
    <cellStyle name="Integer" xfId="446"/>
    <cellStyle name="Integer 2" xfId="3708"/>
    <cellStyle name="Invisible" xfId="3709"/>
    <cellStyle name="Italic" xfId="3710"/>
    <cellStyle name="Item" xfId="4997"/>
    <cellStyle name="ItemTypeClass" xfId="4998"/>
    <cellStyle name="KP_Normal" xfId="447"/>
    <cellStyle name="KPMG Heading 1" xfId="3711"/>
    <cellStyle name="KPMG Heading 2" xfId="3712"/>
    <cellStyle name="KPMG Heading 3" xfId="3713"/>
    <cellStyle name="KPMG Heading 4" xfId="3714"/>
    <cellStyle name="KPMG Normal" xfId="3715"/>
    <cellStyle name="KPMG Normal Text" xfId="3716"/>
    <cellStyle name="l]_x000d__x000a_Path=M:\RIOCEN01_x000d__x000a_Name=Carlos Emilio Brousse_x000d__x000a_DDEApps=nsf,nsg,nsh,ntf,ns2,ors,org_x000d__x000a_SmartIcons=Todos_x000d__x000a_" xfId="3717"/>
    <cellStyle name="Ligne détail" xfId="23501"/>
    <cellStyle name="Linked Cell" xfId="6038" builtinId="24" customBuiltin="1"/>
    <cellStyle name="Linked Cell 2" xfId="448"/>
    <cellStyle name="Linked Cell 2 2" xfId="3720"/>
    <cellStyle name="Linked Cell 2 3" xfId="5102"/>
    <cellStyle name="Linked Cell 2 4" xfId="3719"/>
    <cellStyle name="Linked Cell 3" xfId="1070"/>
    <cellStyle name="Linked Cell 3 2" xfId="3722"/>
    <cellStyle name="Linked Cell 3 3" xfId="3723"/>
    <cellStyle name="Linked Cell 3 4" xfId="3721"/>
    <cellStyle name="Linked Cell 4" xfId="3718"/>
    <cellStyle name="m_AA - BenefitsBonus " xfId="3724"/>
    <cellStyle name="Margins" xfId="3725"/>
    <cellStyle name="MetricLabel" xfId="449"/>
    <cellStyle name="MetricLabel 2" xfId="850"/>
    <cellStyle name="MetricLabel 2 2" xfId="3727"/>
    <cellStyle name="MetricLabel 2 3" xfId="3728"/>
    <cellStyle name="MetricLabel 2 4" xfId="3726"/>
    <cellStyle name="MetricLabel 3" xfId="2116"/>
    <cellStyle name="MetricLabelBlue" xfId="450"/>
    <cellStyle name="MetricLabelBlue 2" xfId="851"/>
    <cellStyle name="MetricLabelBlue 2 2" xfId="3730"/>
    <cellStyle name="MetricLabelBlue 2 3" xfId="3731"/>
    <cellStyle name="MetricLabelBlue 2 4" xfId="3729"/>
    <cellStyle name="MetricLabelBlue 3" xfId="2117"/>
    <cellStyle name="MetricValue" xfId="451"/>
    <cellStyle name="MetricValue 2" xfId="852"/>
    <cellStyle name="MetricValue 2 2" xfId="3733"/>
    <cellStyle name="MetricValue 2 3" xfId="3734"/>
    <cellStyle name="MetricValue 2 4" xfId="3732"/>
    <cellStyle name="MetricValue 3" xfId="2118"/>
    <cellStyle name="MEV2" xfId="23493"/>
    <cellStyle name="middle" xfId="3735"/>
    <cellStyle name="middle-title" xfId="3736"/>
    <cellStyle name="mm/dd/yy" xfId="3737"/>
    <cellStyle name="MonthYears" xfId="452"/>
    <cellStyle name="MonthYears 2" xfId="453"/>
    <cellStyle name="MonthYears 3" xfId="454"/>
    <cellStyle name="Multiple" xfId="3738"/>
    <cellStyle name="Multiple 2" xfId="4999"/>
    <cellStyle name="MW" xfId="1212"/>
    <cellStyle name="Neutral" xfId="6034" builtinId="28" customBuiltin="1"/>
    <cellStyle name="Neutral 2" xfId="455"/>
    <cellStyle name="Neutral 2 2" xfId="3741"/>
    <cellStyle name="Neutral 2 3" xfId="5103"/>
    <cellStyle name="Neutral 2 4" xfId="3740"/>
    <cellStyle name="Neutral 3" xfId="1071"/>
    <cellStyle name="Neutral 3 2" xfId="3743"/>
    <cellStyle name="Neutral 3 3" xfId="3742"/>
    <cellStyle name="Neutral 4" xfId="3739"/>
    <cellStyle name="NewColumnHeaderNormal" xfId="3744"/>
    <cellStyle name="NewSectionHeaderNormal" xfId="3745"/>
    <cellStyle name="NewTitleNormal" xfId="3746"/>
    <cellStyle name="No Commas" xfId="3747"/>
    <cellStyle name="no dec" xfId="456"/>
    <cellStyle name="no dec 2" xfId="2127"/>
    <cellStyle name="Normal" xfId="0" builtinId="0" customBuiltin="1"/>
    <cellStyle name="Normal - Style1" xfId="457"/>
    <cellStyle name="Normal - Style1 2" xfId="3748"/>
    <cellStyle name="Normal - Style1 3" xfId="5000"/>
    <cellStyle name="Normal 1" xfId="1563"/>
    <cellStyle name="Normal 1 2" xfId="1564"/>
    <cellStyle name="Normal 10" xfId="458"/>
    <cellStyle name="Normal 10 2" xfId="459"/>
    <cellStyle name="Normal 10 2 10" xfId="25016"/>
    <cellStyle name="Normal 10 2 10 2" xfId="27229"/>
    <cellStyle name="Normal 10 2 10 2 2" xfId="49474"/>
    <cellStyle name="Normal 10 2 10 3" xfId="47261"/>
    <cellStyle name="Normal 10 2 2" xfId="1138"/>
    <cellStyle name="Normal 10 2 2 2" xfId="3753"/>
    <cellStyle name="Normal 10 2 2 2 2" xfId="23478"/>
    <cellStyle name="Normal 10 2 2 2 2 2" xfId="45812"/>
    <cellStyle name="Normal 10 2 2 3" xfId="3754"/>
    <cellStyle name="Normal 10 2 2 4" xfId="5105"/>
    <cellStyle name="Normal 10 2 2 4 2" xfId="7177"/>
    <cellStyle name="Normal 10 2 2 4 2 2" xfId="10508"/>
    <cellStyle name="Normal 10 2 2 4 2 2 2" xfId="17212"/>
    <cellStyle name="Normal 10 2 2 4 2 2 2 2" xfId="40633"/>
    <cellStyle name="Normal 10 2 2 4 2 2 3" xfId="34001"/>
    <cellStyle name="Normal 10 2 2 4 2 3" xfId="13896"/>
    <cellStyle name="Normal 10 2 2 4 2 3 2" xfId="37317"/>
    <cellStyle name="Normal 10 2 2 4 2 4" xfId="26019"/>
    <cellStyle name="Normal 10 2 2 4 2 4 2" xfId="48264"/>
    <cellStyle name="Normal 10 2 2 4 2 5" xfId="30685"/>
    <cellStyle name="Normal 10 2 2 4 3" xfId="8848"/>
    <cellStyle name="Normal 10 2 2 4 3 2" xfId="15554"/>
    <cellStyle name="Normal 10 2 2 4 3 2 2" xfId="38975"/>
    <cellStyle name="Normal 10 2 2 4 3 3" xfId="32343"/>
    <cellStyle name="Normal 10 2 2 4 4" xfId="12237"/>
    <cellStyle name="Normal 10 2 2 4 4 2" xfId="35659"/>
    <cellStyle name="Normal 10 2 2 4 5" xfId="23807"/>
    <cellStyle name="Normal 10 2 2 4 5 2" xfId="46072"/>
    <cellStyle name="Normal 10 2 2 4 6" xfId="29027"/>
    <cellStyle name="Normal 10 2 2 5" xfId="3752"/>
    <cellStyle name="Normal 10 2 2 5 2" xfId="6892"/>
    <cellStyle name="Normal 10 2 2 5 2 2" xfId="10224"/>
    <cellStyle name="Normal 10 2 2 5 2 2 2" xfId="16928"/>
    <cellStyle name="Normal 10 2 2 5 2 2 2 2" xfId="40349"/>
    <cellStyle name="Normal 10 2 2 5 2 2 3" xfId="33717"/>
    <cellStyle name="Normal 10 2 2 5 2 3" xfId="13612"/>
    <cellStyle name="Normal 10 2 2 5 2 3 2" xfId="37033"/>
    <cellStyle name="Normal 10 2 2 5 2 4" xfId="25743"/>
    <cellStyle name="Normal 10 2 2 5 2 4 2" xfId="47988"/>
    <cellStyle name="Normal 10 2 2 5 2 5" xfId="30401"/>
    <cellStyle name="Normal 10 2 2 5 3" xfId="8559"/>
    <cellStyle name="Normal 10 2 2 5 3 2" xfId="15270"/>
    <cellStyle name="Normal 10 2 2 5 3 2 2" xfId="38691"/>
    <cellStyle name="Normal 10 2 2 5 3 3" xfId="32059"/>
    <cellStyle name="Normal 10 2 2 5 4" xfId="11952"/>
    <cellStyle name="Normal 10 2 2 5 4 2" xfId="35375"/>
    <cellStyle name="Normal 10 2 2 5 5" xfId="23424"/>
    <cellStyle name="Normal 10 2 2 5 5 2" xfId="45769"/>
    <cellStyle name="Normal 10 2 2 5 6" xfId="28743"/>
    <cellStyle name="Normal 10 2 2 6" xfId="23364"/>
    <cellStyle name="Normal 10 2 2 6 2" xfId="45709"/>
    <cellStyle name="Normal 10 2 3" xfId="1072"/>
    <cellStyle name="Normal 10 2 3 10" xfId="7742"/>
    <cellStyle name="Normal 10 2 3 10 2" xfId="14457"/>
    <cellStyle name="Normal 10 2 3 10 2 2" xfId="37878"/>
    <cellStyle name="Normal 10 2 3 10 3" xfId="20616"/>
    <cellStyle name="Normal 10 2 3 10 3 2" xfId="43067"/>
    <cellStyle name="Normal 10 2 3 10 4" xfId="31246"/>
    <cellStyle name="Normal 10 2 3 11" xfId="11139"/>
    <cellStyle name="Normal 10 2 3 11 2" xfId="21536"/>
    <cellStyle name="Normal 10 2 3 11 2 2" xfId="43985"/>
    <cellStyle name="Normal 10 2 3 11 3" xfId="34562"/>
    <cellStyle name="Normal 10 2 3 12" xfId="17899"/>
    <cellStyle name="Normal 10 2 3 12 2" xfId="41208"/>
    <cellStyle name="Normal 10 2 3 13" xfId="23320"/>
    <cellStyle name="Normal 10 2 3 13 2" xfId="45686"/>
    <cellStyle name="Normal 10 2 3 14" xfId="27930"/>
    <cellStyle name="Normal 10 2 3 2" xfId="1418"/>
    <cellStyle name="Normal 10 2 3 2 10" xfId="11167"/>
    <cellStyle name="Normal 10 2 3 2 10 2" xfId="21537"/>
    <cellStyle name="Normal 10 2 3 2 10 2 2" xfId="43986"/>
    <cellStyle name="Normal 10 2 3 2 10 3" xfId="34590"/>
    <cellStyle name="Normal 10 2 3 2 11" xfId="17900"/>
    <cellStyle name="Normal 10 2 3 2 11 2" xfId="41209"/>
    <cellStyle name="Normal 10 2 3 2 12" xfId="23319"/>
    <cellStyle name="Normal 10 2 3 2 12 2" xfId="45685"/>
    <cellStyle name="Normal 10 2 3 2 13" xfId="27958"/>
    <cellStyle name="Normal 10 2 3 2 2" xfId="1458"/>
    <cellStyle name="Normal 10 2 3 2 2 10" xfId="17901"/>
    <cellStyle name="Normal 10 2 3 2 2 10 2" xfId="41210"/>
    <cellStyle name="Normal 10 2 3 2 2 11" xfId="23318"/>
    <cellStyle name="Normal 10 2 3 2 2 11 2" xfId="45684"/>
    <cellStyle name="Normal 10 2 3 2 2 12" xfId="27994"/>
    <cellStyle name="Normal 10 2 3 2 2 2" xfId="1568"/>
    <cellStyle name="Normal 10 2 3 2 2 2 10" xfId="23317"/>
    <cellStyle name="Normal 10 2 3 2 2 2 10 2" xfId="45683"/>
    <cellStyle name="Normal 10 2 3 2 2 2 11" xfId="28011"/>
    <cellStyle name="Normal 10 2 3 2 2 2 2" xfId="1790"/>
    <cellStyle name="Normal 10 2 3 2 2 2 2 10" xfId="28142"/>
    <cellStyle name="Normal 10 2 3 2 2 2 2 2" xfId="2150"/>
    <cellStyle name="Normal 10 2 3 2 2 2 2 2 2" xfId="5425"/>
    <cellStyle name="Normal 10 2 3 2 2 2 2 2 2 2" xfId="7251"/>
    <cellStyle name="Normal 10 2 3 2 2 2 2 2 2 2 2" xfId="10582"/>
    <cellStyle name="Normal 10 2 3 2 2 2 2 2 2 2 2 2" xfId="17286"/>
    <cellStyle name="Normal 10 2 3 2 2 2 2 2 2 2 2 2 2" xfId="40707"/>
    <cellStyle name="Normal 10 2 3 2 2 2 2 2 2 2 2 3" xfId="22998"/>
    <cellStyle name="Normal 10 2 3 2 2 2 2 2 2 2 2 3 2" xfId="45420"/>
    <cellStyle name="Normal 10 2 3 2 2 2 2 2 2 2 2 4" xfId="34075"/>
    <cellStyle name="Normal 10 2 3 2 2 2 2 2 2 2 3" xfId="13970"/>
    <cellStyle name="Normal 10 2 3 2 2 2 2 2 2 2 3 2" xfId="37391"/>
    <cellStyle name="Normal 10 2 3 2 2 2 2 2 2 2 4" xfId="20170"/>
    <cellStyle name="Normal 10 2 3 2 2 2 2 2 2 2 4 2" xfId="42705"/>
    <cellStyle name="Normal 10 2 3 2 2 2 2 2 2 2 5" xfId="30759"/>
    <cellStyle name="Normal 10 2 3 2 2 2 2 2 2 3" xfId="8924"/>
    <cellStyle name="Normal 10 2 3 2 2 2 2 2 2 3 2" xfId="15628"/>
    <cellStyle name="Normal 10 2 3 2 2 2 2 2 2 3 2 2" xfId="39049"/>
    <cellStyle name="Normal 10 2 3 2 2 2 2 2 2 3 3" xfId="21080"/>
    <cellStyle name="Normal 10 2 3 2 2 2 2 2 2 3 3 2" xfId="43531"/>
    <cellStyle name="Normal 10 2 3 2 2 2 2 2 2 3 4" xfId="32417"/>
    <cellStyle name="Normal 10 2 3 2 2 2 2 2 2 4" xfId="12312"/>
    <cellStyle name="Normal 10 2 3 2 2 2 2 2 2 4 2" xfId="22183"/>
    <cellStyle name="Normal 10 2 3 2 2 2 2 2 2 4 2 2" xfId="44605"/>
    <cellStyle name="Normal 10 2 3 2 2 2 2 2 2 4 3" xfId="35733"/>
    <cellStyle name="Normal 10 2 3 2 2 2 2 2 2 5" xfId="19331"/>
    <cellStyle name="Normal 10 2 3 2 2 2 2 2 2 5 2" xfId="41873"/>
    <cellStyle name="Normal 10 2 3 2 2 2 2 2 2 6" xfId="29101"/>
    <cellStyle name="Normal 10 2 3 2 2 2 2 2 3" xfId="6342"/>
    <cellStyle name="Normal 10 2 3 2 2 2 2 2 3 2" xfId="9676"/>
    <cellStyle name="Normal 10 2 3 2 2 2 2 2 3 2 2" xfId="16380"/>
    <cellStyle name="Normal 10 2 3 2 2 2 2 2 3 2 2 2" xfId="39801"/>
    <cellStyle name="Normal 10 2 3 2 2 2 2 2 3 2 3" xfId="22591"/>
    <cellStyle name="Normal 10 2 3 2 2 2 2 2 3 2 3 2" xfId="45013"/>
    <cellStyle name="Normal 10 2 3 2 2 2 2 2 3 2 4" xfId="33169"/>
    <cellStyle name="Normal 10 2 3 2 2 2 2 2 3 3" xfId="13064"/>
    <cellStyle name="Normal 10 2 3 2 2 2 2 2 3 3 2" xfId="36485"/>
    <cellStyle name="Normal 10 2 3 2 2 2 2 2 3 4" xfId="19754"/>
    <cellStyle name="Normal 10 2 3 2 2 2 2 2 3 4 2" xfId="42289"/>
    <cellStyle name="Normal 10 2 3 2 2 2 2 2 3 5" xfId="29853"/>
    <cellStyle name="Normal 10 2 3 2 2 2 2 2 4" xfId="8009"/>
    <cellStyle name="Normal 10 2 3 2 2 2 2 2 4 2" xfId="14722"/>
    <cellStyle name="Normal 10 2 3 2 2 2 2 2 4 2 2" xfId="38143"/>
    <cellStyle name="Normal 10 2 3 2 2 2 2 2 4 3" xfId="20621"/>
    <cellStyle name="Normal 10 2 3 2 2 2 2 2 4 3 2" xfId="43072"/>
    <cellStyle name="Normal 10 2 3 2 2 2 2 2 4 4" xfId="31511"/>
    <cellStyle name="Normal 10 2 3 2 2 2 2 2 5" xfId="11404"/>
    <cellStyle name="Normal 10 2 3 2 2 2 2 2 5 2" xfId="21749"/>
    <cellStyle name="Normal 10 2 3 2 2 2 2 2 5 2 2" xfId="44191"/>
    <cellStyle name="Normal 10 2 3 2 2 2 2 2 5 3" xfId="34827"/>
    <cellStyle name="Normal 10 2 3 2 2 2 2 2 6" xfId="18504"/>
    <cellStyle name="Normal 10 2 3 2 2 2 2 2 6 2" xfId="41448"/>
    <cellStyle name="Normal 10 2 3 2 2 2 2 2 7" xfId="25748"/>
    <cellStyle name="Normal 10 2 3 2 2 2 2 2 7 2" xfId="47993"/>
    <cellStyle name="Normal 10 2 3 2 2 2 2 2 8" xfId="28195"/>
    <cellStyle name="Normal 10 2 3 2 2 2 2 3" xfId="2787"/>
    <cellStyle name="Normal 10 2 3 2 2 2 2 3 2" xfId="5879"/>
    <cellStyle name="Normal 10 2 3 2 2 2 2 3 2 2" xfId="7661"/>
    <cellStyle name="Normal 10 2 3 2 2 2 2 3 2 2 2" xfId="10990"/>
    <cellStyle name="Normal 10 2 3 2 2 2 2 3 2 2 2 2" xfId="17694"/>
    <cellStyle name="Normal 10 2 3 2 2 2 2 3 2 2 2 2 2" xfId="41115"/>
    <cellStyle name="Normal 10 2 3 2 2 2 2 3 2 2 2 3" xfId="34483"/>
    <cellStyle name="Normal 10 2 3 2 2 2 2 3 2 2 3" xfId="14378"/>
    <cellStyle name="Normal 10 2 3 2 2 2 2 3 2 2 3 2" xfId="37799"/>
    <cellStyle name="Normal 10 2 3 2 2 2 2 3 2 2 4" xfId="22798"/>
    <cellStyle name="Normal 10 2 3 2 2 2 2 3 2 2 4 2" xfId="45220"/>
    <cellStyle name="Normal 10 2 3 2 2 2 2 3 2 2 5" xfId="31167"/>
    <cellStyle name="Normal 10 2 3 2 2 2 2 3 2 3" xfId="9332"/>
    <cellStyle name="Normal 10 2 3 2 2 2 2 3 2 3 2" xfId="16036"/>
    <cellStyle name="Normal 10 2 3 2 2 2 2 3 2 3 2 2" xfId="39457"/>
    <cellStyle name="Normal 10 2 3 2 2 2 2 3 2 3 3" xfId="32825"/>
    <cellStyle name="Normal 10 2 3 2 2 2 2 3 2 4" xfId="12720"/>
    <cellStyle name="Normal 10 2 3 2 2 2 2 3 2 4 2" xfId="36141"/>
    <cellStyle name="Normal 10 2 3 2 2 2 2 3 2 5" xfId="19962"/>
    <cellStyle name="Normal 10 2 3 2 2 2 2 3 2 5 2" xfId="42497"/>
    <cellStyle name="Normal 10 2 3 2 2 2 2 3 2 6" xfId="29509"/>
    <cellStyle name="Normal 10 2 3 2 2 2 2 3 3" xfId="6762"/>
    <cellStyle name="Normal 10 2 3 2 2 2 2 3 3 2" xfId="10094"/>
    <cellStyle name="Normal 10 2 3 2 2 2 2 3 3 2 2" xfId="16798"/>
    <cellStyle name="Normal 10 2 3 2 2 2 2 3 3 2 2 2" xfId="40219"/>
    <cellStyle name="Normal 10 2 3 2 2 2 2 3 3 2 3" xfId="33587"/>
    <cellStyle name="Normal 10 2 3 2 2 2 2 3 3 3" xfId="13482"/>
    <cellStyle name="Normal 10 2 3 2 2 2 2 3 3 3 2" xfId="36903"/>
    <cellStyle name="Normal 10 2 3 2 2 2 2 3 3 4" xfId="21079"/>
    <cellStyle name="Normal 10 2 3 2 2 2 2 3 3 4 2" xfId="43530"/>
    <cellStyle name="Normal 10 2 3 2 2 2 2 3 3 5" xfId="30271"/>
    <cellStyle name="Normal 10 2 3 2 2 2 2 3 4" xfId="8428"/>
    <cellStyle name="Normal 10 2 3 2 2 2 2 3 4 2" xfId="15140"/>
    <cellStyle name="Normal 10 2 3 2 2 2 2 3 4 2 2" xfId="38561"/>
    <cellStyle name="Normal 10 2 3 2 2 2 2 3 4 3" xfId="21971"/>
    <cellStyle name="Normal 10 2 3 2 2 2 2 3 4 3 2" xfId="44399"/>
    <cellStyle name="Normal 10 2 3 2 2 2 2 3 4 4" xfId="31929"/>
    <cellStyle name="Normal 10 2 3 2 2 2 2 3 5" xfId="11822"/>
    <cellStyle name="Normal 10 2 3 2 2 2 2 3 5 2" xfId="35245"/>
    <cellStyle name="Normal 10 2 3 2 2 2 2 3 6" xfId="19108"/>
    <cellStyle name="Normal 10 2 3 2 2 2 2 3 6 2" xfId="41665"/>
    <cellStyle name="Normal 10 2 3 2 2 2 2 3 7" xfId="28613"/>
    <cellStyle name="Normal 10 2 3 2 2 2 2 4" xfId="3759"/>
    <cellStyle name="Normal 10 2 3 2 2 2 2 4 2" xfId="6897"/>
    <cellStyle name="Normal 10 2 3 2 2 2 2 4 2 2" xfId="10229"/>
    <cellStyle name="Normal 10 2 3 2 2 2 2 4 2 2 2" xfId="16933"/>
    <cellStyle name="Normal 10 2 3 2 2 2 2 4 2 2 2 2" xfId="40354"/>
    <cellStyle name="Normal 10 2 3 2 2 2 2 4 2 2 3" xfId="33722"/>
    <cellStyle name="Normal 10 2 3 2 2 2 2 4 2 3" xfId="13617"/>
    <cellStyle name="Normal 10 2 3 2 2 2 2 4 2 3 2" xfId="37038"/>
    <cellStyle name="Normal 10 2 3 2 2 2 2 4 2 4" xfId="22391"/>
    <cellStyle name="Normal 10 2 3 2 2 2 2 4 2 4 2" xfId="44813"/>
    <cellStyle name="Normal 10 2 3 2 2 2 2 4 2 5" xfId="30406"/>
    <cellStyle name="Normal 10 2 3 2 2 2 2 4 3" xfId="8564"/>
    <cellStyle name="Normal 10 2 3 2 2 2 2 4 3 2" xfId="15275"/>
    <cellStyle name="Normal 10 2 3 2 2 2 2 4 3 2 2" xfId="38696"/>
    <cellStyle name="Normal 10 2 3 2 2 2 2 4 3 3" xfId="32064"/>
    <cellStyle name="Normal 10 2 3 2 2 2 2 4 4" xfId="11957"/>
    <cellStyle name="Normal 10 2 3 2 2 2 2 4 4 2" xfId="35380"/>
    <cellStyle name="Normal 10 2 3 2 2 2 2 4 5" xfId="19544"/>
    <cellStyle name="Normal 10 2 3 2 2 2 2 4 5 2" xfId="42081"/>
    <cellStyle name="Normal 10 2 3 2 2 2 2 4 6" xfId="28748"/>
    <cellStyle name="Normal 10 2 3 2 2 2 2 5" xfId="6289"/>
    <cellStyle name="Normal 10 2 3 2 2 2 2 5 2" xfId="9623"/>
    <cellStyle name="Normal 10 2 3 2 2 2 2 5 2 2" xfId="16327"/>
    <cellStyle name="Normal 10 2 3 2 2 2 2 5 2 2 2" xfId="39748"/>
    <cellStyle name="Normal 10 2 3 2 2 2 2 5 2 3" xfId="33116"/>
    <cellStyle name="Normal 10 2 3 2 2 2 2 5 3" xfId="13011"/>
    <cellStyle name="Normal 10 2 3 2 2 2 2 5 3 2" xfId="36432"/>
    <cellStyle name="Normal 10 2 3 2 2 2 2 5 4" xfId="20620"/>
    <cellStyle name="Normal 10 2 3 2 2 2 2 5 4 2" xfId="43071"/>
    <cellStyle name="Normal 10 2 3 2 2 2 2 5 5" xfId="29800"/>
    <cellStyle name="Normal 10 2 3 2 2 2 2 6" xfId="7955"/>
    <cellStyle name="Normal 10 2 3 2 2 2 2 6 2" xfId="14669"/>
    <cellStyle name="Normal 10 2 3 2 2 2 2 6 2 2" xfId="38090"/>
    <cellStyle name="Normal 10 2 3 2 2 2 2 6 3" xfId="21540"/>
    <cellStyle name="Normal 10 2 3 2 2 2 2 6 3 2" xfId="43989"/>
    <cellStyle name="Normal 10 2 3 2 2 2 2 6 4" xfId="31458"/>
    <cellStyle name="Normal 10 2 3 2 2 2 2 7" xfId="11351"/>
    <cellStyle name="Normal 10 2 3 2 2 2 2 7 2" xfId="34774"/>
    <cellStyle name="Normal 10 2 3 2 2 2 2 8" xfId="17903"/>
    <cellStyle name="Normal 10 2 3 2 2 2 2 8 2" xfId="41212"/>
    <cellStyle name="Normal 10 2 3 2 2 2 2 9" xfId="23221"/>
    <cellStyle name="Normal 10 2 3 2 2 2 2 9 2" xfId="45630"/>
    <cellStyle name="Normal 10 2 3 2 2 2 3" xfId="2149"/>
    <cellStyle name="Normal 10 2 3 2 2 2 3 2" xfId="5424"/>
    <cellStyle name="Normal 10 2 3 2 2 2 3 2 2" xfId="7250"/>
    <cellStyle name="Normal 10 2 3 2 2 2 3 2 2 2" xfId="10581"/>
    <cellStyle name="Normal 10 2 3 2 2 2 3 2 2 2 2" xfId="17285"/>
    <cellStyle name="Normal 10 2 3 2 2 2 3 2 2 2 2 2" xfId="40706"/>
    <cellStyle name="Normal 10 2 3 2 2 2 3 2 2 2 3" xfId="22997"/>
    <cellStyle name="Normal 10 2 3 2 2 2 3 2 2 2 3 2" xfId="45419"/>
    <cellStyle name="Normal 10 2 3 2 2 2 3 2 2 2 4" xfId="34074"/>
    <cellStyle name="Normal 10 2 3 2 2 2 3 2 2 3" xfId="13969"/>
    <cellStyle name="Normal 10 2 3 2 2 2 3 2 2 3 2" xfId="37390"/>
    <cellStyle name="Normal 10 2 3 2 2 2 3 2 2 4" xfId="20169"/>
    <cellStyle name="Normal 10 2 3 2 2 2 3 2 2 4 2" xfId="42704"/>
    <cellStyle name="Normal 10 2 3 2 2 2 3 2 2 5" xfId="30758"/>
    <cellStyle name="Normal 10 2 3 2 2 2 3 2 3" xfId="8923"/>
    <cellStyle name="Normal 10 2 3 2 2 2 3 2 3 2" xfId="15627"/>
    <cellStyle name="Normal 10 2 3 2 2 2 3 2 3 2 2" xfId="39048"/>
    <cellStyle name="Normal 10 2 3 2 2 2 3 2 3 3" xfId="21081"/>
    <cellStyle name="Normal 10 2 3 2 2 2 3 2 3 3 2" xfId="43532"/>
    <cellStyle name="Normal 10 2 3 2 2 2 3 2 3 4" xfId="32416"/>
    <cellStyle name="Normal 10 2 3 2 2 2 3 2 4" xfId="12311"/>
    <cellStyle name="Normal 10 2 3 2 2 2 3 2 4 2" xfId="22182"/>
    <cellStyle name="Normal 10 2 3 2 2 2 3 2 4 2 2" xfId="44604"/>
    <cellStyle name="Normal 10 2 3 2 2 2 3 2 4 3" xfId="35732"/>
    <cellStyle name="Normal 10 2 3 2 2 2 3 2 5" xfId="19330"/>
    <cellStyle name="Normal 10 2 3 2 2 2 3 2 5 2" xfId="41872"/>
    <cellStyle name="Normal 10 2 3 2 2 2 3 2 6" xfId="27838"/>
    <cellStyle name="Normal 10 2 3 2 2 2 3 2 6 2" xfId="50083"/>
    <cellStyle name="Normal 10 2 3 2 2 2 3 2 7" xfId="29100"/>
    <cellStyle name="Normal 10 2 3 2 2 2 3 3" xfId="6341"/>
    <cellStyle name="Normal 10 2 3 2 2 2 3 3 2" xfId="9675"/>
    <cellStyle name="Normal 10 2 3 2 2 2 3 3 2 2" xfId="16379"/>
    <cellStyle name="Normal 10 2 3 2 2 2 3 3 2 2 2" xfId="39800"/>
    <cellStyle name="Normal 10 2 3 2 2 2 3 3 2 3" xfId="22590"/>
    <cellStyle name="Normal 10 2 3 2 2 2 3 3 2 3 2" xfId="45012"/>
    <cellStyle name="Normal 10 2 3 2 2 2 3 3 2 4" xfId="33168"/>
    <cellStyle name="Normal 10 2 3 2 2 2 3 3 3" xfId="13063"/>
    <cellStyle name="Normal 10 2 3 2 2 2 3 3 3 2" xfId="36484"/>
    <cellStyle name="Normal 10 2 3 2 2 2 3 3 4" xfId="19753"/>
    <cellStyle name="Normal 10 2 3 2 2 2 3 3 4 2" xfId="42288"/>
    <cellStyle name="Normal 10 2 3 2 2 2 3 3 5" xfId="29852"/>
    <cellStyle name="Normal 10 2 3 2 2 2 3 4" xfId="8008"/>
    <cellStyle name="Normal 10 2 3 2 2 2 3 4 2" xfId="14721"/>
    <cellStyle name="Normal 10 2 3 2 2 2 3 4 2 2" xfId="38142"/>
    <cellStyle name="Normal 10 2 3 2 2 2 3 4 3" xfId="20622"/>
    <cellStyle name="Normal 10 2 3 2 2 2 3 4 3 2" xfId="43073"/>
    <cellStyle name="Normal 10 2 3 2 2 2 3 4 4" xfId="31510"/>
    <cellStyle name="Normal 10 2 3 2 2 2 3 5" xfId="11403"/>
    <cellStyle name="Normal 10 2 3 2 2 2 3 5 2" xfId="21748"/>
    <cellStyle name="Normal 10 2 3 2 2 2 3 5 2 2" xfId="44190"/>
    <cellStyle name="Normal 10 2 3 2 2 2 3 5 3" xfId="34826"/>
    <cellStyle name="Normal 10 2 3 2 2 2 3 6" xfId="18503"/>
    <cellStyle name="Normal 10 2 3 2 2 2 3 6 2" xfId="41447"/>
    <cellStyle name="Normal 10 2 3 2 2 2 3 7" xfId="25533"/>
    <cellStyle name="Normal 10 2 3 2 2 2 3 7 2" xfId="47778"/>
    <cellStyle name="Normal 10 2 3 2 2 2 3 8" xfId="28194"/>
    <cellStyle name="Normal 10 2 3 2 2 2 4" xfId="2655"/>
    <cellStyle name="Normal 10 2 3 2 2 2 4 2" xfId="5748"/>
    <cellStyle name="Normal 10 2 3 2 2 2 4 2 2" xfId="7530"/>
    <cellStyle name="Normal 10 2 3 2 2 2 4 2 2 2" xfId="10859"/>
    <cellStyle name="Normal 10 2 3 2 2 2 4 2 2 2 2" xfId="17563"/>
    <cellStyle name="Normal 10 2 3 2 2 2 4 2 2 2 2 2" xfId="40984"/>
    <cellStyle name="Normal 10 2 3 2 2 2 4 2 2 2 3" xfId="34352"/>
    <cellStyle name="Normal 10 2 3 2 2 2 4 2 2 3" xfId="14247"/>
    <cellStyle name="Normal 10 2 3 2 2 2 4 2 2 3 2" xfId="37668"/>
    <cellStyle name="Normal 10 2 3 2 2 2 4 2 2 4" xfId="22797"/>
    <cellStyle name="Normal 10 2 3 2 2 2 4 2 2 4 2" xfId="45219"/>
    <cellStyle name="Normal 10 2 3 2 2 2 4 2 2 5" xfId="31036"/>
    <cellStyle name="Normal 10 2 3 2 2 2 4 2 3" xfId="9201"/>
    <cellStyle name="Normal 10 2 3 2 2 2 4 2 3 2" xfId="15905"/>
    <cellStyle name="Normal 10 2 3 2 2 2 4 2 3 2 2" xfId="39326"/>
    <cellStyle name="Normal 10 2 3 2 2 2 4 2 3 3" xfId="32694"/>
    <cellStyle name="Normal 10 2 3 2 2 2 4 2 4" xfId="12589"/>
    <cellStyle name="Normal 10 2 3 2 2 2 4 2 4 2" xfId="36010"/>
    <cellStyle name="Normal 10 2 3 2 2 2 4 2 5" xfId="19961"/>
    <cellStyle name="Normal 10 2 3 2 2 2 4 2 5 2" xfId="42496"/>
    <cellStyle name="Normal 10 2 3 2 2 2 4 2 6" xfId="29378"/>
    <cellStyle name="Normal 10 2 3 2 2 2 4 3" xfId="6631"/>
    <cellStyle name="Normal 10 2 3 2 2 2 4 3 2" xfId="9963"/>
    <cellStyle name="Normal 10 2 3 2 2 2 4 3 2 2" xfId="16667"/>
    <cellStyle name="Normal 10 2 3 2 2 2 4 3 2 2 2" xfId="40088"/>
    <cellStyle name="Normal 10 2 3 2 2 2 4 3 2 3" xfId="33456"/>
    <cellStyle name="Normal 10 2 3 2 2 2 4 3 3" xfId="13351"/>
    <cellStyle name="Normal 10 2 3 2 2 2 4 3 3 2" xfId="36772"/>
    <cellStyle name="Normal 10 2 3 2 2 2 4 3 4" xfId="21078"/>
    <cellStyle name="Normal 10 2 3 2 2 2 4 3 4 2" xfId="43529"/>
    <cellStyle name="Normal 10 2 3 2 2 2 4 3 5" xfId="30140"/>
    <cellStyle name="Normal 10 2 3 2 2 2 4 4" xfId="8297"/>
    <cellStyle name="Normal 10 2 3 2 2 2 4 4 2" xfId="15009"/>
    <cellStyle name="Normal 10 2 3 2 2 2 4 4 2 2" xfId="38430"/>
    <cellStyle name="Normal 10 2 3 2 2 2 4 4 3" xfId="21970"/>
    <cellStyle name="Normal 10 2 3 2 2 2 4 4 3 2" xfId="44398"/>
    <cellStyle name="Normal 10 2 3 2 2 2 4 4 4" xfId="31798"/>
    <cellStyle name="Normal 10 2 3 2 2 2 4 5" xfId="11691"/>
    <cellStyle name="Normal 10 2 3 2 2 2 4 5 2" xfId="35114"/>
    <cellStyle name="Normal 10 2 3 2 2 2 4 6" xfId="19107"/>
    <cellStyle name="Normal 10 2 3 2 2 2 4 6 2" xfId="41664"/>
    <cellStyle name="Normal 10 2 3 2 2 2 4 7" xfId="25747"/>
    <cellStyle name="Normal 10 2 3 2 2 2 4 7 2" xfId="47992"/>
    <cellStyle name="Normal 10 2 3 2 2 2 4 8" xfId="28482"/>
    <cellStyle name="Normal 10 2 3 2 2 2 5" xfId="3758"/>
    <cellStyle name="Normal 10 2 3 2 2 2 5 2" xfId="6896"/>
    <cellStyle name="Normal 10 2 3 2 2 2 5 2 2" xfId="10228"/>
    <cellStyle name="Normal 10 2 3 2 2 2 5 2 2 2" xfId="16932"/>
    <cellStyle name="Normal 10 2 3 2 2 2 5 2 2 2 2" xfId="40353"/>
    <cellStyle name="Normal 10 2 3 2 2 2 5 2 2 3" xfId="33721"/>
    <cellStyle name="Normal 10 2 3 2 2 2 5 2 3" xfId="13616"/>
    <cellStyle name="Normal 10 2 3 2 2 2 5 2 3 2" xfId="37037"/>
    <cellStyle name="Normal 10 2 3 2 2 2 5 2 4" xfId="22390"/>
    <cellStyle name="Normal 10 2 3 2 2 2 5 2 4 2" xfId="44812"/>
    <cellStyle name="Normal 10 2 3 2 2 2 5 2 5" xfId="30405"/>
    <cellStyle name="Normal 10 2 3 2 2 2 5 3" xfId="8563"/>
    <cellStyle name="Normal 10 2 3 2 2 2 5 3 2" xfId="15274"/>
    <cellStyle name="Normal 10 2 3 2 2 2 5 3 2 2" xfId="38695"/>
    <cellStyle name="Normal 10 2 3 2 2 2 5 3 3" xfId="32063"/>
    <cellStyle name="Normal 10 2 3 2 2 2 5 4" xfId="11956"/>
    <cellStyle name="Normal 10 2 3 2 2 2 5 4 2" xfId="35379"/>
    <cellStyle name="Normal 10 2 3 2 2 2 5 5" xfId="19543"/>
    <cellStyle name="Normal 10 2 3 2 2 2 5 5 2" xfId="42080"/>
    <cellStyle name="Normal 10 2 3 2 2 2 5 6" xfId="28747"/>
    <cellStyle name="Normal 10 2 3 2 2 2 6" xfId="6158"/>
    <cellStyle name="Normal 10 2 3 2 2 2 6 2" xfId="9492"/>
    <cellStyle name="Normal 10 2 3 2 2 2 6 2 2" xfId="16196"/>
    <cellStyle name="Normal 10 2 3 2 2 2 6 2 2 2" xfId="39617"/>
    <cellStyle name="Normal 10 2 3 2 2 2 6 2 3" xfId="32985"/>
    <cellStyle name="Normal 10 2 3 2 2 2 6 3" xfId="12880"/>
    <cellStyle name="Normal 10 2 3 2 2 2 6 3 2" xfId="36301"/>
    <cellStyle name="Normal 10 2 3 2 2 2 6 4" xfId="20619"/>
    <cellStyle name="Normal 10 2 3 2 2 2 6 4 2" xfId="43070"/>
    <cellStyle name="Normal 10 2 3 2 2 2 6 5" xfId="29669"/>
    <cellStyle name="Normal 10 2 3 2 2 2 7" xfId="7824"/>
    <cellStyle name="Normal 10 2 3 2 2 2 7 2" xfId="14538"/>
    <cellStyle name="Normal 10 2 3 2 2 2 7 2 2" xfId="37959"/>
    <cellStyle name="Normal 10 2 3 2 2 2 7 3" xfId="21539"/>
    <cellStyle name="Normal 10 2 3 2 2 2 7 3 2" xfId="43988"/>
    <cellStyle name="Normal 10 2 3 2 2 2 7 4" xfId="31327"/>
    <cellStyle name="Normal 10 2 3 2 2 2 8" xfId="11220"/>
    <cellStyle name="Normal 10 2 3 2 2 2 8 2" xfId="34643"/>
    <cellStyle name="Normal 10 2 3 2 2 2 9" xfId="17902"/>
    <cellStyle name="Normal 10 2 3 2 2 2 9 2" xfId="41211"/>
    <cellStyle name="Normal 10 2 3 2 2 3" xfId="1773"/>
    <cellStyle name="Normal 10 2 3 2 2 3 10" xfId="28125"/>
    <cellStyle name="Normal 10 2 3 2 2 3 2" xfId="2151"/>
    <cellStyle name="Normal 10 2 3 2 2 3 2 2" xfId="5426"/>
    <cellStyle name="Normal 10 2 3 2 2 3 2 2 2" xfId="7252"/>
    <cellStyle name="Normal 10 2 3 2 2 3 2 2 2 2" xfId="10583"/>
    <cellStyle name="Normal 10 2 3 2 2 3 2 2 2 2 2" xfId="17287"/>
    <cellStyle name="Normal 10 2 3 2 2 3 2 2 2 2 2 2" xfId="40708"/>
    <cellStyle name="Normal 10 2 3 2 2 3 2 2 2 2 3" xfId="22999"/>
    <cellStyle name="Normal 10 2 3 2 2 3 2 2 2 2 3 2" xfId="45421"/>
    <cellStyle name="Normal 10 2 3 2 2 3 2 2 2 2 4" xfId="34076"/>
    <cellStyle name="Normal 10 2 3 2 2 3 2 2 2 3" xfId="13971"/>
    <cellStyle name="Normal 10 2 3 2 2 3 2 2 2 3 2" xfId="37392"/>
    <cellStyle name="Normal 10 2 3 2 2 3 2 2 2 4" xfId="20171"/>
    <cellStyle name="Normal 10 2 3 2 2 3 2 2 2 4 2" xfId="42706"/>
    <cellStyle name="Normal 10 2 3 2 2 3 2 2 2 5" xfId="30760"/>
    <cellStyle name="Normal 10 2 3 2 2 3 2 2 3" xfId="8925"/>
    <cellStyle name="Normal 10 2 3 2 2 3 2 2 3 2" xfId="15629"/>
    <cellStyle name="Normal 10 2 3 2 2 3 2 2 3 2 2" xfId="39050"/>
    <cellStyle name="Normal 10 2 3 2 2 3 2 2 3 3" xfId="21083"/>
    <cellStyle name="Normal 10 2 3 2 2 3 2 2 3 3 2" xfId="43534"/>
    <cellStyle name="Normal 10 2 3 2 2 3 2 2 3 4" xfId="32418"/>
    <cellStyle name="Normal 10 2 3 2 2 3 2 2 4" xfId="12313"/>
    <cellStyle name="Normal 10 2 3 2 2 3 2 2 4 2" xfId="22184"/>
    <cellStyle name="Normal 10 2 3 2 2 3 2 2 4 2 2" xfId="44606"/>
    <cellStyle name="Normal 10 2 3 2 2 3 2 2 4 3" xfId="35734"/>
    <cellStyle name="Normal 10 2 3 2 2 3 2 2 5" xfId="19332"/>
    <cellStyle name="Normal 10 2 3 2 2 3 2 2 5 2" xfId="41874"/>
    <cellStyle name="Normal 10 2 3 2 2 3 2 2 6" xfId="29102"/>
    <cellStyle name="Normal 10 2 3 2 2 3 2 3" xfId="6343"/>
    <cellStyle name="Normal 10 2 3 2 2 3 2 3 2" xfId="9677"/>
    <cellStyle name="Normal 10 2 3 2 2 3 2 3 2 2" xfId="16381"/>
    <cellStyle name="Normal 10 2 3 2 2 3 2 3 2 2 2" xfId="39802"/>
    <cellStyle name="Normal 10 2 3 2 2 3 2 3 2 3" xfId="22592"/>
    <cellStyle name="Normal 10 2 3 2 2 3 2 3 2 3 2" xfId="45014"/>
    <cellStyle name="Normal 10 2 3 2 2 3 2 3 2 4" xfId="33170"/>
    <cellStyle name="Normal 10 2 3 2 2 3 2 3 3" xfId="13065"/>
    <cellStyle name="Normal 10 2 3 2 2 3 2 3 3 2" xfId="36486"/>
    <cellStyle name="Normal 10 2 3 2 2 3 2 3 4" xfId="19755"/>
    <cellStyle name="Normal 10 2 3 2 2 3 2 3 4 2" xfId="42290"/>
    <cellStyle name="Normal 10 2 3 2 2 3 2 3 5" xfId="29854"/>
    <cellStyle name="Normal 10 2 3 2 2 3 2 4" xfId="8010"/>
    <cellStyle name="Normal 10 2 3 2 2 3 2 4 2" xfId="14723"/>
    <cellStyle name="Normal 10 2 3 2 2 3 2 4 2 2" xfId="38144"/>
    <cellStyle name="Normal 10 2 3 2 2 3 2 4 3" xfId="20624"/>
    <cellStyle name="Normal 10 2 3 2 2 3 2 4 3 2" xfId="43075"/>
    <cellStyle name="Normal 10 2 3 2 2 3 2 4 4" xfId="31512"/>
    <cellStyle name="Normal 10 2 3 2 2 3 2 5" xfId="11405"/>
    <cellStyle name="Normal 10 2 3 2 2 3 2 5 2" xfId="21750"/>
    <cellStyle name="Normal 10 2 3 2 2 3 2 5 2 2" xfId="44192"/>
    <cellStyle name="Normal 10 2 3 2 2 3 2 5 3" xfId="34828"/>
    <cellStyle name="Normal 10 2 3 2 2 3 2 6" xfId="18505"/>
    <cellStyle name="Normal 10 2 3 2 2 3 2 6 2" xfId="41449"/>
    <cellStyle name="Normal 10 2 3 2 2 3 2 7" xfId="25749"/>
    <cellStyle name="Normal 10 2 3 2 2 3 2 7 2" xfId="47994"/>
    <cellStyle name="Normal 10 2 3 2 2 3 2 8" xfId="28196"/>
    <cellStyle name="Normal 10 2 3 2 2 3 3" xfId="2770"/>
    <cellStyle name="Normal 10 2 3 2 2 3 3 2" xfId="5862"/>
    <cellStyle name="Normal 10 2 3 2 2 3 3 2 2" xfId="7644"/>
    <cellStyle name="Normal 10 2 3 2 2 3 3 2 2 2" xfId="10973"/>
    <cellStyle name="Normal 10 2 3 2 2 3 3 2 2 2 2" xfId="17677"/>
    <cellStyle name="Normal 10 2 3 2 2 3 3 2 2 2 2 2" xfId="41098"/>
    <cellStyle name="Normal 10 2 3 2 2 3 3 2 2 2 3" xfId="34466"/>
    <cellStyle name="Normal 10 2 3 2 2 3 3 2 2 3" xfId="14361"/>
    <cellStyle name="Normal 10 2 3 2 2 3 3 2 2 3 2" xfId="37782"/>
    <cellStyle name="Normal 10 2 3 2 2 3 3 2 2 4" xfId="22799"/>
    <cellStyle name="Normal 10 2 3 2 2 3 3 2 2 4 2" xfId="45221"/>
    <cellStyle name="Normal 10 2 3 2 2 3 3 2 2 5" xfId="31150"/>
    <cellStyle name="Normal 10 2 3 2 2 3 3 2 3" xfId="9315"/>
    <cellStyle name="Normal 10 2 3 2 2 3 3 2 3 2" xfId="16019"/>
    <cellStyle name="Normal 10 2 3 2 2 3 3 2 3 2 2" xfId="39440"/>
    <cellStyle name="Normal 10 2 3 2 2 3 3 2 3 3" xfId="32808"/>
    <cellStyle name="Normal 10 2 3 2 2 3 3 2 4" xfId="12703"/>
    <cellStyle name="Normal 10 2 3 2 2 3 3 2 4 2" xfId="36124"/>
    <cellStyle name="Normal 10 2 3 2 2 3 3 2 5" xfId="19963"/>
    <cellStyle name="Normal 10 2 3 2 2 3 3 2 5 2" xfId="42498"/>
    <cellStyle name="Normal 10 2 3 2 2 3 3 2 6" xfId="29492"/>
    <cellStyle name="Normal 10 2 3 2 2 3 3 3" xfId="6745"/>
    <cellStyle name="Normal 10 2 3 2 2 3 3 3 2" xfId="10077"/>
    <cellStyle name="Normal 10 2 3 2 2 3 3 3 2 2" xfId="16781"/>
    <cellStyle name="Normal 10 2 3 2 2 3 3 3 2 2 2" xfId="40202"/>
    <cellStyle name="Normal 10 2 3 2 2 3 3 3 2 3" xfId="33570"/>
    <cellStyle name="Normal 10 2 3 2 2 3 3 3 3" xfId="13465"/>
    <cellStyle name="Normal 10 2 3 2 2 3 3 3 3 2" xfId="36886"/>
    <cellStyle name="Normal 10 2 3 2 2 3 3 3 4" xfId="21082"/>
    <cellStyle name="Normal 10 2 3 2 2 3 3 3 4 2" xfId="43533"/>
    <cellStyle name="Normal 10 2 3 2 2 3 3 3 5" xfId="30254"/>
    <cellStyle name="Normal 10 2 3 2 2 3 3 4" xfId="8411"/>
    <cellStyle name="Normal 10 2 3 2 2 3 3 4 2" xfId="15123"/>
    <cellStyle name="Normal 10 2 3 2 2 3 3 4 2 2" xfId="38544"/>
    <cellStyle name="Normal 10 2 3 2 2 3 3 4 3" xfId="21972"/>
    <cellStyle name="Normal 10 2 3 2 2 3 3 4 3 2" xfId="44400"/>
    <cellStyle name="Normal 10 2 3 2 2 3 3 4 4" xfId="31912"/>
    <cellStyle name="Normal 10 2 3 2 2 3 3 5" xfId="11805"/>
    <cellStyle name="Normal 10 2 3 2 2 3 3 5 2" xfId="35228"/>
    <cellStyle name="Normal 10 2 3 2 2 3 3 6" xfId="19109"/>
    <cellStyle name="Normal 10 2 3 2 2 3 3 6 2" xfId="41666"/>
    <cellStyle name="Normal 10 2 3 2 2 3 3 7" xfId="28596"/>
    <cellStyle name="Normal 10 2 3 2 2 3 4" xfId="3760"/>
    <cellStyle name="Normal 10 2 3 2 2 3 4 2" xfId="6898"/>
    <cellStyle name="Normal 10 2 3 2 2 3 4 2 2" xfId="10230"/>
    <cellStyle name="Normal 10 2 3 2 2 3 4 2 2 2" xfId="16934"/>
    <cellStyle name="Normal 10 2 3 2 2 3 4 2 2 2 2" xfId="40355"/>
    <cellStyle name="Normal 10 2 3 2 2 3 4 2 2 3" xfId="33723"/>
    <cellStyle name="Normal 10 2 3 2 2 3 4 2 3" xfId="13618"/>
    <cellStyle name="Normal 10 2 3 2 2 3 4 2 3 2" xfId="37039"/>
    <cellStyle name="Normal 10 2 3 2 2 3 4 2 4" xfId="22392"/>
    <cellStyle name="Normal 10 2 3 2 2 3 4 2 4 2" xfId="44814"/>
    <cellStyle name="Normal 10 2 3 2 2 3 4 2 5" xfId="30407"/>
    <cellStyle name="Normal 10 2 3 2 2 3 4 3" xfId="8565"/>
    <cellStyle name="Normal 10 2 3 2 2 3 4 3 2" xfId="15276"/>
    <cellStyle name="Normal 10 2 3 2 2 3 4 3 2 2" xfId="38697"/>
    <cellStyle name="Normal 10 2 3 2 2 3 4 3 3" xfId="32065"/>
    <cellStyle name="Normal 10 2 3 2 2 3 4 4" xfId="11958"/>
    <cellStyle name="Normal 10 2 3 2 2 3 4 4 2" xfId="35381"/>
    <cellStyle name="Normal 10 2 3 2 2 3 4 5" xfId="19545"/>
    <cellStyle name="Normal 10 2 3 2 2 3 4 5 2" xfId="42082"/>
    <cellStyle name="Normal 10 2 3 2 2 3 4 6" xfId="28749"/>
    <cellStyle name="Normal 10 2 3 2 2 3 5" xfId="6272"/>
    <cellStyle name="Normal 10 2 3 2 2 3 5 2" xfId="9606"/>
    <cellStyle name="Normal 10 2 3 2 2 3 5 2 2" xfId="16310"/>
    <cellStyle name="Normal 10 2 3 2 2 3 5 2 2 2" xfId="39731"/>
    <cellStyle name="Normal 10 2 3 2 2 3 5 2 3" xfId="33099"/>
    <cellStyle name="Normal 10 2 3 2 2 3 5 3" xfId="12994"/>
    <cellStyle name="Normal 10 2 3 2 2 3 5 3 2" xfId="36415"/>
    <cellStyle name="Normal 10 2 3 2 2 3 5 4" xfId="20623"/>
    <cellStyle name="Normal 10 2 3 2 2 3 5 4 2" xfId="43074"/>
    <cellStyle name="Normal 10 2 3 2 2 3 5 5" xfId="29783"/>
    <cellStyle name="Normal 10 2 3 2 2 3 6" xfId="7938"/>
    <cellStyle name="Normal 10 2 3 2 2 3 6 2" xfId="14652"/>
    <cellStyle name="Normal 10 2 3 2 2 3 6 2 2" xfId="38073"/>
    <cellStyle name="Normal 10 2 3 2 2 3 6 3" xfId="21541"/>
    <cellStyle name="Normal 10 2 3 2 2 3 6 3 2" xfId="43990"/>
    <cellStyle name="Normal 10 2 3 2 2 3 6 4" xfId="31441"/>
    <cellStyle name="Normal 10 2 3 2 2 3 7" xfId="11334"/>
    <cellStyle name="Normal 10 2 3 2 2 3 7 2" xfId="34757"/>
    <cellStyle name="Normal 10 2 3 2 2 3 8" xfId="17904"/>
    <cellStyle name="Normal 10 2 3 2 2 3 8 2" xfId="41213"/>
    <cellStyle name="Normal 10 2 3 2 2 3 9" xfId="23214"/>
    <cellStyle name="Normal 10 2 3 2 2 3 9 2" xfId="45624"/>
    <cellStyle name="Normal 10 2 3 2 2 4" xfId="2148"/>
    <cellStyle name="Normal 10 2 3 2 2 4 2" xfId="5423"/>
    <cellStyle name="Normal 10 2 3 2 2 4 2 2" xfId="7249"/>
    <cellStyle name="Normal 10 2 3 2 2 4 2 2 2" xfId="10580"/>
    <cellStyle name="Normal 10 2 3 2 2 4 2 2 2 2" xfId="17284"/>
    <cellStyle name="Normal 10 2 3 2 2 4 2 2 2 2 2" xfId="40705"/>
    <cellStyle name="Normal 10 2 3 2 2 4 2 2 2 3" xfId="22996"/>
    <cellStyle name="Normal 10 2 3 2 2 4 2 2 2 3 2" xfId="45418"/>
    <cellStyle name="Normal 10 2 3 2 2 4 2 2 2 4" xfId="34073"/>
    <cellStyle name="Normal 10 2 3 2 2 4 2 2 3" xfId="13968"/>
    <cellStyle name="Normal 10 2 3 2 2 4 2 2 3 2" xfId="37389"/>
    <cellStyle name="Normal 10 2 3 2 2 4 2 2 4" xfId="20168"/>
    <cellStyle name="Normal 10 2 3 2 2 4 2 2 4 2" xfId="42703"/>
    <cellStyle name="Normal 10 2 3 2 2 4 2 2 5" xfId="30757"/>
    <cellStyle name="Normal 10 2 3 2 2 4 2 3" xfId="8922"/>
    <cellStyle name="Normal 10 2 3 2 2 4 2 3 2" xfId="15626"/>
    <cellStyle name="Normal 10 2 3 2 2 4 2 3 2 2" xfId="39047"/>
    <cellStyle name="Normal 10 2 3 2 2 4 2 3 3" xfId="21084"/>
    <cellStyle name="Normal 10 2 3 2 2 4 2 3 3 2" xfId="43535"/>
    <cellStyle name="Normal 10 2 3 2 2 4 2 3 4" xfId="32415"/>
    <cellStyle name="Normal 10 2 3 2 2 4 2 4" xfId="12310"/>
    <cellStyle name="Normal 10 2 3 2 2 4 2 4 2" xfId="22181"/>
    <cellStyle name="Normal 10 2 3 2 2 4 2 4 2 2" xfId="44603"/>
    <cellStyle name="Normal 10 2 3 2 2 4 2 4 3" xfId="35731"/>
    <cellStyle name="Normal 10 2 3 2 2 4 2 5" xfId="19329"/>
    <cellStyle name="Normal 10 2 3 2 2 4 2 5 2" xfId="41871"/>
    <cellStyle name="Normal 10 2 3 2 2 4 2 6" xfId="27502"/>
    <cellStyle name="Normal 10 2 3 2 2 4 2 6 2" xfId="49747"/>
    <cellStyle name="Normal 10 2 3 2 2 4 2 7" xfId="29099"/>
    <cellStyle name="Normal 10 2 3 2 2 4 3" xfId="6340"/>
    <cellStyle name="Normal 10 2 3 2 2 4 3 2" xfId="9674"/>
    <cellStyle name="Normal 10 2 3 2 2 4 3 2 2" xfId="16378"/>
    <cellStyle name="Normal 10 2 3 2 2 4 3 2 2 2" xfId="39799"/>
    <cellStyle name="Normal 10 2 3 2 2 4 3 2 3" xfId="22589"/>
    <cellStyle name="Normal 10 2 3 2 2 4 3 2 3 2" xfId="45011"/>
    <cellStyle name="Normal 10 2 3 2 2 4 3 2 4" xfId="33167"/>
    <cellStyle name="Normal 10 2 3 2 2 4 3 3" xfId="13062"/>
    <cellStyle name="Normal 10 2 3 2 2 4 3 3 2" xfId="36483"/>
    <cellStyle name="Normal 10 2 3 2 2 4 3 4" xfId="19752"/>
    <cellStyle name="Normal 10 2 3 2 2 4 3 4 2" xfId="42287"/>
    <cellStyle name="Normal 10 2 3 2 2 4 3 5" xfId="29851"/>
    <cellStyle name="Normal 10 2 3 2 2 4 4" xfId="8007"/>
    <cellStyle name="Normal 10 2 3 2 2 4 4 2" xfId="14720"/>
    <cellStyle name="Normal 10 2 3 2 2 4 4 2 2" xfId="38141"/>
    <cellStyle name="Normal 10 2 3 2 2 4 4 3" xfId="20625"/>
    <cellStyle name="Normal 10 2 3 2 2 4 4 3 2" xfId="43076"/>
    <cellStyle name="Normal 10 2 3 2 2 4 4 4" xfId="31509"/>
    <cellStyle name="Normal 10 2 3 2 2 4 5" xfId="11402"/>
    <cellStyle name="Normal 10 2 3 2 2 4 5 2" xfId="21747"/>
    <cellStyle name="Normal 10 2 3 2 2 4 5 2 2" xfId="44189"/>
    <cellStyle name="Normal 10 2 3 2 2 4 5 3" xfId="34825"/>
    <cellStyle name="Normal 10 2 3 2 2 4 6" xfId="18502"/>
    <cellStyle name="Normal 10 2 3 2 2 4 6 2" xfId="41446"/>
    <cellStyle name="Normal 10 2 3 2 2 4 7" xfId="25197"/>
    <cellStyle name="Normal 10 2 3 2 2 4 7 2" xfId="47442"/>
    <cellStyle name="Normal 10 2 3 2 2 4 8" xfId="28193"/>
    <cellStyle name="Normal 10 2 3 2 2 5" xfId="2638"/>
    <cellStyle name="Normal 10 2 3 2 2 5 2" xfId="5731"/>
    <cellStyle name="Normal 10 2 3 2 2 5 2 2" xfId="7513"/>
    <cellStyle name="Normal 10 2 3 2 2 5 2 2 2" xfId="10842"/>
    <cellStyle name="Normal 10 2 3 2 2 5 2 2 2 2" xfId="17546"/>
    <cellStyle name="Normal 10 2 3 2 2 5 2 2 2 2 2" xfId="40967"/>
    <cellStyle name="Normal 10 2 3 2 2 5 2 2 2 3" xfId="34335"/>
    <cellStyle name="Normal 10 2 3 2 2 5 2 2 3" xfId="14230"/>
    <cellStyle name="Normal 10 2 3 2 2 5 2 2 3 2" xfId="37651"/>
    <cellStyle name="Normal 10 2 3 2 2 5 2 2 4" xfId="20569"/>
    <cellStyle name="Normal 10 2 3 2 2 5 2 2 4 2" xfId="43020"/>
    <cellStyle name="Normal 10 2 3 2 2 5 2 2 5" xfId="31019"/>
    <cellStyle name="Normal 10 2 3 2 2 5 2 3" xfId="9184"/>
    <cellStyle name="Normal 10 2 3 2 2 5 2 3 2" xfId="15888"/>
    <cellStyle name="Normal 10 2 3 2 2 5 2 3 2 2" xfId="39309"/>
    <cellStyle name="Normal 10 2 3 2 2 5 2 3 3" xfId="21487"/>
    <cellStyle name="Normal 10 2 3 2 2 5 2 3 3 2" xfId="43938"/>
    <cellStyle name="Normal 10 2 3 2 2 5 2 3 4" xfId="32677"/>
    <cellStyle name="Normal 10 2 3 2 2 5 2 4" xfId="12572"/>
    <cellStyle name="Normal 10 2 3 2 2 5 2 4 2" xfId="22796"/>
    <cellStyle name="Normal 10 2 3 2 2 5 2 4 2 2" xfId="45218"/>
    <cellStyle name="Normal 10 2 3 2 2 5 2 4 3" xfId="35993"/>
    <cellStyle name="Normal 10 2 3 2 2 5 2 5" xfId="19960"/>
    <cellStyle name="Normal 10 2 3 2 2 5 2 5 2" xfId="42495"/>
    <cellStyle name="Normal 10 2 3 2 2 5 2 6" xfId="29361"/>
    <cellStyle name="Normal 10 2 3 2 2 5 3" xfId="6614"/>
    <cellStyle name="Normal 10 2 3 2 2 5 3 2" xfId="9946"/>
    <cellStyle name="Normal 10 2 3 2 2 5 3 2 2" xfId="16650"/>
    <cellStyle name="Normal 10 2 3 2 2 5 3 2 2 2" xfId="40071"/>
    <cellStyle name="Normal 10 2 3 2 2 5 3 2 3" xfId="33439"/>
    <cellStyle name="Normal 10 2 3 2 2 5 3 3" xfId="13334"/>
    <cellStyle name="Normal 10 2 3 2 2 5 3 3 2" xfId="36755"/>
    <cellStyle name="Normal 10 2 3 2 2 5 3 4" xfId="20471"/>
    <cellStyle name="Normal 10 2 3 2 2 5 3 4 2" xfId="42924"/>
    <cellStyle name="Normal 10 2 3 2 2 5 3 5" xfId="30123"/>
    <cellStyle name="Normal 10 2 3 2 2 5 4" xfId="8280"/>
    <cellStyle name="Normal 10 2 3 2 2 5 4 2" xfId="14992"/>
    <cellStyle name="Normal 10 2 3 2 2 5 4 2 2" xfId="38413"/>
    <cellStyle name="Normal 10 2 3 2 2 5 4 3" xfId="21028"/>
    <cellStyle name="Normal 10 2 3 2 2 5 4 3 2" xfId="43479"/>
    <cellStyle name="Normal 10 2 3 2 2 5 4 4" xfId="31781"/>
    <cellStyle name="Normal 10 2 3 2 2 5 5" xfId="11674"/>
    <cellStyle name="Normal 10 2 3 2 2 5 5 2" xfId="21969"/>
    <cellStyle name="Normal 10 2 3 2 2 5 5 2 2" xfId="44397"/>
    <cellStyle name="Normal 10 2 3 2 2 5 5 3" xfId="35097"/>
    <cellStyle name="Normal 10 2 3 2 2 5 6" xfId="19106"/>
    <cellStyle name="Normal 10 2 3 2 2 5 6 2" xfId="41663"/>
    <cellStyle name="Normal 10 2 3 2 2 5 7" xfId="25746"/>
    <cellStyle name="Normal 10 2 3 2 2 5 7 2" xfId="47991"/>
    <cellStyle name="Normal 10 2 3 2 2 5 8" xfId="28465"/>
    <cellStyle name="Normal 10 2 3 2 2 6" xfId="3757"/>
    <cellStyle name="Normal 10 2 3 2 2 6 2" xfId="6895"/>
    <cellStyle name="Normal 10 2 3 2 2 6 2 2" xfId="10227"/>
    <cellStyle name="Normal 10 2 3 2 2 6 2 2 2" xfId="16931"/>
    <cellStyle name="Normal 10 2 3 2 2 6 2 2 2 2" xfId="40352"/>
    <cellStyle name="Normal 10 2 3 2 2 6 2 2 3" xfId="33720"/>
    <cellStyle name="Normal 10 2 3 2 2 6 2 3" xfId="13615"/>
    <cellStyle name="Normal 10 2 3 2 2 6 2 3 2" xfId="37036"/>
    <cellStyle name="Normal 10 2 3 2 2 6 2 4" xfId="20520"/>
    <cellStyle name="Normal 10 2 3 2 2 6 2 4 2" xfId="42973"/>
    <cellStyle name="Normal 10 2 3 2 2 6 2 5" xfId="30404"/>
    <cellStyle name="Normal 10 2 3 2 2 6 3" xfId="8562"/>
    <cellStyle name="Normal 10 2 3 2 2 6 3 2" xfId="15273"/>
    <cellStyle name="Normal 10 2 3 2 2 6 3 2 2" xfId="38694"/>
    <cellStyle name="Normal 10 2 3 2 2 6 3 3" xfId="21077"/>
    <cellStyle name="Normal 10 2 3 2 2 6 3 3 2" xfId="43528"/>
    <cellStyle name="Normal 10 2 3 2 2 6 3 4" xfId="32062"/>
    <cellStyle name="Normal 10 2 3 2 2 6 4" xfId="11955"/>
    <cellStyle name="Normal 10 2 3 2 2 6 4 2" xfId="22389"/>
    <cellStyle name="Normal 10 2 3 2 2 6 4 2 2" xfId="44811"/>
    <cellStyle name="Normal 10 2 3 2 2 6 4 3" xfId="35378"/>
    <cellStyle name="Normal 10 2 3 2 2 6 5" xfId="19542"/>
    <cellStyle name="Normal 10 2 3 2 2 6 5 2" xfId="42079"/>
    <cellStyle name="Normal 10 2 3 2 2 6 6" xfId="28746"/>
    <cellStyle name="Normal 10 2 3 2 2 7" xfId="6141"/>
    <cellStyle name="Normal 10 2 3 2 2 7 2" xfId="9475"/>
    <cellStyle name="Normal 10 2 3 2 2 7 2 2" xfId="16179"/>
    <cellStyle name="Normal 10 2 3 2 2 7 2 2 2" xfId="39600"/>
    <cellStyle name="Normal 10 2 3 2 2 7 2 3" xfId="32968"/>
    <cellStyle name="Normal 10 2 3 2 2 7 3" xfId="12863"/>
    <cellStyle name="Normal 10 2 3 2 2 7 3 2" xfId="36284"/>
    <cellStyle name="Normal 10 2 3 2 2 7 4" xfId="17845"/>
    <cellStyle name="Normal 10 2 3 2 2 7 4 2" xfId="41195"/>
    <cellStyle name="Normal 10 2 3 2 2 7 5" xfId="29652"/>
    <cellStyle name="Normal 10 2 3 2 2 8" xfId="7807"/>
    <cellStyle name="Normal 10 2 3 2 2 8 2" xfId="14521"/>
    <cellStyle name="Normal 10 2 3 2 2 8 2 2" xfId="37942"/>
    <cellStyle name="Normal 10 2 3 2 2 8 3" xfId="20618"/>
    <cellStyle name="Normal 10 2 3 2 2 8 3 2" xfId="43069"/>
    <cellStyle name="Normal 10 2 3 2 2 8 4" xfId="31310"/>
    <cellStyle name="Normal 10 2 3 2 2 9" xfId="11203"/>
    <cellStyle name="Normal 10 2 3 2 2 9 2" xfId="21538"/>
    <cellStyle name="Normal 10 2 3 2 2 9 2 2" xfId="43987"/>
    <cellStyle name="Normal 10 2 3 2 2 9 3" xfId="34626"/>
    <cellStyle name="Normal 10 2 3 2 3" xfId="1567"/>
    <cellStyle name="Normal 10 2 3 2 3 10" xfId="23220"/>
    <cellStyle name="Normal 10 2 3 2 3 10 2" xfId="45629"/>
    <cellStyle name="Normal 10 2 3 2 3 11" xfId="28010"/>
    <cellStyle name="Normal 10 2 3 2 3 2" xfId="1789"/>
    <cellStyle name="Normal 10 2 3 2 3 2 10" xfId="28141"/>
    <cellStyle name="Normal 10 2 3 2 3 2 2" xfId="2153"/>
    <cellStyle name="Normal 10 2 3 2 3 2 2 2" xfId="5428"/>
    <cellStyle name="Normal 10 2 3 2 3 2 2 2 2" xfId="7254"/>
    <cellStyle name="Normal 10 2 3 2 3 2 2 2 2 2" xfId="10585"/>
    <cellStyle name="Normal 10 2 3 2 3 2 2 2 2 2 2" xfId="17289"/>
    <cellStyle name="Normal 10 2 3 2 3 2 2 2 2 2 2 2" xfId="40710"/>
    <cellStyle name="Normal 10 2 3 2 3 2 2 2 2 2 3" xfId="23001"/>
    <cellStyle name="Normal 10 2 3 2 3 2 2 2 2 2 3 2" xfId="45423"/>
    <cellStyle name="Normal 10 2 3 2 3 2 2 2 2 2 4" xfId="34078"/>
    <cellStyle name="Normal 10 2 3 2 3 2 2 2 2 3" xfId="13973"/>
    <cellStyle name="Normal 10 2 3 2 3 2 2 2 2 3 2" xfId="37394"/>
    <cellStyle name="Normal 10 2 3 2 3 2 2 2 2 4" xfId="20173"/>
    <cellStyle name="Normal 10 2 3 2 3 2 2 2 2 4 2" xfId="42708"/>
    <cellStyle name="Normal 10 2 3 2 3 2 2 2 2 5" xfId="30762"/>
    <cellStyle name="Normal 10 2 3 2 3 2 2 2 3" xfId="8927"/>
    <cellStyle name="Normal 10 2 3 2 3 2 2 2 3 2" xfId="15631"/>
    <cellStyle name="Normal 10 2 3 2 3 2 2 2 3 2 2" xfId="39052"/>
    <cellStyle name="Normal 10 2 3 2 3 2 2 2 3 3" xfId="21087"/>
    <cellStyle name="Normal 10 2 3 2 3 2 2 2 3 3 2" xfId="43538"/>
    <cellStyle name="Normal 10 2 3 2 3 2 2 2 3 4" xfId="32420"/>
    <cellStyle name="Normal 10 2 3 2 3 2 2 2 4" xfId="12315"/>
    <cellStyle name="Normal 10 2 3 2 3 2 2 2 4 2" xfId="22186"/>
    <cellStyle name="Normal 10 2 3 2 3 2 2 2 4 2 2" xfId="44608"/>
    <cellStyle name="Normal 10 2 3 2 3 2 2 2 4 3" xfId="35736"/>
    <cellStyle name="Normal 10 2 3 2 3 2 2 2 5" xfId="19334"/>
    <cellStyle name="Normal 10 2 3 2 3 2 2 2 5 2" xfId="41876"/>
    <cellStyle name="Normal 10 2 3 2 3 2 2 2 6" xfId="29104"/>
    <cellStyle name="Normal 10 2 3 2 3 2 2 3" xfId="6345"/>
    <cellStyle name="Normal 10 2 3 2 3 2 2 3 2" xfId="9679"/>
    <cellStyle name="Normal 10 2 3 2 3 2 2 3 2 2" xfId="16383"/>
    <cellStyle name="Normal 10 2 3 2 3 2 2 3 2 2 2" xfId="39804"/>
    <cellStyle name="Normal 10 2 3 2 3 2 2 3 2 3" xfId="22594"/>
    <cellStyle name="Normal 10 2 3 2 3 2 2 3 2 3 2" xfId="45016"/>
    <cellStyle name="Normal 10 2 3 2 3 2 2 3 2 4" xfId="33172"/>
    <cellStyle name="Normal 10 2 3 2 3 2 2 3 3" xfId="13067"/>
    <cellStyle name="Normal 10 2 3 2 3 2 2 3 3 2" xfId="36488"/>
    <cellStyle name="Normal 10 2 3 2 3 2 2 3 4" xfId="19757"/>
    <cellStyle name="Normal 10 2 3 2 3 2 2 3 4 2" xfId="42292"/>
    <cellStyle name="Normal 10 2 3 2 3 2 2 3 5" xfId="29856"/>
    <cellStyle name="Normal 10 2 3 2 3 2 2 4" xfId="8012"/>
    <cellStyle name="Normal 10 2 3 2 3 2 2 4 2" xfId="14725"/>
    <cellStyle name="Normal 10 2 3 2 3 2 2 4 2 2" xfId="38146"/>
    <cellStyle name="Normal 10 2 3 2 3 2 2 4 3" xfId="20628"/>
    <cellStyle name="Normal 10 2 3 2 3 2 2 4 3 2" xfId="43079"/>
    <cellStyle name="Normal 10 2 3 2 3 2 2 4 4" xfId="31514"/>
    <cellStyle name="Normal 10 2 3 2 3 2 2 5" xfId="11407"/>
    <cellStyle name="Normal 10 2 3 2 3 2 2 5 2" xfId="21752"/>
    <cellStyle name="Normal 10 2 3 2 3 2 2 5 2 2" xfId="44194"/>
    <cellStyle name="Normal 10 2 3 2 3 2 2 5 3" xfId="34830"/>
    <cellStyle name="Normal 10 2 3 2 3 2 2 6" xfId="18507"/>
    <cellStyle name="Normal 10 2 3 2 3 2 2 6 2" xfId="41451"/>
    <cellStyle name="Normal 10 2 3 2 3 2 2 7" xfId="25751"/>
    <cellStyle name="Normal 10 2 3 2 3 2 2 7 2" xfId="47996"/>
    <cellStyle name="Normal 10 2 3 2 3 2 2 8" xfId="28198"/>
    <cellStyle name="Normal 10 2 3 2 3 2 3" xfId="2786"/>
    <cellStyle name="Normal 10 2 3 2 3 2 3 2" xfId="5878"/>
    <cellStyle name="Normal 10 2 3 2 3 2 3 2 2" xfId="7660"/>
    <cellStyle name="Normal 10 2 3 2 3 2 3 2 2 2" xfId="10989"/>
    <cellStyle name="Normal 10 2 3 2 3 2 3 2 2 2 2" xfId="17693"/>
    <cellStyle name="Normal 10 2 3 2 3 2 3 2 2 2 2 2" xfId="41114"/>
    <cellStyle name="Normal 10 2 3 2 3 2 3 2 2 2 3" xfId="34482"/>
    <cellStyle name="Normal 10 2 3 2 3 2 3 2 2 3" xfId="14377"/>
    <cellStyle name="Normal 10 2 3 2 3 2 3 2 2 3 2" xfId="37798"/>
    <cellStyle name="Normal 10 2 3 2 3 2 3 2 2 4" xfId="22801"/>
    <cellStyle name="Normal 10 2 3 2 3 2 3 2 2 4 2" xfId="45223"/>
    <cellStyle name="Normal 10 2 3 2 3 2 3 2 2 5" xfId="31166"/>
    <cellStyle name="Normal 10 2 3 2 3 2 3 2 3" xfId="9331"/>
    <cellStyle name="Normal 10 2 3 2 3 2 3 2 3 2" xfId="16035"/>
    <cellStyle name="Normal 10 2 3 2 3 2 3 2 3 2 2" xfId="39456"/>
    <cellStyle name="Normal 10 2 3 2 3 2 3 2 3 3" xfId="32824"/>
    <cellStyle name="Normal 10 2 3 2 3 2 3 2 4" xfId="12719"/>
    <cellStyle name="Normal 10 2 3 2 3 2 3 2 4 2" xfId="36140"/>
    <cellStyle name="Normal 10 2 3 2 3 2 3 2 5" xfId="19965"/>
    <cellStyle name="Normal 10 2 3 2 3 2 3 2 5 2" xfId="42500"/>
    <cellStyle name="Normal 10 2 3 2 3 2 3 2 6" xfId="29508"/>
    <cellStyle name="Normal 10 2 3 2 3 2 3 3" xfId="6761"/>
    <cellStyle name="Normal 10 2 3 2 3 2 3 3 2" xfId="10093"/>
    <cellStyle name="Normal 10 2 3 2 3 2 3 3 2 2" xfId="16797"/>
    <cellStyle name="Normal 10 2 3 2 3 2 3 3 2 2 2" xfId="40218"/>
    <cellStyle name="Normal 10 2 3 2 3 2 3 3 2 3" xfId="33586"/>
    <cellStyle name="Normal 10 2 3 2 3 2 3 3 3" xfId="13481"/>
    <cellStyle name="Normal 10 2 3 2 3 2 3 3 3 2" xfId="36902"/>
    <cellStyle name="Normal 10 2 3 2 3 2 3 3 4" xfId="21086"/>
    <cellStyle name="Normal 10 2 3 2 3 2 3 3 4 2" xfId="43537"/>
    <cellStyle name="Normal 10 2 3 2 3 2 3 3 5" xfId="30270"/>
    <cellStyle name="Normal 10 2 3 2 3 2 3 4" xfId="8427"/>
    <cellStyle name="Normal 10 2 3 2 3 2 3 4 2" xfId="15139"/>
    <cellStyle name="Normal 10 2 3 2 3 2 3 4 2 2" xfId="38560"/>
    <cellStyle name="Normal 10 2 3 2 3 2 3 4 3" xfId="21974"/>
    <cellStyle name="Normal 10 2 3 2 3 2 3 4 3 2" xfId="44402"/>
    <cellStyle name="Normal 10 2 3 2 3 2 3 4 4" xfId="31928"/>
    <cellStyle name="Normal 10 2 3 2 3 2 3 5" xfId="11821"/>
    <cellStyle name="Normal 10 2 3 2 3 2 3 5 2" xfId="35244"/>
    <cellStyle name="Normal 10 2 3 2 3 2 3 6" xfId="19111"/>
    <cellStyle name="Normal 10 2 3 2 3 2 3 6 2" xfId="41668"/>
    <cellStyle name="Normal 10 2 3 2 3 2 3 7" xfId="28612"/>
    <cellStyle name="Normal 10 2 3 2 3 2 4" xfId="3762"/>
    <cellStyle name="Normal 10 2 3 2 3 2 4 2" xfId="6900"/>
    <cellStyle name="Normal 10 2 3 2 3 2 4 2 2" xfId="10232"/>
    <cellStyle name="Normal 10 2 3 2 3 2 4 2 2 2" xfId="16936"/>
    <cellStyle name="Normal 10 2 3 2 3 2 4 2 2 2 2" xfId="40357"/>
    <cellStyle name="Normal 10 2 3 2 3 2 4 2 2 3" xfId="33725"/>
    <cellStyle name="Normal 10 2 3 2 3 2 4 2 3" xfId="13620"/>
    <cellStyle name="Normal 10 2 3 2 3 2 4 2 3 2" xfId="37041"/>
    <cellStyle name="Normal 10 2 3 2 3 2 4 2 4" xfId="22394"/>
    <cellStyle name="Normal 10 2 3 2 3 2 4 2 4 2" xfId="44816"/>
    <cellStyle name="Normal 10 2 3 2 3 2 4 2 5" xfId="30409"/>
    <cellStyle name="Normal 10 2 3 2 3 2 4 3" xfId="8567"/>
    <cellStyle name="Normal 10 2 3 2 3 2 4 3 2" xfId="15278"/>
    <cellStyle name="Normal 10 2 3 2 3 2 4 3 2 2" xfId="38699"/>
    <cellStyle name="Normal 10 2 3 2 3 2 4 3 3" xfId="32067"/>
    <cellStyle name="Normal 10 2 3 2 3 2 4 4" xfId="11960"/>
    <cellStyle name="Normal 10 2 3 2 3 2 4 4 2" xfId="35383"/>
    <cellStyle name="Normal 10 2 3 2 3 2 4 5" xfId="19547"/>
    <cellStyle name="Normal 10 2 3 2 3 2 4 5 2" xfId="42084"/>
    <cellStyle name="Normal 10 2 3 2 3 2 4 6" xfId="28751"/>
    <cellStyle name="Normal 10 2 3 2 3 2 5" xfId="6288"/>
    <cellStyle name="Normal 10 2 3 2 3 2 5 2" xfId="9622"/>
    <cellStyle name="Normal 10 2 3 2 3 2 5 2 2" xfId="16326"/>
    <cellStyle name="Normal 10 2 3 2 3 2 5 2 2 2" xfId="39747"/>
    <cellStyle name="Normal 10 2 3 2 3 2 5 2 3" xfId="33115"/>
    <cellStyle name="Normal 10 2 3 2 3 2 5 3" xfId="13010"/>
    <cellStyle name="Normal 10 2 3 2 3 2 5 3 2" xfId="36431"/>
    <cellStyle name="Normal 10 2 3 2 3 2 5 4" xfId="20627"/>
    <cellStyle name="Normal 10 2 3 2 3 2 5 4 2" xfId="43078"/>
    <cellStyle name="Normal 10 2 3 2 3 2 5 5" xfId="29799"/>
    <cellStyle name="Normal 10 2 3 2 3 2 6" xfId="7954"/>
    <cellStyle name="Normal 10 2 3 2 3 2 6 2" xfId="14668"/>
    <cellStyle name="Normal 10 2 3 2 3 2 6 2 2" xfId="38089"/>
    <cellStyle name="Normal 10 2 3 2 3 2 6 3" xfId="21543"/>
    <cellStyle name="Normal 10 2 3 2 3 2 6 3 2" xfId="43992"/>
    <cellStyle name="Normal 10 2 3 2 3 2 6 4" xfId="31457"/>
    <cellStyle name="Normal 10 2 3 2 3 2 7" xfId="11350"/>
    <cellStyle name="Normal 10 2 3 2 3 2 7 2" xfId="34773"/>
    <cellStyle name="Normal 10 2 3 2 3 2 8" xfId="17906"/>
    <cellStyle name="Normal 10 2 3 2 3 2 8 2" xfId="41215"/>
    <cellStyle name="Normal 10 2 3 2 3 2 9" xfId="23213"/>
    <cellStyle name="Normal 10 2 3 2 3 2 9 2" xfId="45623"/>
    <cellStyle name="Normal 10 2 3 2 3 3" xfId="2152"/>
    <cellStyle name="Normal 10 2 3 2 3 3 2" xfId="5427"/>
    <cellStyle name="Normal 10 2 3 2 3 3 2 2" xfId="7253"/>
    <cellStyle name="Normal 10 2 3 2 3 3 2 2 2" xfId="10584"/>
    <cellStyle name="Normal 10 2 3 2 3 3 2 2 2 2" xfId="17288"/>
    <cellStyle name="Normal 10 2 3 2 3 3 2 2 2 2 2" xfId="40709"/>
    <cellStyle name="Normal 10 2 3 2 3 3 2 2 2 3" xfId="23000"/>
    <cellStyle name="Normal 10 2 3 2 3 3 2 2 2 3 2" xfId="45422"/>
    <cellStyle name="Normal 10 2 3 2 3 3 2 2 2 4" xfId="34077"/>
    <cellStyle name="Normal 10 2 3 2 3 3 2 2 3" xfId="13972"/>
    <cellStyle name="Normal 10 2 3 2 3 3 2 2 3 2" xfId="37393"/>
    <cellStyle name="Normal 10 2 3 2 3 3 2 2 4" xfId="20172"/>
    <cellStyle name="Normal 10 2 3 2 3 3 2 2 4 2" xfId="42707"/>
    <cellStyle name="Normal 10 2 3 2 3 3 2 2 5" xfId="30761"/>
    <cellStyle name="Normal 10 2 3 2 3 3 2 3" xfId="8926"/>
    <cellStyle name="Normal 10 2 3 2 3 3 2 3 2" xfId="15630"/>
    <cellStyle name="Normal 10 2 3 2 3 3 2 3 2 2" xfId="39051"/>
    <cellStyle name="Normal 10 2 3 2 3 3 2 3 3" xfId="21088"/>
    <cellStyle name="Normal 10 2 3 2 3 3 2 3 3 2" xfId="43539"/>
    <cellStyle name="Normal 10 2 3 2 3 3 2 3 4" xfId="32419"/>
    <cellStyle name="Normal 10 2 3 2 3 3 2 4" xfId="12314"/>
    <cellStyle name="Normal 10 2 3 2 3 3 2 4 2" xfId="22185"/>
    <cellStyle name="Normal 10 2 3 2 3 3 2 4 2 2" xfId="44607"/>
    <cellStyle name="Normal 10 2 3 2 3 3 2 4 3" xfId="35735"/>
    <cellStyle name="Normal 10 2 3 2 3 3 2 5" xfId="19333"/>
    <cellStyle name="Normal 10 2 3 2 3 3 2 5 2" xfId="41875"/>
    <cellStyle name="Normal 10 2 3 2 3 3 2 6" xfId="27670"/>
    <cellStyle name="Normal 10 2 3 2 3 3 2 6 2" xfId="49915"/>
    <cellStyle name="Normal 10 2 3 2 3 3 2 7" xfId="29103"/>
    <cellStyle name="Normal 10 2 3 2 3 3 3" xfId="6344"/>
    <cellStyle name="Normal 10 2 3 2 3 3 3 2" xfId="9678"/>
    <cellStyle name="Normal 10 2 3 2 3 3 3 2 2" xfId="16382"/>
    <cellStyle name="Normal 10 2 3 2 3 3 3 2 2 2" xfId="39803"/>
    <cellStyle name="Normal 10 2 3 2 3 3 3 2 3" xfId="22593"/>
    <cellStyle name="Normal 10 2 3 2 3 3 3 2 3 2" xfId="45015"/>
    <cellStyle name="Normal 10 2 3 2 3 3 3 2 4" xfId="33171"/>
    <cellStyle name="Normal 10 2 3 2 3 3 3 3" xfId="13066"/>
    <cellStyle name="Normal 10 2 3 2 3 3 3 3 2" xfId="36487"/>
    <cellStyle name="Normal 10 2 3 2 3 3 3 4" xfId="19756"/>
    <cellStyle name="Normal 10 2 3 2 3 3 3 4 2" xfId="42291"/>
    <cellStyle name="Normal 10 2 3 2 3 3 3 5" xfId="29855"/>
    <cellStyle name="Normal 10 2 3 2 3 3 4" xfId="8011"/>
    <cellStyle name="Normal 10 2 3 2 3 3 4 2" xfId="14724"/>
    <cellStyle name="Normal 10 2 3 2 3 3 4 2 2" xfId="38145"/>
    <cellStyle name="Normal 10 2 3 2 3 3 4 3" xfId="20629"/>
    <cellStyle name="Normal 10 2 3 2 3 3 4 3 2" xfId="43080"/>
    <cellStyle name="Normal 10 2 3 2 3 3 4 4" xfId="31513"/>
    <cellStyle name="Normal 10 2 3 2 3 3 5" xfId="11406"/>
    <cellStyle name="Normal 10 2 3 2 3 3 5 2" xfId="21751"/>
    <cellStyle name="Normal 10 2 3 2 3 3 5 2 2" xfId="44193"/>
    <cellStyle name="Normal 10 2 3 2 3 3 5 3" xfId="34829"/>
    <cellStyle name="Normal 10 2 3 2 3 3 6" xfId="18506"/>
    <cellStyle name="Normal 10 2 3 2 3 3 6 2" xfId="41450"/>
    <cellStyle name="Normal 10 2 3 2 3 3 7" xfId="25365"/>
    <cellStyle name="Normal 10 2 3 2 3 3 7 2" xfId="47610"/>
    <cellStyle name="Normal 10 2 3 2 3 3 8" xfId="28197"/>
    <cellStyle name="Normal 10 2 3 2 3 4" xfId="2654"/>
    <cellStyle name="Normal 10 2 3 2 3 4 2" xfId="5747"/>
    <cellStyle name="Normal 10 2 3 2 3 4 2 2" xfId="7529"/>
    <cellStyle name="Normal 10 2 3 2 3 4 2 2 2" xfId="10858"/>
    <cellStyle name="Normal 10 2 3 2 3 4 2 2 2 2" xfId="17562"/>
    <cellStyle name="Normal 10 2 3 2 3 4 2 2 2 2 2" xfId="40983"/>
    <cellStyle name="Normal 10 2 3 2 3 4 2 2 2 3" xfId="34351"/>
    <cellStyle name="Normal 10 2 3 2 3 4 2 2 3" xfId="14246"/>
    <cellStyle name="Normal 10 2 3 2 3 4 2 2 3 2" xfId="37667"/>
    <cellStyle name="Normal 10 2 3 2 3 4 2 2 4" xfId="22800"/>
    <cellStyle name="Normal 10 2 3 2 3 4 2 2 4 2" xfId="45222"/>
    <cellStyle name="Normal 10 2 3 2 3 4 2 2 5" xfId="31035"/>
    <cellStyle name="Normal 10 2 3 2 3 4 2 3" xfId="9200"/>
    <cellStyle name="Normal 10 2 3 2 3 4 2 3 2" xfId="15904"/>
    <cellStyle name="Normal 10 2 3 2 3 4 2 3 2 2" xfId="39325"/>
    <cellStyle name="Normal 10 2 3 2 3 4 2 3 3" xfId="32693"/>
    <cellStyle name="Normal 10 2 3 2 3 4 2 4" xfId="12588"/>
    <cellStyle name="Normal 10 2 3 2 3 4 2 4 2" xfId="36009"/>
    <cellStyle name="Normal 10 2 3 2 3 4 2 5" xfId="19964"/>
    <cellStyle name="Normal 10 2 3 2 3 4 2 5 2" xfId="42499"/>
    <cellStyle name="Normal 10 2 3 2 3 4 2 6" xfId="29377"/>
    <cellStyle name="Normal 10 2 3 2 3 4 3" xfId="6630"/>
    <cellStyle name="Normal 10 2 3 2 3 4 3 2" xfId="9962"/>
    <cellStyle name="Normal 10 2 3 2 3 4 3 2 2" xfId="16666"/>
    <cellStyle name="Normal 10 2 3 2 3 4 3 2 2 2" xfId="40087"/>
    <cellStyle name="Normal 10 2 3 2 3 4 3 2 3" xfId="33455"/>
    <cellStyle name="Normal 10 2 3 2 3 4 3 3" xfId="13350"/>
    <cellStyle name="Normal 10 2 3 2 3 4 3 3 2" xfId="36771"/>
    <cellStyle name="Normal 10 2 3 2 3 4 3 4" xfId="21085"/>
    <cellStyle name="Normal 10 2 3 2 3 4 3 4 2" xfId="43536"/>
    <cellStyle name="Normal 10 2 3 2 3 4 3 5" xfId="30139"/>
    <cellStyle name="Normal 10 2 3 2 3 4 4" xfId="8296"/>
    <cellStyle name="Normal 10 2 3 2 3 4 4 2" xfId="15008"/>
    <cellStyle name="Normal 10 2 3 2 3 4 4 2 2" xfId="38429"/>
    <cellStyle name="Normal 10 2 3 2 3 4 4 3" xfId="21973"/>
    <cellStyle name="Normal 10 2 3 2 3 4 4 3 2" xfId="44401"/>
    <cellStyle name="Normal 10 2 3 2 3 4 4 4" xfId="31797"/>
    <cellStyle name="Normal 10 2 3 2 3 4 5" xfId="11690"/>
    <cellStyle name="Normal 10 2 3 2 3 4 5 2" xfId="35113"/>
    <cellStyle name="Normal 10 2 3 2 3 4 6" xfId="19110"/>
    <cellStyle name="Normal 10 2 3 2 3 4 6 2" xfId="41667"/>
    <cellStyle name="Normal 10 2 3 2 3 4 7" xfId="25750"/>
    <cellStyle name="Normal 10 2 3 2 3 4 7 2" xfId="47995"/>
    <cellStyle name="Normal 10 2 3 2 3 4 8" xfId="28481"/>
    <cellStyle name="Normal 10 2 3 2 3 5" xfId="3761"/>
    <cellStyle name="Normal 10 2 3 2 3 5 2" xfId="6899"/>
    <cellStyle name="Normal 10 2 3 2 3 5 2 2" xfId="10231"/>
    <cellStyle name="Normal 10 2 3 2 3 5 2 2 2" xfId="16935"/>
    <cellStyle name="Normal 10 2 3 2 3 5 2 2 2 2" xfId="40356"/>
    <cellStyle name="Normal 10 2 3 2 3 5 2 2 3" xfId="33724"/>
    <cellStyle name="Normal 10 2 3 2 3 5 2 3" xfId="13619"/>
    <cellStyle name="Normal 10 2 3 2 3 5 2 3 2" xfId="37040"/>
    <cellStyle name="Normal 10 2 3 2 3 5 2 4" xfId="22393"/>
    <cellStyle name="Normal 10 2 3 2 3 5 2 4 2" xfId="44815"/>
    <cellStyle name="Normal 10 2 3 2 3 5 2 5" xfId="30408"/>
    <cellStyle name="Normal 10 2 3 2 3 5 3" xfId="8566"/>
    <cellStyle name="Normal 10 2 3 2 3 5 3 2" xfId="15277"/>
    <cellStyle name="Normal 10 2 3 2 3 5 3 2 2" xfId="38698"/>
    <cellStyle name="Normal 10 2 3 2 3 5 3 3" xfId="32066"/>
    <cellStyle name="Normal 10 2 3 2 3 5 4" xfId="11959"/>
    <cellStyle name="Normal 10 2 3 2 3 5 4 2" xfId="35382"/>
    <cellStyle name="Normal 10 2 3 2 3 5 5" xfId="19546"/>
    <cellStyle name="Normal 10 2 3 2 3 5 5 2" xfId="42083"/>
    <cellStyle name="Normal 10 2 3 2 3 5 6" xfId="28750"/>
    <cellStyle name="Normal 10 2 3 2 3 6" xfId="6157"/>
    <cellStyle name="Normal 10 2 3 2 3 6 2" xfId="9491"/>
    <cellStyle name="Normal 10 2 3 2 3 6 2 2" xfId="16195"/>
    <cellStyle name="Normal 10 2 3 2 3 6 2 2 2" xfId="39616"/>
    <cellStyle name="Normal 10 2 3 2 3 6 2 3" xfId="32984"/>
    <cellStyle name="Normal 10 2 3 2 3 6 3" xfId="12879"/>
    <cellStyle name="Normal 10 2 3 2 3 6 3 2" xfId="36300"/>
    <cellStyle name="Normal 10 2 3 2 3 6 4" xfId="20626"/>
    <cellStyle name="Normal 10 2 3 2 3 6 4 2" xfId="43077"/>
    <cellStyle name="Normal 10 2 3 2 3 6 5" xfId="29668"/>
    <cellStyle name="Normal 10 2 3 2 3 7" xfId="7823"/>
    <cellStyle name="Normal 10 2 3 2 3 7 2" xfId="14537"/>
    <cellStyle name="Normal 10 2 3 2 3 7 2 2" xfId="37958"/>
    <cellStyle name="Normal 10 2 3 2 3 7 3" xfId="21542"/>
    <cellStyle name="Normal 10 2 3 2 3 7 3 2" xfId="43991"/>
    <cellStyle name="Normal 10 2 3 2 3 7 4" xfId="31326"/>
    <cellStyle name="Normal 10 2 3 2 3 8" xfId="11219"/>
    <cellStyle name="Normal 10 2 3 2 3 8 2" xfId="34642"/>
    <cellStyle name="Normal 10 2 3 2 3 9" xfId="17905"/>
    <cellStyle name="Normal 10 2 3 2 3 9 2" xfId="41214"/>
    <cellStyle name="Normal 10 2 3 2 4" xfId="1737"/>
    <cellStyle name="Normal 10 2 3 2 4 10" xfId="28089"/>
    <cellStyle name="Normal 10 2 3 2 4 2" xfId="2154"/>
    <cellStyle name="Normal 10 2 3 2 4 2 2" xfId="5429"/>
    <cellStyle name="Normal 10 2 3 2 4 2 2 2" xfId="7255"/>
    <cellStyle name="Normal 10 2 3 2 4 2 2 2 2" xfId="10586"/>
    <cellStyle name="Normal 10 2 3 2 4 2 2 2 2 2" xfId="17290"/>
    <cellStyle name="Normal 10 2 3 2 4 2 2 2 2 2 2" xfId="40711"/>
    <cellStyle name="Normal 10 2 3 2 4 2 2 2 2 3" xfId="23002"/>
    <cellStyle name="Normal 10 2 3 2 4 2 2 2 2 3 2" xfId="45424"/>
    <cellStyle name="Normal 10 2 3 2 4 2 2 2 2 4" xfId="34079"/>
    <cellStyle name="Normal 10 2 3 2 4 2 2 2 3" xfId="13974"/>
    <cellStyle name="Normal 10 2 3 2 4 2 2 2 3 2" xfId="37395"/>
    <cellStyle name="Normal 10 2 3 2 4 2 2 2 4" xfId="20174"/>
    <cellStyle name="Normal 10 2 3 2 4 2 2 2 4 2" xfId="42709"/>
    <cellStyle name="Normal 10 2 3 2 4 2 2 2 5" xfId="30763"/>
    <cellStyle name="Normal 10 2 3 2 4 2 2 3" xfId="8928"/>
    <cellStyle name="Normal 10 2 3 2 4 2 2 3 2" xfId="15632"/>
    <cellStyle name="Normal 10 2 3 2 4 2 2 3 2 2" xfId="39053"/>
    <cellStyle name="Normal 10 2 3 2 4 2 2 3 3" xfId="21090"/>
    <cellStyle name="Normal 10 2 3 2 4 2 2 3 3 2" xfId="43541"/>
    <cellStyle name="Normal 10 2 3 2 4 2 2 3 4" xfId="32421"/>
    <cellStyle name="Normal 10 2 3 2 4 2 2 4" xfId="12316"/>
    <cellStyle name="Normal 10 2 3 2 4 2 2 4 2" xfId="22187"/>
    <cellStyle name="Normal 10 2 3 2 4 2 2 4 2 2" xfId="44609"/>
    <cellStyle name="Normal 10 2 3 2 4 2 2 4 3" xfId="35737"/>
    <cellStyle name="Normal 10 2 3 2 4 2 2 5" xfId="19335"/>
    <cellStyle name="Normal 10 2 3 2 4 2 2 5 2" xfId="41877"/>
    <cellStyle name="Normal 10 2 3 2 4 2 2 6" xfId="29105"/>
    <cellStyle name="Normal 10 2 3 2 4 2 3" xfId="6346"/>
    <cellStyle name="Normal 10 2 3 2 4 2 3 2" xfId="9680"/>
    <cellStyle name="Normal 10 2 3 2 4 2 3 2 2" xfId="16384"/>
    <cellStyle name="Normal 10 2 3 2 4 2 3 2 2 2" xfId="39805"/>
    <cellStyle name="Normal 10 2 3 2 4 2 3 2 3" xfId="22595"/>
    <cellStyle name="Normal 10 2 3 2 4 2 3 2 3 2" xfId="45017"/>
    <cellStyle name="Normal 10 2 3 2 4 2 3 2 4" xfId="33173"/>
    <cellStyle name="Normal 10 2 3 2 4 2 3 3" xfId="13068"/>
    <cellStyle name="Normal 10 2 3 2 4 2 3 3 2" xfId="36489"/>
    <cellStyle name="Normal 10 2 3 2 4 2 3 4" xfId="19758"/>
    <cellStyle name="Normal 10 2 3 2 4 2 3 4 2" xfId="42293"/>
    <cellStyle name="Normal 10 2 3 2 4 2 3 5" xfId="29857"/>
    <cellStyle name="Normal 10 2 3 2 4 2 4" xfId="8013"/>
    <cellStyle name="Normal 10 2 3 2 4 2 4 2" xfId="14726"/>
    <cellStyle name="Normal 10 2 3 2 4 2 4 2 2" xfId="38147"/>
    <cellStyle name="Normal 10 2 3 2 4 2 4 3" xfId="20631"/>
    <cellStyle name="Normal 10 2 3 2 4 2 4 3 2" xfId="43082"/>
    <cellStyle name="Normal 10 2 3 2 4 2 4 4" xfId="31515"/>
    <cellStyle name="Normal 10 2 3 2 4 2 5" xfId="11408"/>
    <cellStyle name="Normal 10 2 3 2 4 2 5 2" xfId="21753"/>
    <cellStyle name="Normal 10 2 3 2 4 2 5 2 2" xfId="44195"/>
    <cellStyle name="Normal 10 2 3 2 4 2 5 3" xfId="34831"/>
    <cellStyle name="Normal 10 2 3 2 4 2 6" xfId="18508"/>
    <cellStyle name="Normal 10 2 3 2 4 2 6 2" xfId="41452"/>
    <cellStyle name="Normal 10 2 3 2 4 2 7" xfId="25752"/>
    <cellStyle name="Normal 10 2 3 2 4 2 7 2" xfId="47997"/>
    <cellStyle name="Normal 10 2 3 2 4 2 8" xfId="28199"/>
    <cellStyle name="Normal 10 2 3 2 4 3" xfId="2734"/>
    <cellStyle name="Normal 10 2 3 2 4 3 2" xfId="5826"/>
    <cellStyle name="Normal 10 2 3 2 4 3 2 2" xfId="7608"/>
    <cellStyle name="Normal 10 2 3 2 4 3 2 2 2" xfId="10937"/>
    <cellStyle name="Normal 10 2 3 2 4 3 2 2 2 2" xfId="17641"/>
    <cellStyle name="Normal 10 2 3 2 4 3 2 2 2 2 2" xfId="41062"/>
    <cellStyle name="Normal 10 2 3 2 4 3 2 2 2 3" xfId="34430"/>
    <cellStyle name="Normal 10 2 3 2 4 3 2 2 3" xfId="14325"/>
    <cellStyle name="Normal 10 2 3 2 4 3 2 2 3 2" xfId="37746"/>
    <cellStyle name="Normal 10 2 3 2 4 3 2 2 4" xfId="22802"/>
    <cellStyle name="Normal 10 2 3 2 4 3 2 2 4 2" xfId="45224"/>
    <cellStyle name="Normal 10 2 3 2 4 3 2 2 5" xfId="31114"/>
    <cellStyle name="Normal 10 2 3 2 4 3 2 3" xfId="9279"/>
    <cellStyle name="Normal 10 2 3 2 4 3 2 3 2" xfId="15983"/>
    <cellStyle name="Normal 10 2 3 2 4 3 2 3 2 2" xfId="39404"/>
    <cellStyle name="Normal 10 2 3 2 4 3 2 3 3" xfId="32772"/>
    <cellStyle name="Normal 10 2 3 2 4 3 2 4" xfId="12667"/>
    <cellStyle name="Normal 10 2 3 2 4 3 2 4 2" xfId="36088"/>
    <cellStyle name="Normal 10 2 3 2 4 3 2 5" xfId="19966"/>
    <cellStyle name="Normal 10 2 3 2 4 3 2 5 2" xfId="42501"/>
    <cellStyle name="Normal 10 2 3 2 4 3 2 6" xfId="29456"/>
    <cellStyle name="Normal 10 2 3 2 4 3 3" xfId="6709"/>
    <cellStyle name="Normal 10 2 3 2 4 3 3 2" xfId="10041"/>
    <cellStyle name="Normal 10 2 3 2 4 3 3 2 2" xfId="16745"/>
    <cellStyle name="Normal 10 2 3 2 4 3 3 2 2 2" xfId="40166"/>
    <cellStyle name="Normal 10 2 3 2 4 3 3 2 3" xfId="33534"/>
    <cellStyle name="Normal 10 2 3 2 4 3 3 3" xfId="13429"/>
    <cellStyle name="Normal 10 2 3 2 4 3 3 3 2" xfId="36850"/>
    <cellStyle name="Normal 10 2 3 2 4 3 3 4" xfId="21089"/>
    <cellStyle name="Normal 10 2 3 2 4 3 3 4 2" xfId="43540"/>
    <cellStyle name="Normal 10 2 3 2 4 3 3 5" xfId="30218"/>
    <cellStyle name="Normal 10 2 3 2 4 3 4" xfId="8375"/>
    <cellStyle name="Normal 10 2 3 2 4 3 4 2" xfId="15087"/>
    <cellStyle name="Normal 10 2 3 2 4 3 4 2 2" xfId="38508"/>
    <cellStyle name="Normal 10 2 3 2 4 3 4 3" xfId="21975"/>
    <cellStyle name="Normal 10 2 3 2 4 3 4 3 2" xfId="44403"/>
    <cellStyle name="Normal 10 2 3 2 4 3 4 4" xfId="31876"/>
    <cellStyle name="Normal 10 2 3 2 4 3 5" xfId="11769"/>
    <cellStyle name="Normal 10 2 3 2 4 3 5 2" xfId="35192"/>
    <cellStyle name="Normal 10 2 3 2 4 3 6" xfId="19112"/>
    <cellStyle name="Normal 10 2 3 2 4 3 6 2" xfId="41669"/>
    <cellStyle name="Normal 10 2 3 2 4 3 7" xfId="28560"/>
    <cellStyle name="Normal 10 2 3 2 4 4" xfId="3763"/>
    <cellStyle name="Normal 10 2 3 2 4 4 2" xfId="6901"/>
    <cellStyle name="Normal 10 2 3 2 4 4 2 2" xfId="10233"/>
    <cellStyle name="Normal 10 2 3 2 4 4 2 2 2" xfId="16937"/>
    <cellStyle name="Normal 10 2 3 2 4 4 2 2 2 2" xfId="40358"/>
    <cellStyle name="Normal 10 2 3 2 4 4 2 2 3" xfId="33726"/>
    <cellStyle name="Normal 10 2 3 2 4 4 2 3" xfId="13621"/>
    <cellStyle name="Normal 10 2 3 2 4 4 2 3 2" xfId="37042"/>
    <cellStyle name="Normal 10 2 3 2 4 4 2 4" xfId="22395"/>
    <cellStyle name="Normal 10 2 3 2 4 4 2 4 2" xfId="44817"/>
    <cellStyle name="Normal 10 2 3 2 4 4 2 5" xfId="30410"/>
    <cellStyle name="Normal 10 2 3 2 4 4 3" xfId="8568"/>
    <cellStyle name="Normal 10 2 3 2 4 4 3 2" xfId="15279"/>
    <cellStyle name="Normal 10 2 3 2 4 4 3 2 2" xfId="38700"/>
    <cellStyle name="Normal 10 2 3 2 4 4 3 3" xfId="32068"/>
    <cellStyle name="Normal 10 2 3 2 4 4 4" xfId="11961"/>
    <cellStyle name="Normal 10 2 3 2 4 4 4 2" xfId="35384"/>
    <cellStyle name="Normal 10 2 3 2 4 4 5" xfId="19548"/>
    <cellStyle name="Normal 10 2 3 2 4 4 5 2" xfId="42085"/>
    <cellStyle name="Normal 10 2 3 2 4 4 6" xfId="28752"/>
    <cellStyle name="Normal 10 2 3 2 4 5" xfId="6236"/>
    <cellStyle name="Normal 10 2 3 2 4 5 2" xfId="9570"/>
    <cellStyle name="Normal 10 2 3 2 4 5 2 2" xfId="16274"/>
    <cellStyle name="Normal 10 2 3 2 4 5 2 2 2" xfId="39695"/>
    <cellStyle name="Normal 10 2 3 2 4 5 2 3" xfId="33063"/>
    <cellStyle name="Normal 10 2 3 2 4 5 3" xfId="12958"/>
    <cellStyle name="Normal 10 2 3 2 4 5 3 2" xfId="36379"/>
    <cellStyle name="Normal 10 2 3 2 4 5 4" xfId="20630"/>
    <cellStyle name="Normal 10 2 3 2 4 5 4 2" xfId="43081"/>
    <cellStyle name="Normal 10 2 3 2 4 5 5" xfId="29747"/>
    <cellStyle name="Normal 10 2 3 2 4 6" xfId="7902"/>
    <cellStyle name="Normal 10 2 3 2 4 6 2" xfId="14616"/>
    <cellStyle name="Normal 10 2 3 2 4 6 2 2" xfId="38037"/>
    <cellStyle name="Normal 10 2 3 2 4 6 3" xfId="21544"/>
    <cellStyle name="Normal 10 2 3 2 4 6 3 2" xfId="43993"/>
    <cellStyle name="Normal 10 2 3 2 4 6 4" xfId="31405"/>
    <cellStyle name="Normal 10 2 3 2 4 7" xfId="11298"/>
    <cellStyle name="Normal 10 2 3 2 4 7 2" xfId="34721"/>
    <cellStyle name="Normal 10 2 3 2 4 8" xfId="17907"/>
    <cellStyle name="Normal 10 2 3 2 4 8 2" xfId="41216"/>
    <cellStyle name="Normal 10 2 3 2 4 9" xfId="23247"/>
    <cellStyle name="Normal 10 2 3 2 4 9 2" xfId="45643"/>
    <cellStyle name="Normal 10 2 3 2 5" xfId="2147"/>
    <cellStyle name="Normal 10 2 3 2 5 2" xfId="5422"/>
    <cellStyle name="Normal 10 2 3 2 5 2 2" xfId="7248"/>
    <cellStyle name="Normal 10 2 3 2 5 2 2 2" xfId="10579"/>
    <cellStyle name="Normal 10 2 3 2 5 2 2 2 2" xfId="17283"/>
    <cellStyle name="Normal 10 2 3 2 5 2 2 2 2 2" xfId="40704"/>
    <cellStyle name="Normal 10 2 3 2 5 2 2 2 3" xfId="22995"/>
    <cellStyle name="Normal 10 2 3 2 5 2 2 2 3 2" xfId="45417"/>
    <cellStyle name="Normal 10 2 3 2 5 2 2 2 4" xfId="34072"/>
    <cellStyle name="Normal 10 2 3 2 5 2 2 3" xfId="13967"/>
    <cellStyle name="Normal 10 2 3 2 5 2 2 3 2" xfId="37388"/>
    <cellStyle name="Normal 10 2 3 2 5 2 2 4" xfId="20167"/>
    <cellStyle name="Normal 10 2 3 2 5 2 2 4 2" xfId="42702"/>
    <cellStyle name="Normal 10 2 3 2 5 2 2 5" xfId="30756"/>
    <cellStyle name="Normal 10 2 3 2 5 2 3" xfId="8921"/>
    <cellStyle name="Normal 10 2 3 2 5 2 3 2" xfId="15625"/>
    <cellStyle name="Normal 10 2 3 2 5 2 3 2 2" xfId="39046"/>
    <cellStyle name="Normal 10 2 3 2 5 2 3 3" xfId="21091"/>
    <cellStyle name="Normal 10 2 3 2 5 2 3 3 2" xfId="43542"/>
    <cellStyle name="Normal 10 2 3 2 5 2 3 4" xfId="32414"/>
    <cellStyle name="Normal 10 2 3 2 5 2 4" xfId="12309"/>
    <cellStyle name="Normal 10 2 3 2 5 2 4 2" xfId="22180"/>
    <cellStyle name="Normal 10 2 3 2 5 2 4 2 2" xfId="44602"/>
    <cellStyle name="Normal 10 2 3 2 5 2 4 3" xfId="35730"/>
    <cellStyle name="Normal 10 2 3 2 5 2 5" xfId="19328"/>
    <cellStyle name="Normal 10 2 3 2 5 2 5 2" xfId="41870"/>
    <cellStyle name="Normal 10 2 3 2 5 2 6" xfId="27334"/>
    <cellStyle name="Normal 10 2 3 2 5 2 6 2" xfId="49579"/>
    <cellStyle name="Normal 10 2 3 2 5 2 7" xfId="29098"/>
    <cellStyle name="Normal 10 2 3 2 5 3" xfId="6339"/>
    <cellStyle name="Normal 10 2 3 2 5 3 2" xfId="9673"/>
    <cellStyle name="Normal 10 2 3 2 5 3 2 2" xfId="16377"/>
    <cellStyle name="Normal 10 2 3 2 5 3 2 2 2" xfId="39798"/>
    <cellStyle name="Normal 10 2 3 2 5 3 2 3" xfId="22588"/>
    <cellStyle name="Normal 10 2 3 2 5 3 2 3 2" xfId="45010"/>
    <cellStyle name="Normal 10 2 3 2 5 3 2 4" xfId="33166"/>
    <cellStyle name="Normal 10 2 3 2 5 3 3" xfId="13061"/>
    <cellStyle name="Normal 10 2 3 2 5 3 3 2" xfId="36482"/>
    <cellStyle name="Normal 10 2 3 2 5 3 4" xfId="19751"/>
    <cellStyle name="Normal 10 2 3 2 5 3 4 2" xfId="42286"/>
    <cellStyle name="Normal 10 2 3 2 5 3 5" xfId="29850"/>
    <cellStyle name="Normal 10 2 3 2 5 4" xfId="8006"/>
    <cellStyle name="Normal 10 2 3 2 5 4 2" xfId="14719"/>
    <cellStyle name="Normal 10 2 3 2 5 4 2 2" xfId="38140"/>
    <cellStyle name="Normal 10 2 3 2 5 4 3" xfId="20632"/>
    <cellStyle name="Normal 10 2 3 2 5 4 3 2" xfId="43083"/>
    <cellStyle name="Normal 10 2 3 2 5 4 4" xfId="31508"/>
    <cellStyle name="Normal 10 2 3 2 5 5" xfId="11401"/>
    <cellStyle name="Normal 10 2 3 2 5 5 2" xfId="21746"/>
    <cellStyle name="Normal 10 2 3 2 5 5 2 2" xfId="44188"/>
    <cellStyle name="Normal 10 2 3 2 5 5 3" xfId="34824"/>
    <cellStyle name="Normal 10 2 3 2 5 6" xfId="18501"/>
    <cellStyle name="Normal 10 2 3 2 5 6 2" xfId="41445"/>
    <cellStyle name="Normal 10 2 3 2 5 7" xfId="25044"/>
    <cellStyle name="Normal 10 2 3 2 5 7 2" xfId="47289"/>
    <cellStyle name="Normal 10 2 3 2 5 8" xfId="28192"/>
    <cellStyle name="Normal 10 2 3 2 6" xfId="2602"/>
    <cellStyle name="Normal 10 2 3 2 6 2" xfId="5695"/>
    <cellStyle name="Normal 10 2 3 2 6 2 2" xfId="7477"/>
    <cellStyle name="Normal 10 2 3 2 6 2 2 2" xfId="10806"/>
    <cellStyle name="Normal 10 2 3 2 6 2 2 2 2" xfId="17510"/>
    <cellStyle name="Normal 10 2 3 2 6 2 2 2 2 2" xfId="40931"/>
    <cellStyle name="Normal 10 2 3 2 6 2 2 2 3" xfId="34299"/>
    <cellStyle name="Normal 10 2 3 2 6 2 2 3" xfId="14194"/>
    <cellStyle name="Normal 10 2 3 2 6 2 2 3 2" xfId="37615"/>
    <cellStyle name="Normal 10 2 3 2 6 2 2 4" xfId="20568"/>
    <cellStyle name="Normal 10 2 3 2 6 2 2 4 2" xfId="43019"/>
    <cellStyle name="Normal 10 2 3 2 6 2 2 5" xfId="30983"/>
    <cellStyle name="Normal 10 2 3 2 6 2 3" xfId="9148"/>
    <cellStyle name="Normal 10 2 3 2 6 2 3 2" xfId="15852"/>
    <cellStyle name="Normal 10 2 3 2 6 2 3 2 2" xfId="39273"/>
    <cellStyle name="Normal 10 2 3 2 6 2 3 3" xfId="21486"/>
    <cellStyle name="Normal 10 2 3 2 6 2 3 3 2" xfId="43937"/>
    <cellStyle name="Normal 10 2 3 2 6 2 3 4" xfId="32641"/>
    <cellStyle name="Normal 10 2 3 2 6 2 4" xfId="12536"/>
    <cellStyle name="Normal 10 2 3 2 6 2 4 2" xfId="22795"/>
    <cellStyle name="Normal 10 2 3 2 6 2 4 2 2" xfId="45217"/>
    <cellStyle name="Normal 10 2 3 2 6 2 4 3" xfId="35957"/>
    <cellStyle name="Normal 10 2 3 2 6 2 5" xfId="19959"/>
    <cellStyle name="Normal 10 2 3 2 6 2 5 2" xfId="42494"/>
    <cellStyle name="Normal 10 2 3 2 6 2 6" xfId="29325"/>
    <cellStyle name="Normal 10 2 3 2 6 3" xfId="6578"/>
    <cellStyle name="Normal 10 2 3 2 6 3 2" xfId="9910"/>
    <cellStyle name="Normal 10 2 3 2 6 3 2 2" xfId="16614"/>
    <cellStyle name="Normal 10 2 3 2 6 3 2 2 2" xfId="40035"/>
    <cellStyle name="Normal 10 2 3 2 6 3 2 3" xfId="33403"/>
    <cellStyle name="Normal 10 2 3 2 6 3 3" xfId="13298"/>
    <cellStyle name="Normal 10 2 3 2 6 3 3 2" xfId="36719"/>
    <cellStyle name="Normal 10 2 3 2 6 3 4" xfId="20470"/>
    <cellStyle name="Normal 10 2 3 2 6 3 4 2" xfId="42923"/>
    <cellStyle name="Normal 10 2 3 2 6 3 5" xfId="30087"/>
    <cellStyle name="Normal 10 2 3 2 6 4" xfId="8244"/>
    <cellStyle name="Normal 10 2 3 2 6 4 2" xfId="14956"/>
    <cellStyle name="Normal 10 2 3 2 6 4 2 2" xfId="38377"/>
    <cellStyle name="Normal 10 2 3 2 6 4 3" xfId="21027"/>
    <cellStyle name="Normal 10 2 3 2 6 4 3 2" xfId="43478"/>
    <cellStyle name="Normal 10 2 3 2 6 4 4" xfId="31745"/>
    <cellStyle name="Normal 10 2 3 2 6 5" xfId="11638"/>
    <cellStyle name="Normal 10 2 3 2 6 5 2" xfId="21968"/>
    <cellStyle name="Normal 10 2 3 2 6 5 2 2" xfId="44396"/>
    <cellStyle name="Normal 10 2 3 2 6 5 3" xfId="35061"/>
    <cellStyle name="Normal 10 2 3 2 6 6" xfId="19105"/>
    <cellStyle name="Normal 10 2 3 2 6 6 2" xfId="41662"/>
    <cellStyle name="Normal 10 2 3 2 6 7" xfId="25745"/>
    <cellStyle name="Normal 10 2 3 2 6 7 2" xfId="47990"/>
    <cellStyle name="Normal 10 2 3 2 6 8" xfId="28429"/>
    <cellStyle name="Normal 10 2 3 2 7" xfId="3756"/>
    <cellStyle name="Normal 10 2 3 2 7 2" xfId="6894"/>
    <cellStyle name="Normal 10 2 3 2 7 2 2" xfId="10226"/>
    <cellStyle name="Normal 10 2 3 2 7 2 2 2" xfId="16930"/>
    <cellStyle name="Normal 10 2 3 2 7 2 2 2 2" xfId="40351"/>
    <cellStyle name="Normal 10 2 3 2 7 2 2 3" xfId="33719"/>
    <cellStyle name="Normal 10 2 3 2 7 2 3" xfId="13614"/>
    <cellStyle name="Normal 10 2 3 2 7 2 3 2" xfId="37035"/>
    <cellStyle name="Normal 10 2 3 2 7 2 4" xfId="20519"/>
    <cellStyle name="Normal 10 2 3 2 7 2 4 2" xfId="42972"/>
    <cellStyle name="Normal 10 2 3 2 7 2 5" xfId="30403"/>
    <cellStyle name="Normal 10 2 3 2 7 3" xfId="8561"/>
    <cellStyle name="Normal 10 2 3 2 7 3 2" xfId="15272"/>
    <cellStyle name="Normal 10 2 3 2 7 3 2 2" xfId="38693"/>
    <cellStyle name="Normal 10 2 3 2 7 3 3" xfId="21076"/>
    <cellStyle name="Normal 10 2 3 2 7 3 3 2" xfId="43527"/>
    <cellStyle name="Normal 10 2 3 2 7 3 4" xfId="32061"/>
    <cellStyle name="Normal 10 2 3 2 7 4" xfId="11954"/>
    <cellStyle name="Normal 10 2 3 2 7 4 2" xfId="22388"/>
    <cellStyle name="Normal 10 2 3 2 7 4 2 2" xfId="44810"/>
    <cellStyle name="Normal 10 2 3 2 7 4 3" xfId="35377"/>
    <cellStyle name="Normal 10 2 3 2 7 5" xfId="19541"/>
    <cellStyle name="Normal 10 2 3 2 7 5 2" xfId="42078"/>
    <cellStyle name="Normal 10 2 3 2 7 6" xfId="28745"/>
    <cellStyle name="Normal 10 2 3 2 8" xfId="6105"/>
    <cellStyle name="Normal 10 2 3 2 8 2" xfId="9439"/>
    <cellStyle name="Normal 10 2 3 2 8 2 2" xfId="16143"/>
    <cellStyle name="Normal 10 2 3 2 8 2 2 2" xfId="39564"/>
    <cellStyle name="Normal 10 2 3 2 8 2 3" xfId="32932"/>
    <cellStyle name="Normal 10 2 3 2 8 3" xfId="12827"/>
    <cellStyle name="Normal 10 2 3 2 8 3 2" xfId="36248"/>
    <cellStyle name="Normal 10 2 3 2 8 4" xfId="18289"/>
    <cellStyle name="Normal 10 2 3 2 8 4 2" xfId="41422"/>
    <cellStyle name="Normal 10 2 3 2 8 5" xfId="29616"/>
    <cellStyle name="Normal 10 2 3 2 9" xfId="7771"/>
    <cellStyle name="Normal 10 2 3 2 9 2" xfId="14485"/>
    <cellStyle name="Normal 10 2 3 2 9 2 2" xfId="37906"/>
    <cellStyle name="Normal 10 2 3 2 9 3" xfId="20617"/>
    <cellStyle name="Normal 10 2 3 2 9 3 2" xfId="43068"/>
    <cellStyle name="Normal 10 2 3 2 9 4" xfId="31274"/>
    <cellStyle name="Normal 10 2 3 3" xfId="1430"/>
    <cellStyle name="Normal 10 2 3 3 10" xfId="17908"/>
    <cellStyle name="Normal 10 2 3 3 10 2" xfId="41217"/>
    <cellStyle name="Normal 10 2 3 3 11" xfId="23246"/>
    <cellStyle name="Normal 10 2 3 3 11 2" xfId="45642"/>
    <cellStyle name="Normal 10 2 3 3 12" xfId="27966"/>
    <cellStyle name="Normal 10 2 3 3 2" xfId="1569"/>
    <cellStyle name="Normal 10 2 3 3 2 10" xfId="23316"/>
    <cellStyle name="Normal 10 2 3 3 2 10 2" xfId="45682"/>
    <cellStyle name="Normal 10 2 3 3 2 11" xfId="28012"/>
    <cellStyle name="Normal 10 2 3 3 2 2" xfId="1791"/>
    <cellStyle name="Normal 10 2 3 3 2 2 10" xfId="28143"/>
    <cellStyle name="Normal 10 2 3 3 2 2 2" xfId="2157"/>
    <cellStyle name="Normal 10 2 3 3 2 2 2 2" xfId="5432"/>
    <cellStyle name="Normal 10 2 3 3 2 2 2 2 2" xfId="7258"/>
    <cellStyle name="Normal 10 2 3 3 2 2 2 2 2 2" xfId="10589"/>
    <cellStyle name="Normal 10 2 3 3 2 2 2 2 2 2 2" xfId="17293"/>
    <cellStyle name="Normal 10 2 3 3 2 2 2 2 2 2 2 2" xfId="40714"/>
    <cellStyle name="Normal 10 2 3 3 2 2 2 2 2 2 3" xfId="23005"/>
    <cellStyle name="Normal 10 2 3 3 2 2 2 2 2 2 3 2" xfId="45427"/>
    <cellStyle name="Normal 10 2 3 3 2 2 2 2 2 2 4" xfId="34082"/>
    <cellStyle name="Normal 10 2 3 3 2 2 2 2 2 3" xfId="13977"/>
    <cellStyle name="Normal 10 2 3 3 2 2 2 2 2 3 2" xfId="37398"/>
    <cellStyle name="Normal 10 2 3 3 2 2 2 2 2 4" xfId="20177"/>
    <cellStyle name="Normal 10 2 3 3 2 2 2 2 2 4 2" xfId="42712"/>
    <cellStyle name="Normal 10 2 3 3 2 2 2 2 2 5" xfId="30766"/>
    <cellStyle name="Normal 10 2 3 3 2 2 2 2 3" xfId="8931"/>
    <cellStyle name="Normal 10 2 3 3 2 2 2 2 3 2" xfId="15635"/>
    <cellStyle name="Normal 10 2 3 3 2 2 2 2 3 2 2" xfId="39056"/>
    <cellStyle name="Normal 10 2 3 3 2 2 2 2 3 3" xfId="21095"/>
    <cellStyle name="Normal 10 2 3 3 2 2 2 2 3 3 2" xfId="43546"/>
    <cellStyle name="Normal 10 2 3 3 2 2 2 2 3 4" xfId="32424"/>
    <cellStyle name="Normal 10 2 3 3 2 2 2 2 4" xfId="12319"/>
    <cellStyle name="Normal 10 2 3 3 2 2 2 2 4 2" xfId="22190"/>
    <cellStyle name="Normal 10 2 3 3 2 2 2 2 4 2 2" xfId="44612"/>
    <cellStyle name="Normal 10 2 3 3 2 2 2 2 4 3" xfId="35740"/>
    <cellStyle name="Normal 10 2 3 3 2 2 2 2 5" xfId="19338"/>
    <cellStyle name="Normal 10 2 3 3 2 2 2 2 5 2" xfId="41880"/>
    <cellStyle name="Normal 10 2 3 3 2 2 2 2 6" xfId="27126"/>
    <cellStyle name="Normal 10 2 3 3 2 2 2 2 6 2" xfId="49371"/>
    <cellStyle name="Normal 10 2 3 3 2 2 2 2 7" xfId="29108"/>
    <cellStyle name="Normal 10 2 3 3 2 2 2 3" xfId="6349"/>
    <cellStyle name="Normal 10 2 3 3 2 2 2 3 2" xfId="9683"/>
    <cellStyle name="Normal 10 2 3 3 2 2 2 3 2 2" xfId="16387"/>
    <cellStyle name="Normal 10 2 3 3 2 2 2 3 2 2 2" xfId="39808"/>
    <cellStyle name="Normal 10 2 3 3 2 2 2 3 2 3" xfId="22598"/>
    <cellStyle name="Normal 10 2 3 3 2 2 2 3 2 3 2" xfId="45020"/>
    <cellStyle name="Normal 10 2 3 3 2 2 2 3 2 4" xfId="33176"/>
    <cellStyle name="Normal 10 2 3 3 2 2 2 3 3" xfId="13071"/>
    <cellStyle name="Normal 10 2 3 3 2 2 2 3 3 2" xfId="36492"/>
    <cellStyle name="Normal 10 2 3 3 2 2 2 3 4" xfId="19761"/>
    <cellStyle name="Normal 10 2 3 3 2 2 2 3 4 2" xfId="42296"/>
    <cellStyle name="Normal 10 2 3 3 2 2 2 3 5" xfId="29860"/>
    <cellStyle name="Normal 10 2 3 3 2 2 2 4" xfId="8016"/>
    <cellStyle name="Normal 10 2 3 3 2 2 2 4 2" xfId="14729"/>
    <cellStyle name="Normal 10 2 3 3 2 2 2 4 2 2" xfId="38150"/>
    <cellStyle name="Normal 10 2 3 3 2 2 2 4 3" xfId="20636"/>
    <cellStyle name="Normal 10 2 3 3 2 2 2 4 3 2" xfId="43087"/>
    <cellStyle name="Normal 10 2 3 3 2 2 2 4 4" xfId="31518"/>
    <cellStyle name="Normal 10 2 3 3 2 2 2 5" xfId="11411"/>
    <cellStyle name="Normal 10 2 3 3 2 2 2 5 2" xfId="21756"/>
    <cellStyle name="Normal 10 2 3 3 2 2 2 5 2 2" xfId="44198"/>
    <cellStyle name="Normal 10 2 3 3 2 2 2 5 3" xfId="34834"/>
    <cellStyle name="Normal 10 2 3 3 2 2 2 6" xfId="18511"/>
    <cellStyle name="Normal 10 2 3 3 2 2 2 6 2" xfId="41455"/>
    <cellStyle name="Normal 10 2 3 3 2 2 2 7" xfId="24913"/>
    <cellStyle name="Normal 10 2 3 3 2 2 2 7 2" xfId="47158"/>
    <cellStyle name="Normal 10 2 3 3 2 2 2 8" xfId="28202"/>
    <cellStyle name="Normal 10 2 3 3 2 2 3" xfId="2788"/>
    <cellStyle name="Normal 10 2 3 3 2 2 3 2" xfId="5880"/>
    <cellStyle name="Normal 10 2 3 3 2 2 3 2 2" xfId="7662"/>
    <cellStyle name="Normal 10 2 3 3 2 2 3 2 2 2" xfId="10991"/>
    <cellStyle name="Normal 10 2 3 3 2 2 3 2 2 2 2" xfId="17695"/>
    <cellStyle name="Normal 10 2 3 3 2 2 3 2 2 2 2 2" xfId="41116"/>
    <cellStyle name="Normal 10 2 3 3 2 2 3 2 2 2 3" xfId="34484"/>
    <cellStyle name="Normal 10 2 3 3 2 2 3 2 2 3" xfId="14379"/>
    <cellStyle name="Normal 10 2 3 3 2 2 3 2 2 3 2" xfId="37800"/>
    <cellStyle name="Normal 10 2 3 3 2 2 3 2 2 4" xfId="22805"/>
    <cellStyle name="Normal 10 2 3 3 2 2 3 2 2 4 2" xfId="45227"/>
    <cellStyle name="Normal 10 2 3 3 2 2 3 2 2 5" xfId="31168"/>
    <cellStyle name="Normal 10 2 3 3 2 2 3 2 3" xfId="9333"/>
    <cellStyle name="Normal 10 2 3 3 2 2 3 2 3 2" xfId="16037"/>
    <cellStyle name="Normal 10 2 3 3 2 2 3 2 3 2 2" xfId="39458"/>
    <cellStyle name="Normal 10 2 3 3 2 2 3 2 3 3" xfId="32826"/>
    <cellStyle name="Normal 10 2 3 3 2 2 3 2 4" xfId="12721"/>
    <cellStyle name="Normal 10 2 3 3 2 2 3 2 4 2" xfId="36142"/>
    <cellStyle name="Normal 10 2 3 3 2 2 3 2 5" xfId="19969"/>
    <cellStyle name="Normal 10 2 3 3 2 2 3 2 5 2" xfId="42504"/>
    <cellStyle name="Normal 10 2 3 3 2 2 3 2 6" xfId="27796"/>
    <cellStyle name="Normal 10 2 3 3 2 2 3 2 6 2" xfId="50041"/>
    <cellStyle name="Normal 10 2 3 3 2 2 3 2 7" xfId="29510"/>
    <cellStyle name="Normal 10 2 3 3 2 2 3 3" xfId="6763"/>
    <cellStyle name="Normal 10 2 3 3 2 2 3 3 2" xfId="10095"/>
    <cellStyle name="Normal 10 2 3 3 2 2 3 3 2 2" xfId="16799"/>
    <cellStyle name="Normal 10 2 3 3 2 2 3 3 2 2 2" xfId="40220"/>
    <cellStyle name="Normal 10 2 3 3 2 2 3 3 2 3" xfId="33588"/>
    <cellStyle name="Normal 10 2 3 3 2 2 3 3 3" xfId="13483"/>
    <cellStyle name="Normal 10 2 3 3 2 2 3 3 3 2" xfId="36904"/>
    <cellStyle name="Normal 10 2 3 3 2 2 3 3 4" xfId="21094"/>
    <cellStyle name="Normal 10 2 3 3 2 2 3 3 4 2" xfId="43545"/>
    <cellStyle name="Normal 10 2 3 3 2 2 3 3 5" xfId="30272"/>
    <cellStyle name="Normal 10 2 3 3 2 2 3 4" xfId="8429"/>
    <cellStyle name="Normal 10 2 3 3 2 2 3 4 2" xfId="15141"/>
    <cellStyle name="Normal 10 2 3 3 2 2 3 4 2 2" xfId="38562"/>
    <cellStyle name="Normal 10 2 3 3 2 2 3 4 3" xfId="21978"/>
    <cellStyle name="Normal 10 2 3 3 2 2 3 4 3 2" xfId="44406"/>
    <cellStyle name="Normal 10 2 3 3 2 2 3 4 4" xfId="31930"/>
    <cellStyle name="Normal 10 2 3 3 2 2 3 5" xfId="11823"/>
    <cellStyle name="Normal 10 2 3 3 2 2 3 5 2" xfId="35246"/>
    <cellStyle name="Normal 10 2 3 3 2 2 3 6" xfId="19115"/>
    <cellStyle name="Normal 10 2 3 3 2 2 3 6 2" xfId="41672"/>
    <cellStyle name="Normal 10 2 3 3 2 2 3 7" xfId="25491"/>
    <cellStyle name="Normal 10 2 3 3 2 2 3 7 2" xfId="47736"/>
    <cellStyle name="Normal 10 2 3 3 2 2 3 8" xfId="28614"/>
    <cellStyle name="Normal 10 2 3 3 2 2 4" xfId="3766"/>
    <cellStyle name="Normal 10 2 3 3 2 2 4 2" xfId="6904"/>
    <cellStyle name="Normal 10 2 3 3 2 2 4 2 2" xfId="10236"/>
    <cellStyle name="Normal 10 2 3 3 2 2 4 2 2 2" xfId="16940"/>
    <cellStyle name="Normal 10 2 3 3 2 2 4 2 2 2 2" xfId="40361"/>
    <cellStyle name="Normal 10 2 3 3 2 2 4 2 2 3" xfId="33729"/>
    <cellStyle name="Normal 10 2 3 3 2 2 4 2 3" xfId="13624"/>
    <cellStyle name="Normal 10 2 3 3 2 2 4 2 3 2" xfId="37045"/>
    <cellStyle name="Normal 10 2 3 3 2 2 4 2 4" xfId="22398"/>
    <cellStyle name="Normal 10 2 3 3 2 2 4 2 4 2" xfId="44820"/>
    <cellStyle name="Normal 10 2 3 3 2 2 4 2 5" xfId="30413"/>
    <cellStyle name="Normal 10 2 3 3 2 2 4 3" xfId="8571"/>
    <cellStyle name="Normal 10 2 3 3 2 2 4 3 2" xfId="15282"/>
    <cellStyle name="Normal 10 2 3 3 2 2 4 3 2 2" xfId="38703"/>
    <cellStyle name="Normal 10 2 3 3 2 2 4 3 3" xfId="32071"/>
    <cellStyle name="Normal 10 2 3 3 2 2 4 4" xfId="11964"/>
    <cellStyle name="Normal 10 2 3 3 2 2 4 4 2" xfId="35387"/>
    <cellStyle name="Normal 10 2 3 3 2 2 4 5" xfId="19551"/>
    <cellStyle name="Normal 10 2 3 3 2 2 4 5 2" xfId="42088"/>
    <cellStyle name="Normal 10 2 3 3 2 2 4 6" xfId="25755"/>
    <cellStyle name="Normal 10 2 3 3 2 2 4 6 2" xfId="48000"/>
    <cellStyle name="Normal 10 2 3 3 2 2 4 7" xfId="28755"/>
    <cellStyle name="Normal 10 2 3 3 2 2 5" xfId="6290"/>
    <cellStyle name="Normal 10 2 3 3 2 2 5 2" xfId="9624"/>
    <cellStyle name="Normal 10 2 3 3 2 2 5 2 2" xfId="16328"/>
    <cellStyle name="Normal 10 2 3 3 2 2 5 2 2 2" xfId="39749"/>
    <cellStyle name="Normal 10 2 3 3 2 2 5 2 3" xfId="33117"/>
    <cellStyle name="Normal 10 2 3 3 2 2 5 3" xfId="13012"/>
    <cellStyle name="Normal 10 2 3 3 2 2 5 3 2" xfId="36433"/>
    <cellStyle name="Normal 10 2 3 3 2 2 5 4" xfId="20635"/>
    <cellStyle name="Normal 10 2 3 3 2 2 5 4 2" xfId="43086"/>
    <cellStyle name="Normal 10 2 3 3 2 2 5 5" xfId="29801"/>
    <cellStyle name="Normal 10 2 3 3 2 2 6" xfId="7956"/>
    <cellStyle name="Normal 10 2 3 3 2 2 6 2" xfId="14670"/>
    <cellStyle name="Normal 10 2 3 3 2 2 6 2 2" xfId="38091"/>
    <cellStyle name="Normal 10 2 3 3 2 2 6 3" xfId="21547"/>
    <cellStyle name="Normal 10 2 3 3 2 2 6 3 2" xfId="43996"/>
    <cellStyle name="Normal 10 2 3 3 2 2 6 4" xfId="31459"/>
    <cellStyle name="Normal 10 2 3 3 2 2 7" xfId="11352"/>
    <cellStyle name="Normal 10 2 3 3 2 2 7 2" xfId="34775"/>
    <cellStyle name="Normal 10 2 3 3 2 2 8" xfId="17910"/>
    <cellStyle name="Normal 10 2 3 3 2 2 8 2" xfId="41219"/>
    <cellStyle name="Normal 10 2 3 3 2 2 9" xfId="23315"/>
    <cellStyle name="Normal 10 2 3 3 2 2 9 2" xfId="45681"/>
    <cellStyle name="Normal 10 2 3 3 2 3" xfId="2156"/>
    <cellStyle name="Normal 10 2 3 3 2 3 2" xfId="5431"/>
    <cellStyle name="Normal 10 2 3 3 2 3 2 2" xfId="7257"/>
    <cellStyle name="Normal 10 2 3 3 2 3 2 2 2" xfId="10588"/>
    <cellStyle name="Normal 10 2 3 3 2 3 2 2 2 2" xfId="17292"/>
    <cellStyle name="Normal 10 2 3 3 2 3 2 2 2 2 2" xfId="40713"/>
    <cellStyle name="Normal 10 2 3 3 2 3 2 2 2 3" xfId="23004"/>
    <cellStyle name="Normal 10 2 3 3 2 3 2 2 2 3 2" xfId="45426"/>
    <cellStyle name="Normal 10 2 3 3 2 3 2 2 2 4" xfId="34081"/>
    <cellStyle name="Normal 10 2 3 3 2 3 2 2 3" xfId="13976"/>
    <cellStyle name="Normal 10 2 3 3 2 3 2 2 3 2" xfId="37397"/>
    <cellStyle name="Normal 10 2 3 3 2 3 2 2 4" xfId="20176"/>
    <cellStyle name="Normal 10 2 3 3 2 3 2 2 4 2" xfId="42711"/>
    <cellStyle name="Normal 10 2 3 3 2 3 2 2 5" xfId="30765"/>
    <cellStyle name="Normal 10 2 3 3 2 3 2 3" xfId="8930"/>
    <cellStyle name="Normal 10 2 3 3 2 3 2 3 2" xfId="15634"/>
    <cellStyle name="Normal 10 2 3 3 2 3 2 3 2 2" xfId="39055"/>
    <cellStyle name="Normal 10 2 3 3 2 3 2 3 3" xfId="21096"/>
    <cellStyle name="Normal 10 2 3 3 2 3 2 3 3 2" xfId="43547"/>
    <cellStyle name="Normal 10 2 3 3 2 3 2 3 4" xfId="32423"/>
    <cellStyle name="Normal 10 2 3 3 2 3 2 4" xfId="12318"/>
    <cellStyle name="Normal 10 2 3 3 2 3 2 4 2" xfId="22189"/>
    <cellStyle name="Normal 10 2 3 3 2 3 2 4 2 2" xfId="44611"/>
    <cellStyle name="Normal 10 2 3 3 2 3 2 4 3" xfId="35739"/>
    <cellStyle name="Normal 10 2 3 3 2 3 2 5" xfId="19337"/>
    <cellStyle name="Normal 10 2 3 3 2 3 2 5 2" xfId="41879"/>
    <cellStyle name="Normal 10 2 3 3 2 3 2 6" xfId="26794"/>
    <cellStyle name="Normal 10 2 3 3 2 3 2 6 2" xfId="49039"/>
    <cellStyle name="Normal 10 2 3 3 2 3 2 7" xfId="29107"/>
    <cellStyle name="Normal 10 2 3 3 2 3 3" xfId="6348"/>
    <cellStyle name="Normal 10 2 3 3 2 3 3 2" xfId="9682"/>
    <cellStyle name="Normal 10 2 3 3 2 3 3 2 2" xfId="16386"/>
    <cellStyle name="Normal 10 2 3 3 2 3 3 2 2 2" xfId="39807"/>
    <cellStyle name="Normal 10 2 3 3 2 3 3 2 3" xfId="22597"/>
    <cellStyle name="Normal 10 2 3 3 2 3 3 2 3 2" xfId="45019"/>
    <cellStyle name="Normal 10 2 3 3 2 3 3 2 4" xfId="33175"/>
    <cellStyle name="Normal 10 2 3 3 2 3 3 3" xfId="13070"/>
    <cellStyle name="Normal 10 2 3 3 2 3 3 3 2" xfId="36491"/>
    <cellStyle name="Normal 10 2 3 3 2 3 3 4" xfId="19760"/>
    <cellStyle name="Normal 10 2 3 3 2 3 3 4 2" xfId="42295"/>
    <cellStyle name="Normal 10 2 3 3 2 3 3 5" xfId="29859"/>
    <cellStyle name="Normal 10 2 3 3 2 3 4" xfId="8015"/>
    <cellStyle name="Normal 10 2 3 3 2 3 4 2" xfId="14728"/>
    <cellStyle name="Normal 10 2 3 3 2 3 4 2 2" xfId="38149"/>
    <cellStyle name="Normal 10 2 3 3 2 3 4 3" xfId="20637"/>
    <cellStyle name="Normal 10 2 3 3 2 3 4 3 2" xfId="43088"/>
    <cellStyle name="Normal 10 2 3 3 2 3 4 4" xfId="31517"/>
    <cellStyle name="Normal 10 2 3 3 2 3 5" xfId="11410"/>
    <cellStyle name="Normal 10 2 3 3 2 3 5 2" xfId="21755"/>
    <cellStyle name="Normal 10 2 3 3 2 3 5 2 2" xfId="44197"/>
    <cellStyle name="Normal 10 2 3 3 2 3 5 3" xfId="34833"/>
    <cellStyle name="Normal 10 2 3 3 2 3 6" xfId="18510"/>
    <cellStyle name="Normal 10 2 3 3 2 3 6 2" xfId="41454"/>
    <cellStyle name="Normal 10 2 3 3 2 3 7" xfId="24581"/>
    <cellStyle name="Normal 10 2 3 3 2 3 7 2" xfId="46826"/>
    <cellStyle name="Normal 10 2 3 3 2 3 8" xfId="28201"/>
    <cellStyle name="Normal 10 2 3 3 2 4" xfId="2656"/>
    <cellStyle name="Normal 10 2 3 3 2 4 2" xfId="5749"/>
    <cellStyle name="Normal 10 2 3 3 2 4 2 2" xfId="7531"/>
    <cellStyle name="Normal 10 2 3 3 2 4 2 2 2" xfId="10860"/>
    <cellStyle name="Normal 10 2 3 3 2 4 2 2 2 2" xfId="17564"/>
    <cellStyle name="Normal 10 2 3 3 2 4 2 2 2 2 2" xfId="40985"/>
    <cellStyle name="Normal 10 2 3 3 2 4 2 2 2 3" xfId="34353"/>
    <cellStyle name="Normal 10 2 3 3 2 4 2 2 3" xfId="14248"/>
    <cellStyle name="Normal 10 2 3 3 2 4 2 2 3 2" xfId="37669"/>
    <cellStyle name="Normal 10 2 3 3 2 4 2 2 4" xfId="22804"/>
    <cellStyle name="Normal 10 2 3 3 2 4 2 2 4 2" xfId="45226"/>
    <cellStyle name="Normal 10 2 3 3 2 4 2 2 5" xfId="31037"/>
    <cellStyle name="Normal 10 2 3 3 2 4 2 3" xfId="9202"/>
    <cellStyle name="Normal 10 2 3 3 2 4 2 3 2" xfId="15906"/>
    <cellStyle name="Normal 10 2 3 3 2 4 2 3 2 2" xfId="39327"/>
    <cellStyle name="Normal 10 2 3 3 2 4 2 3 3" xfId="32695"/>
    <cellStyle name="Normal 10 2 3 3 2 4 2 4" xfId="12590"/>
    <cellStyle name="Normal 10 2 3 3 2 4 2 4 2" xfId="36011"/>
    <cellStyle name="Normal 10 2 3 3 2 4 2 5" xfId="19968"/>
    <cellStyle name="Normal 10 2 3 3 2 4 2 5 2" xfId="42503"/>
    <cellStyle name="Normal 10 2 3 3 2 4 2 6" xfId="27460"/>
    <cellStyle name="Normal 10 2 3 3 2 4 2 6 2" xfId="49705"/>
    <cellStyle name="Normal 10 2 3 3 2 4 2 7" xfId="29379"/>
    <cellStyle name="Normal 10 2 3 3 2 4 3" xfId="6632"/>
    <cellStyle name="Normal 10 2 3 3 2 4 3 2" xfId="9964"/>
    <cellStyle name="Normal 10 2 3 3 2 4 3 2 2" xfId="16668"/>
    <cellStyle name="Normal 10 2 3 3 2 4 3 2 2 2" xfId="40089"/>
    <cellStyle name="Normal 10 2 3 3 2 4 3 2 3" xfId="33457"/>
    <cellStyle name="Normal 10 2 3 3 2 4 3 3" xfId="13352"/>
    <cellStyle name="Normal 10 2 3 3 2 4 3 3 2" xfId="36773"/>
    <cellStyle name="Normal 10 2 3 3 2 4 3 4" xfId="21093"/>
    <cellStyle name="Normal 10 2 3 3 2 4 3 4 2" xfId="43544"/>
    <cellStyle name="Normal 10 2 3 3 2 4 3 5" xfId="30141"/>
    <cellStyle name="Normal 10 2 3 3 2 4 4" xfId="8298"/>
    <cellStyle name="Normal 10 2 3 3 2 4 4 2" xfId="15010"/>
    <cellStyle name="Normal 10 2 3 3 2 4 4 2 2" xfId="38431"/>
    <cellStyle name="Normal 10 2 3 3 2 4 4 3" xfId="21977"/>
    <cellStyle name="Normal 10 2 3 3 2 4 4 3 2" xfId="44405"/>
    <cellStyle name="Normal 10 2 3 3 2 4 4 4" xfId="31799"/>
    <cellStyle name="Normal 10 2 3 3 2 4 5" xfId="11692"/>
    <cellStyle name="Normal 10 2 3 3 2 4 5 2" xfId="35115"/>
    <cellStyle name="Normal 10 2 3 3 2 4 6" xfId="19114"/>
    <cellStyle name="Normal 10 2 3 3 2 4 6 2" xfId="41671"/>
    <cellStyle name="Normal 10 2 3 3 2 4 7" xfId="25155"/>
    <cellStyle name="Normal 10 2 3 3 2 4 7 2" xfId="47400"/>
    <cellStyle name="Normal 10 2 3 3 2 4 8" xfId="28483"/>
    <cellStyle name="Normal 10 2 3 3 2 5" xfId="3765"/>
    <cellStyle name="Normal 10 2 3 3 2 5 2" xfId="6903"/>
    <cellStyle name="Normal 10 2 3 3 2 5 2 2" xfId="10235"/>
    <cellStyle name="Normal 10 2 3 3 2 5 2 2 2" xfId="16939"/>
    <cellStyle name="Normal 10 2 3 3 2 5 2 2 2 2" xfId="40360"/>
    <cellStyle name="Normal 10 2 3 3 2 5 2 2 3" xfId="33728"/>
    <cellStyle name="Normal 10 2 3 3 2 5 2 3" xfId="13623"/>
    <cellStyle name="Normal 10 2 3 3 2 5 2 3 2" xfId="37044"/>
    <cellStyle name="Normal 10 2 3 3 2 5 2 4" xfId="22397"/>
    <cellStyle name="Normal 10 2 3 3 2 5 2 4 2" xfId="44819"/>
    <cellStyle name="Normal 10 2 3 3 2 5 2 5" xfId="30412"/>
    <cellStyle name="Normal 10 2 3 3 2 5 3" xfId="8570"/>
    <cellStyle name="Normal 10 2 3 3 2 5 3 2" xfId="15281"/>
    <cellStyle name="Normal 10 2 3 3 2 5 3 2 2" xfId="38702"/>
    <cellStyle name="Normal 10 2 3 3 2 5 3 3" xfId="32070"/>
    <cellStyle name="Normal 10 2 3 3 2 5 4" xfId="11963"/>
    <cellStyle name="Normal 10 2 3 3 2 5 4 2" xfId="35386"/>
    <cellStyle name="Normal 10 2 3 3 2 5 5" xfId="19550"/>
    <cellStyle name="Normal 10 2 3 3 2 5 5 2" xfId="42087"/>
    <cellStyle name="Normal 10 2 3 3 2 5 6" xfId="25754"/>
    <cellStyle name="Normal 10 2 3 3 2 5 6 2" xfId="47999"/>
    <cellStyle name="Normal 10 2 3 3 2 5 7" xfId="28754"/>
    <cellStyle name="Normal 10 2 3 3 2 6" xfId="6159"/>
    <cellStyle name="Normal 10 2 3 3 2 6 2" xfId="9493"/>
    <cellStyle name="Normal 10 2 3 3 2 6 2 2" xfId="16197"/>
    <cellStyle name="Normal 10 2 3 3 2 6 2 2 2" xfId="39618"/>
    <cellStyle name="Normal 10 2 3 3 2 6 2 3" xfId="32986"/>
    <cellStyle name="Normal 10 2 3 3 2 6 3" xfId="12881"/>
    <cellStyle name="Normal 10 2 3 3 2 6 3 2" xfId="36302"/>
    <cellStyle name="Normal 10 2 3 3 2 6 4" xfId="20634"/>
    <cellStyle name="Normal 10 2 3 3 2 6 4 2" xfId="43085"/>
    <cellStyle name="Normal 10 2 3 3 2 6 5" xfId="29670"/>
    <cellStyle name="Normal 10 2 3 3 2 7" xfId="7825"/>
    <cellStyle name="Normal 10 2 3 3 2 7 2" xfId="14539"/>
    <cellStyle name="Normal 10 2 3 3 2 7 2 2" xfId="37960"/>
    <cellStyle name="Normal 10 2 3 3 2 7 3" xfId="21546"/>
    <cellStyle name="Normal 10 2 3 3 2 7 3 2" xfId="43995"/>
    <cellStyle name="Normal 10 2 3 3 2 7 4" xfId="31328"/>
    <cellStyle name="Normal 10 2 3 3 2 8" xfId="11221"/>
    <cellStyle name="Normal 10 2 3 3 2 8 2" xfId="34644"/>
    <cellStyle name="Normal 10 2 3 3 2 9" xfId="17909"/>
    <cellStyle name="Normal 10 2 3 3 2 9 2" xfId="41218"/>
    <cellStyle name="Normal 10 2 3 3 3" xfId="1745"/>
    <cellStyle name="Normal 10 2 3 3 3 10" xfId="28097"/>
    <cellStyle name="Normal 10 2 3 3 3 2" xfId="2158"/>
    <cellStyle name="Normal 10 2 3 3 3 2 2" xfId="5433"/>
    <cellStyle name="Normal 10 2 3 3 3 2 2 2" xfId="7259"/>
    <cellStyle name="Normal 10 2 3 3 3 2 2 2 2" xfId="10590"/>
    <cellStyle name="Normal 10 2 3 3 3 2 2 2 2 2" xfId="17294"/>
    <cellStyle name="Normal 10 2 3 3 3 2 2 2 2 2 2" xfId="40715"/>
    <cellStyle name="Normal 10 2 3 3 3 2 2 2 2 3" xfId="23006"/>
    <cellStyle name="Normal 10 2 3 3 3 2 2 2 2 3 2" xfId="45428"/>
    <cellStyle name="Normal 10 2 3 3 3 2 2 2 2 4" xfId="34083"/>
    <cellStyle name="Normal 10 2 3 3 3 2 2 2 3" xfId="13978"/>
    <cellStyle name="Normal 10 2 3 3 3 2 2 2 3 2" xfId="37399"/>
    <cellStyle name="Normal 10 2 3 3 3 2 2 2 4" xfId="20178"/>
    <cellStyle name="Normal 10 2 3 3 3 2 2 2 4 2" xfId="42713"/>
    <cellStyle name="Normal 10 2 3 3 3 2 2 2 5" xfId="30767"/>
    <cellStyle name="Normal 10 2 3 3 3 2 2 3" xfId="8932"/>
    <cellStyle name="Normal 10 2 3 3 3 2 2 3 2" xfId="15636"/>
    <cellStyle name="Normal 10 2 3 3 3 2 2 3 2 2" xfId="39057"/>
    <cellStyle name="Normal 10 2 3 3 3 2 2 3 3" xfId="21098"/>
    <cellStyle name="Normal 10 2 3 3 3 2 2 3 3 2" xfId="43549"/>
    <cellStyle name="Normal 10 2 3 3 3 2 2 3 4" xfId="32425"/>
    <cellStyle name="Normal 10 2 3 3 3 2 2 4" xfId="12320"/>
    <cellStyle name="Normal 10 2 3 3 3 2 2 4 2" xfId="22191"/>
    <cellStyle name="Normal 10 2 3 3 3 2 2 4 2 2" xfId="44613"/>
    <cellStyle name="Normal 10 2 3 3 3 2 2 4 3" xfId="35741"/>
    <cellStyle name="Normal 10 2 3 3 3 2 2 5" xfId="19339"/>
    <cellStyle name="Normal 10 2 3 3 3 2 2 5 2" xfId="41881"/>
    <cellStyle name="Normal 10 2 3 3 3 2 2 6" xfId="26960"/>
    <cellStyle name="Normal 10 2 3 3 3 2 2 6 2" xfId="49205"/>
    <cellStyle name="Normal 10 2 3 3 3 2 2 7" xfId="29109"/>
    <cellStyle name="Normal 10 2 3 3 3 2 3" xfId="6350"/>
    <cellStyle name="Normal 10 2 3 3 3 2 3 2" xfId="9684"/>
    <cellStyle name="Normal 10 2 3 3 3 2 3 2 2" xfId="16388"/>
    <cellStyle name="Normal 10 2 3 3 3 2 3 2 2 2" xfId="39809"/>
    <cellStyle name="Normal 10 2 3 3 3 2 3 2 3" xfId="22599"/>
    <cellStyle name="Normal 10 2 3 3 3 2 3 2 3 2" xfId="45021"/>
    <cellStyle name="Normal 10 2 3 3 3 2 3 2 4" xfId="33177"/>
    <cellStyle name="Normal 10 2 3 3 3 2 3 3" xfId="13072"/>
    <cellStyle name="Normal 10 2 3 3 3 2 3 3 2" xfId="36493"/>
    <cellStyle name="Normal 10 2 3 3 3 2 3 4" xfId="19762"/>
    <cellStyle name="Normal 10 2 3 3 3 2 3 4 2" xfId="42297"/>
    <cellStyle name="Normal 10 2 3 3 3 2 3 5" xfId="29861"/>
    <cellStyle name="Normal 10 2 3 3 3 2 4" xfId="8017"/>
    <cellStyle name="Normal 10 2 3 3 3 2 4 2" xfId="14730"/>
    <cellStyle name="Normal 10 2 3 3 3 2 4 2 2" xfId="38151"/>
    <cellStyle name="Normal 10 2 3 3 3 2 4 3" xfId="20639"/>
    <cellStyle name="Normal 10 2 3 3 3 2 4 3 2" xfId="43090"/>
    <cellStyle name="Normal 10 2 3 3 3 2 4 4" xfId="31519"/>
    <cellStyle name="Normal 10 2 3 3 3 2 5" xfId="11412"/>
    <cellStyle name="Normal 10 2 3 3 3 2 5 2" xfId="21757"/>
    <cellStyle name="Normal 10 2 3 3 3 2 5 2 2" xfId="44199"/>
    <cellStyle name="Normal 10 2 3 3 3 2 5 3" xfId="34835"/>
    <cellStyle name="Normal 10 2 3 3 3 2 6" xfId="18512"/>
    <cellStyle name="Normal 10 2 3 3 3 2 6 2" xfId="41456"/>
    <cellStyle name="Normal 10 2 3 3 3 2 7" xfId="24747"/>
    <cellStyle name="Normal 10 2 3 3 3 2 7 2" xfId="46992"/>
    <cellStyle name="Normal 10 2 3 3 3 2 8" xfId="28203"/>
    <cellStyle name="Normal 10 2 3 3 3 3" xfId="2742"/>
    <cellStyle name="Normal 10 2 3 3 3 3 2" xfId="5834"/>
    <cellStyle name="Normal 10 2 3 3 3 3 2 2" xfId="7616"/>
    <cellStyle name="Normal 10 2 3 3 3 3 2 2 2" xfId="10945"/>
    <cellStyle name="Normal 10 2 3 3 3 3 2 2 2 2" xfId="17649"/>
    <cellStyle name="Normal 10 2 3 3 3 3 2 2 2 2 2" xfId="41070"/>
    <cellStyle name="Normal 10 2 3 3 3 3 2 2 2 3" xfId="34438"/>
    <cellStyle name="Normal 10 2 3 3 3 3 2 2 3" xfId="14333"/>
    <cellStyle name="Normal 10 2 3 3 3 3 2 2 3 2" xfId="37754"/>
    <cellStyle name="Normal 10 2 3 3 3 3 2 2 4" xfId="22806"/>
    <cellStyle name="Normal 10 2 3 3 3 3 2 2 4 2" xfId="45228"/>
    <cellStyle name="Normal 10 2 3 3 3 3 2 2 5" xfId="31122"/>
    <cellStyle name="Normal 10 2 3 3 3 3 2 3" xfId="9287"/>
    <cellStyle name="Normal 10 2 3 3 3 3 2 3 2" xfId="15991"/>
    <cellStyle name="Normal 10 2 3 3 3 3 2 3 2 2" xfId="39412"/>
    <cellStyle name="Normal 10 2 3 3 3 3 2 3 3" xfId="32780"/>
    <cellStyle name="Normal 10 2 3 3 3 3 2 4" xfId="12675"/>
    <cellStyle name="Normal 10 2 3 3 3 3 2 4 2" xfId="36096"/>
    <cellStyle name="Normal 10 2 3 3 3 3 2 5" xfId="19970"/>
    <cellStyle name="Normal 10 2 3 3 3 3 2 5 2" xfId="42505"/>
    <cellStyle name="Normal 10 2 3 3 3 3 2 6" xfId="27628"/>
    <cellStyle name="Normal 10 2 3 3 3 3 2 6 2" xfId="49873"/>
    <cellStyle name="Normal 10 2 3 3 3 3 2 7" xfId="29464"/>
    <cellStyle name="Normal 10 2 3 3 3 3 3" xfId="6717"/>
    <cellStyle name="Normal 10 2 3 3 3 3 3 2" xfId="10049"/>
    <cellStyle name="Normal 10 2 3 3 3 3 3 2 2" xfId="16753"/>
    <cellStyle name="Normal 10 2 3 3 3 3 3 2 2 2" xfId="40174"/>
    <cellStyle name="Normal 10 2 3 3 3 3 3 2 3" xfId="33542"/>
    <cellStyle name="Normal 10 2 3 3 3 3 3 3" xfId="13437"/>
    <cellStyle name="Normal 10 2 3 3 3 3 3 3 2" xfId="36858"/>
    <cellStyle name="Normal 10 2 3 3 3 3 3 4" xfId="21097"/>
    <cellStyle name="Normal 10 2 3 3 3 3 3 4 2" xfId="43548"/>
    <cellStyle name="Normal 10 2 3 3 3 3 3 5" xfId="30226"/>
    <cellStyle name="Normal 10 2 3 3 3 3 4" xfId="8383"/>
    <cellStyle name="Normal 10 2 3 3 3 3 4 2" xfId="15095"/>
    <cellStyle name="Normal 10 2 3 3 3 3 4 2 2" xfId="38516"/>
    <cellStyle name="Normal 10 2 3 3 3 3 4 3" xfId="21979"/>
    <cellStyle name="Normal 10 2 3 3 3 3 4 3 2" xfId="44407"/>
    <cellStyle name="Normal 10 2 3 3 3 3 4 4" xfId="31884"/>
    <cellStyle name="Normal 10 2 3 3 3 3 5" xfId="11777"/>
    <cellStyle name="Normal 10 2 3 3 3 3 5 2" xfId="35200"/>
    <cellStyle name="Normal 10 2 3 3 3 3 6" xfId="19116"/>
    <cellStyle name="Normal 10 2 3 3 3 3 6 2" xfId="41673"/>
    <cellStyle name="Normal 10 2 3 3 3 3 7" xfId="25323"/>
    <cellStyle name="Normal 10 2 3 3 3 3 7 2" xfId="47568"/>
    <cellStyle name="Normal 10 2 3 3 3 3 8" xfId="28568"/>
    <cellStyle name="Normal 10 2 3 3 3 4" xfId="3767"/>
    <cellStyle name="Normal 10 2 3 3 3 4 2" xfId="6905"/>
    <cellStyle name="Normal 10 2 3 3 3 4 2 2" xfId="10237"/>
    <cellStyle name="Normal 10 2 3 3 3 4 2 2 2" xfId="16941"/>
    <cellStyle name="Normal 10 2 3 3 3 4 2 2 2 2" xfId="40362"/>
    <cellStyle name="Normal 10 2 3 3 3 4 2 2 3" xfId="33730"/>
    <cellStyle name="Normal 10 2 3 3 3 4 2 3" xfId="13625"/>
    <cellStyle name="Normal 10 2 3 3 3 4 2 3 2" xfId="37046"/>
    <cellStyle name="Normal 10 2 3 3 3 4 2 4" xfId="22399"/>
    <cellStyle name="Normal 10 2 3 3 3 4 2 4 2" xfId="44821"/>
    <cellStyle name="Normal 10 2 3 3 3 4 2 5" xfId="30414"/>
    <cellStyle name="Normal 10 2 3 3 3 4 3" xfId="8572"/>
    <cellStyle name="Normal 10 2 3 3 3 4 3 2" xfId="15283"/>
    <cellStyle name="Normal 10 2 3 3 3 4 3 2 2" xfId="38704"/>
    <cellStyle name="Normal 10 2 3 3 3 4 3 3" xfId="32072"/>
    <cellStyle name="Normal 10 2 3 3 3 4 4" xfId="11965"/>
    <cellStyle name="Normal 10 2 3 3 3 4 4 2" xfId="35388"/>
    <cellStyle name="Normal 10 2 3 3 3 4 5" xfId="19552"/>
    <cellStyle name="Normal 10 2 3 3 3 4 5 2" xfId="42089"/>
    <cellStyle name="Normal 10 2 3 3 3 4 6" xfId="25756"/>
    <cellStyle name="Normal 10 2 3 3 3 4 6 2" xfId="48001"/>
    <cellStyle name="Normal 10 2 3 3 3 4 7" xfId="28756"/>
    <cellStyle name="Normal 10 2 3 3 3 5" xfId="6244"/>
    <cellStyle name="Normal 10 2 3 3 3 5 2" xfId="9578"/>
    <cellStyle name="Normal 10 2 3 3 3 5 2 2" xfId="16282"/>
    <cellStyle name="Normal 10 2 3 3 3 5 2 2 2" xfId="39703"/>
    <cellStyle name="Normal 10 2 3 3 3 5 2 3" xfId="33071"/>
    <cellStyle name="Normal 10 2 3 3 3 5 3" xfId="12966"/>
    <cellStyle name="Normal 10 2 3 3 3 5 3 2" xfId="36387"/>
    <cellStyle name="Normal 10 2 3 3 3 5 4" xfId="20638"/>
    <cellStyle name="Normal 10 2 3 3 3 5 4 2" xfId="43089"/>
    <cellStyle name="Normal 10 2 3 3 3 5 5" xfId="29755"/>
    <cellStyle name="Normal 10 2 3 3 3 6" xfId="7910"/>
    <cellStyle name="Normal 10 2 3 3 3 6 2" xfId="14624"/>
    <cellStyle name="Normal 10 2 3 3 3 6 2 2" xfId="38045"/>
    <cellStyle name="Normal 10 2 3 3 3 6 3" xfId="21548"/>
    <cellStyle name="Normal 10 2 3 3 3 6 3 2" xfId="43997"/>
    <cellStyle name="Normal 10 2 3 3 3 6 4" xfId="31413"/>
    <cellStyle name="Normal 10 2 3 3 3 7" xfId="11306"/>
    <cellStyle name="Normal 10 2 3 3 3 7 2" xfId="34729"/>
    <cellStyle name="Normal 10 2 3 3 3 8" xfId="17911"/>
    <cellStyle name="Normal 10 2 3 3 3 8 2" xfId="41220"/>
    <cellStyle name="Normal 10 2 3 3 3 9" xfId="23313"/>
    <cellStyle name="Normal 10 2 3 3 3 9 2" xfId="45679"/>
    <cellStyle name="Normal 10 2 3 3 4" xfId="2155"/>
    <cellStyle name="Normal 10 2 3 3 4 2" xfId="5430"/>
    <cellStyle name="Normal 10 2 3 3 4 2 2" xfId="7256"/>
    <cellStyle name="Normal 10 2 3 3 4 2 2 2" xfId="10587"/>
    <cellStyle name="Normal 10 2 3 3 4 2 2 2 2" xfId="17291"/>
    <cellStyle name="Normal 10 2 3 3 4 2 2 2 2 2" xfId="40712"/>
    <cellStyle name="Normal 10 2 3 3 4 2 2 2 3" xfId="23003"/>
    <cellStyle name="Normal 10 2 3 3 4 2 2 2 3 2" xfId="45425"/>
    <cellStyle name="Normal 10 2 3 3 4 2 2 2 4" xfId="34080"/>
    <cellStyle name="Normal 10 2 3 3 4 2 2 3" xfId="13975"/>
    <cellStyle name="Normal 10 2 3 3 4 2 2 3 2" xfId="37396"/>
    <cellStyle name="Normal 10 2 3 3 4 2 2 4" xfId="20175"/>
    <cellStyle name="Normal 10 2 3 3 4 2 2 4 2" xfId="42710"/>
    <cellStyle name="Normal 10 2 3 3 4 2 2 5" xfId="30764"/>
    <cellStyle name="Normal 10 2 3 3 4 2 3" xfId="8929"/>
    <cellStyle name="Normal 10 2 3 3 4 2 3 2" xfId="15633"/>
    <cellStyle name="Normal 10 2 3 3 4 2 3 2 2" xfId="39054"/>
    <cellStyle name="Normal 10 2 3 3 4 2 3 3" xfId="21099"/>
    <cellStyle name="Normal 10 2 3 3 4 2 3 3 2" xfId="43550"/>
    <cellStyle name="Normal 10 2 3 3 4 2 3 4" xfId="32422"/>
    <cellStyle name="Normal 10 2 3 3 4 2 4" xfId="12317"/>
    <cellStyle name="Normal 10 2 3 3 4 2 4 2" xfId="22188"/>
    <cellStyle name="Normal 10 2 3 3 4 2 4 2 2" xfId="44610"/>
    <cellStyle name="Normal 10 2 3 3 4 2 4 3" xfId="35738"/>
    <cellStyle name="Normal 10 2 3 3 4 2 5" xfId="19336"/>
    <cellStyle name="Normal 10 2 3 3 4 2 5 2" xfId="41878"/>
    <cellStyle name="Normal 10 2 3 3 4 2 6" xfId="26628"/>
    <cellStyle name="Normal 10 2 3 3 4 2 6 2" xfId="48873"/>
    <cellStyle name="Normal 10 2 3 3 4 2 7" xfId="29106"/>
    <cellStyle name="Normal 10 2 3 3 4 3" xfId="6347"/>
    <cellStyle name="Normal 10 2 3 3 4 3 2" xfId="9681"/>
    <cellStyle name="Normal 10 2 3 3 4 3 2 2" xfId="16385"/>
    <cellStyle name="Normal 10 2 3 3 4 3 2 2 2" xfId="39806"/>
    <cellStyle name="Normal 10 2 3 3 4 3 2 3" xfId="22596"/>
    <cellStyle name="Normal 10 2 3 3 4 3 2 3 2" xfId="45018"/>
    <cellStyle name="Normal 10 2 3 3 4 3 2 4" xfId="33174"/>
    <cellStyle name="Normal 10 2 3 3 4 3 3" xfId="13069"/>
    <cellStyle name="Normal 10 2 3 3 4 3 3 2" xfId="36490"/>
    <cellStyle name="Normal 10 2 3 3 4 3 4" xfId="19759"/>
    <cellStyle name="Normal 10 2 3 3 4 3 4 2" xfId="42294"/>
    <cellStyle name="Normal 10 2 3 3 4 3 5" xfId="29858"/>
    <cellStyle name="Normal 10 2 3 3 4 4" xfId="8014"/>
    <cellStyle name="Normal 10 2 3 3 4 4 2" xfId="14727"/>
    <cellStyle name="Normal 10 2 3 3 4 4 2 2" xfId="38148"/>
    <cellStyle name="Normal 10 2 3 3 4 4 3" xfId="20640"/>
    <cellStyle name="Normal 10 2 3 3 4 4 3 2" xfId="43091"/>
    <cellStyle name="Normal 10 2 3 3 4 4 4" xfId="31516"/>
    <cellStyle name="Normal 10 2 3 3 4 5" xfId="11409"/>
    <cellStyle name="Normal 10 2 3 3 4 5 2" xfId="21754"/>
    <cellStyle name="Normal 10 2 3 3 4 5 2 2" xfId="44196"/>
    <cellStyle name="Normal 10 2 3 3 4 5 3" xfId="34832"/>
    <cellStyle name="Normal 10 2 3 3 4 6" xfId="18509"/>
    <cellStyle name="Normal 10 2 3 3 4 6 2" xfId="41453"/>
    <cellStyle name="Normal 10 2 3 3 4 7" xfId="24415"/>
    <cellStyle name="Normal 10 2 3 3 4 7 2" xfId="46660"/>
    <cellStyle name="Normal 10 2 3 3 4 8" xfId="28200"/>
    <cellStyle name="Normal 10 2 3 3 5" xfId="2610"/>
    <cellStyle name="Normal 10 2 3 3 5 2" xfId="5703"/>
    <cellStyle name="Normal 10 2 3 3 5 2 2" xfId="7485"/>
    <cellStyle name="Normal 10 2 3 3 5 2 2 2" xfId="10814"/>
    <cellStyle name="Normal 10 2 3 3 5 2 2 2 2" xfId="17518"/>
    <cellStyle name="Normal 10 2 3 3 5 2 2 2 2 2" xfId="40939"/>
    <cellStyle name="Normal 10 2 3 3 5 2 2 2 3" xfId="34307"/>
    <cellStyle name="Normal 10 2 3 3 5 2 2 3" xfId="14202"/>
    <cellStyle name="Normal 10 2 3 3 5 2 2 3 2" xfId="37623"/>
    <cellStyle name="Normal 10 2 3 3 5 2 2 4" xfId="20570"/>
    <cellStyle name="Normal 10 2 3 3 5 2 2 4 2" xfId="43021"/>
    <cellStyle name="Normal 10 2 3 3 5 2 2 5" xfId="30991"/>
    <cellStyle name="Normal 10 2 3 3 5 2 3" xfId="9156"/>
    <cellStyle name="Normal 10 2 3 3 5 2 3 2" xfId="15860"/>
    <cellStyle name="Normal 10 2 3 3 5 2 3 2 2" xfId="39281"/>
    <cellStyle name="Normal 10 2 3 3 5 2 3 3" xfId="21488"/>
    <cellStyle name="Normal 10 2 3 3 5 2 3 3 2" xfId="43939"/>
    <cellStyle name="Normal 10 2 3 3 5 2 3 4" xfId="32649"/>
    <cellStyle name="Normal 10 2 3 3 5 2 4" xfId="12544"/>
    <cellStyle name="Normal 10 2 3 3 5 2 4 2" xfId="22803"/>
    <cellStyle name="Normal 10 2 3 3 5 2 4 2 2" xfId="45225"/>
    <cellStyle name="Normal 10 2 3 3 5 2 4 3" xfId="35965"/>
    <cellStyle name="Normal 10 2 3 3 5 2 5" xfId="19967"/>
    <cellStyle name="Normal 10 2 3 3 5 2 5 2" xfId="42502"/>
    <cellStyle name="Normal 10 2 3 3 5 2 6" xfId="27292"/>
    <cellStyle name="Normal 10 2 3 3 5 2 6 2" xfId="49537"/>
    <cellStyle name="Normal 10 2 3 3 5 2 7" xfId="29333"/>
    <cellStyle name="Normal 10 2 3 3 5 3" xfId="6586"/>
    <cellStyle name="Normal 10 2 3 3 5 3 2" xfId="9918"/>
    <cellStyle name="Normal 10 2 3 3 5 3 2 2" xfId="16622"/>
    <cellStyle name="Normal 10 2 3 3 5 3 2 2 2" xfId="40043"/>
    <cellStyle name="Normal 10 2 3 3 5 3 2 3" xfId="33411"/>
    <cellStyle name="Normal 10 2 3 3 5 3 3" xfId="13306"/>
    <cellStyle name="Normal 10 2 3 3 5 3 3 2" xfId="36727"/>
    <cellStyle name="Normal 10 2 3 3 5 3 4" xfId="20472"/>
    <cellStyle name="Normal 10 2 3 3 5 3 4 2" xfId="42925"/>
    <cellStyle name="Normal 10 2 3 3 5 3 5" xfId="30095"/>
    <cellStyle name="Normal 10 2 3 3 5 4" xfId="8252"/>
    <cellStyle name="Normal 10 2 3 3 5 4 2" xfId="14964"/>
    <cellStyle name="Normal 10 2 3 3 5 4 2 2" xfId="38385"/>
    <cellStyle name="Normal 10 2 3 3 5 4 3" xfId="21029"/>
    <cellStyle name="Normal 10 2 3 3 5 4 3 2" xfId="43480"/>
    <cellStyle name="Normal 10 2 3 3 5 4 4" xfId="31753"/>
    <cellStyle name="Normal 10 2 3 3 5 5" xfId="11646"/>
    <cellStyle name="Normal 10 2 3 3 5 5 2" xfId="21976"/>
    <cellStyle name="Normal 10 2 3 3 5 5 2 2" xfId="44404"/>
    <cellStyle name="Normal 10 2 3 3 5 5 3" xfId="35069"/>
    <cellStyle name="Normal 10 2 3 3 5 6" xfId="19113"/>
    <cellStyle name="Normal 10 2 3 3 5 6 2" xfId="41670"/>
    <cellStyle name="Normal 10 2 3 3 5 7" xfId="25040"/>
    <cellStyle name="Normal 10 2 3 3 5 7 2" xfId="47285"/>
    <cellStyle name="Normal 10 2 3 3 5 8" xfId="28437"/>
    <cellStyle name="Normal 10 2 3 3 6" xfId="3764"/>
    <cellStyle name="Normal 10 2 3 3 6 2" xfId="6902"/>
    <cellStyle name="Normal 10 2 3 3 6 2 2" xfId="10234"/>
    <cellStyle name="Normal 10 2 3 3 6 2 2 2" xfId="16938"/>
    <cellStyle name="Normal 10 2 3 3 6 2 2 2 2" xfId="40359"/>
    <cellStyle name="Normal 10 2 3 3 6 2 2 3" xfId="33727"/>
    <cellStyle name="Normal 10 2 3 3 6 2 3" xfId="13622"/>
    <cellStyle name="Normal 10 2 3 3 6 2 3 2" xfId="37043"/>
    <cellStyle name="Normal 10 2 3 3 6 2 4" xfId="20521"/>
    <cellStyle name="Normal 10 2 3 3 6 2 4 2" xfId="42974"/>
    <cellStyle name="Normal 10 2 3 3 6 2 5" xfId="30411"/>
    <cellStyle name="Normal 10 2 3 3 6 3" xfId="8569"/>
    <cellStyle name="Normal 10 2 3 3 6 3 2" xfId="15280"/>
    <cellStyle name="Normal 10 2 3 3 6 3 2 2" xfId="38701"/>
    <cellStyle name="Normal 10 2 3 3 6 3 3" xfId="21092"/>
    <cellStyle name="Normal 10 2 3 3 6 3 3 2" xfId="43543"/>
    <cellStyle name="Normal 10 2 3 3 6 3 4" xfId="32069"/>
    <cellStyle name="Normal 10 2 3 3 6 4" xfId="11962"/>
    <cellStyle name="Normal 10 2 3 3 6 4 2" xfId="22396"/>
    <cellStyle name="Normal 10 2 3 3 6 4 2 2" xfId="44818"/>
    <cellStyle name="Normal 10 2 3 3 6 4 3" xfId="35385"/>
    <cellStyle name="Normal 10 2 3 3 6 5" xfId="19549"/>
    <cellStyle name="Normal 10 2 3 3 6 5 2" xfId="42086"/>
    <cellStyle name="Normal 10 2 3 3 6 6" xfId="25753"/>
    <cellStyle name="Normal 10 2 3 3 6 6 2" xfId="47998"/>
    <cellStyle name="Normal 10 2 3 3 6 7" xfId="28753"/>
    <cellStyle name="Normal 10 2 3 3 7" xfId="6113"/>
    <cellStyle name="Normal 10 2 3 3 7 2" xfId="9447"/>
    <cellStyle name="Normal 10 2 3 3 7 2 2" xfId="16151"/>
    <cellStyle name="Normal 10 2 3 3 7 2 2 2" xfId="39572"/>
    <cellStyle name="Normal 10 2 3 3 7 2 3" xfId="32940"/>
    <cellStyle name="Normal 10 2 3 3 7 3" xfId="12835"/>
    <cellStyle name="Normal 10 2 3 3 7 3 2" xfId="36256"/>
    <cellStyle name="Normal 10 2 3 3 7 4" xfId="18290"/>
    <cellStyle name="Normal 10 2 3 3 7 4 2" xfId="41423"/>
    <cellStyle name="Normal 10 2 3 3 7 5" xfId="29624"/>
    <cellStyle name="Normal 10 2 3 3 8" xfId="7779"/>
    <cellStyle name="Normal 10 2 3 3 8 2" xfId="14493"/>
    <cellStyle name="Normal 10 2 3 3 8 2 2" xfId="37914"/>
    <cellStyle name="Normal 10 2 3 3 8 3" xfId="20633"/>
    <cellStyle name="Normal 10 2 3 3 8 3 2" xfId="43084"/>
    <cellStyle name="Normal 10 2 3 3 8 4" xfId="31282"/>
    <cellStyle name="Normal 10 2 3 3 9" xfId="11175"/>
    <cellStyle name="Normal 10 2 3 3 9 2" xfId="21545"/>
    <cellStyle name="Normal 10 2 3 3 9 2 2" xfId="43994"/>
    <cellStyle name="Normal 10 2 3 3 9 3" xfId="34598"/>
    <cellStyle name="Normal 10 2 3 4" xfId="1566"/>
    <cellStyle name="Normal 10 2 3 4 10" xfId="23314"/>
    <cellStyle name="Normal 10 2 3 4 10 2" xfId="45680"/>
    <cellStyle name="Normal 10 2 3 4 11" xfId="28009"/>
    <cellStyle name="Normal 10 2 3 4 2" xfId="1788"/>
    <cellStyle name="Normal 10 2 3 4 2 10" xfId="28140"/>
    <cellStyle name="Normal 10 2 3 4 2 2" xfId="2160"/>
    <cellStyle name="Normal 10 2 3 4 2 2 2" xfId="5435"/>
    <cellStyle name="Normal 10 2 3 4 2 2 2 2" xfId="7261"/>
    <cellStyle name="Normal 10 2 3 4 2 2 2 2 2" xfId="10592"/>
    <cellStyle name="Normal 10 2 3 4 2 2 2 2 2 2" xfId="17296"/>
    <cellStyle name="Normal 10 2 3 4 2 2 2 2 2 2 2" xfId="40717"/>
    <cellStyle name="Normal 10 2 3 4 2 2 2 2 2 3" xfId="23008"/>
    <cellStyle name="Normal 10 2 3 4 2 2 2 2 2 3 2" xfId="45430"/>
    <cellStyle name="Normal 10 2 3 4 2 2 2 2 2 4" xfId="34085"/>
    <cellStyle name="Normal 10 2 3 4 2 2 2 2 3" xfId="13980"/>
    <cellStyle name="Normal 10 2 3 4 2 2 2 2 3 2" xfId="37401"/>
    <cellStyle name="Normal 10 2 3 4 2 2 2 2 4" xfId="20180"/>
    <cellStyle name="Normal 10 2 3 4 2 2 2 2 4 2" xfId="42715"/>
    <cellStyle name="Normal 10 2 3 4 2 2 2 2 5" xfId="27208"/>
    <cellStyle name="Normal 10 2 3 4 2 2 2 2 5 2" xfId="49453"/>
    <cellStyle name="Normal 10 2 3 4 2 2 2 2 6" xfId="30769"/>
    <cellStyle name="Normal 10 2 3 4 2 2 2 3" xfId="8934"/>
    <cellStyle name="Normal 10 2 3 4 2 2 2 3 2" xfId="15638"/>
    <cellStyle name="Normal 10 2 3 4 2 2 2 3 2 2" xfId="39059"/>
    <cellStyle name="Normal 10 2 3 4 2 2 2 3 3" xfId="21102"/>
    <cellStyle name="Normal 10 2 3 4 2 2 2 3 3 2" xfId="43553"/>
    <cellStyle name="Normal 10 2 3 4 2 2 2 3 4" xfId="32427"/>
    <cellStyle name="Normal 10 2 3 4 2 2 2 4" xfId="12322"/>
    <cellStyle name="Normal 10 2 3 4 2 2 2 4 2" xfId="22193"/>
    <cellStyle name="Normal 10 2 3 4 2 2 2 4 2 2" xfId="44615"/>
    <cellStyle name="Normal 10 2 3 4 2 2 2 4 3" xfId="35743"/>
    <cellStyle name="Normal 10 2 3 4 2 2 2 5" xfId="19341"/>
    <cellStyle name="Normal 10 2 3 4 2 2 2 5 2" xfId="41883"/>
    <cellStyle name="Normal 10 2 3 4 2 2 2 6" xfId="24995"/>
    <cellStyle name="Normal 10 2 3 4 2 2 2 6 2" xfId="47240"/>
    <cellStyle name="Normal 10 2 3 4 2 2 2 7" xfId="29111"/>
    <cellStyle name="Normal 10 2 3 4 2 2 3" xfId="6352"/>
    <cellStyle name="Normal 10 2 3 4 2 2 3 2" xfId="9686"/>
    <cellStyle name="Normal 10 2 3 4 2 2 3 2 2" xfId="16390"/>
    <cellStyle name="Normal 10 2 3 4 2 2 3 2 2 2" xfId="39811"/>
    <cellStyle name="Normal 10 2 3 4 2 2 3 2 3" xfId="22601"/>
    <cellStyle name="Normal 10 2 3 4 2 2 3 2 3 2" xfId="45023"/>
    <cellStyle name="Normal 10 2 3 4 2 2 3 2 4" xfId="27880"/>
    <cellStyle name="Normal 10 2 3 4 2 2 3 2 4 2" xfId="50125"/>
    <cellStyle name="Normal 10 2 3 4 2 2 3 2 5" xfId="33179"/>
    <cellStyle name="Normal 10 2 3 4 2 2 3 3" xfId="13074"/>
    <cellStyle name="Normal 10 2 3 4 2 2 3 3 2" xfId="36495"/>
    <cellStyle name="Normal 10 2 3 4 2 2 3 4" xfId="19764"/>
    <cellStyle name="Normal 10 2 3 4 2 2 3 4 2" xfId="42299"/>
    <cellStyle name="Normal 10 2 3 4 2 2 3 5" xfId="25575"/>
    <cellStyle name="Normal 10 2 3 4 2 2 3 5 2" xfId="47820"/>
    <cellStyle name="Normal 10 2 3 4 2 2 3 6" xfId="29863"/>
    <cellStyle name="Normal 10 2 3 4 2 2 4" xfId="8019"/>
    <cellStyle name="Normal 10 2 3 4 2 2 4 2" xfId="14732"/>
    <cellStyle name="Normal 10 2 3 4 2 2 4 2 2" xfId="38153"/>
    <cellStyle name="Normal 10 2 3 4 2 2 4 3" xfId="20643"/>
    <cellStyle name="Normal 10 2 3 4 2 2 4 3 2" xfId="43094"/>
    <cellStyle name="Normal 10 2 3 4 2 2 4 4" xfId="26534"/>
    <cellStyle name="Normal 10 2 3 4 2 2 4 4 2" xfId="48779"/>
    <cellStyle name="Normal 10 2 3 4 2 2 4 5" xfId="31521"/>
    <cellStyle name="Normal 10 2 3 4 2 2 5" xfId="11414"/>
    <cellStyle name="Normal 10 2 3 4 2 2 5 2" xfId="21759"/>
    <cellStyle name="Normal 10 2 3 4 2 2 5 2 2" xfId="44201"/>
    <cellStyle name="Normal 10 2 3 4 2 2 5 3" xfId="34837"/>
    <cellStyle name="Normal 10 2 3 4 2 2 6" xfId="18514"/>
    <cellStyle name="Normal 10 2 3 4 2 2 6 2" xfId="41458"/>
    <cellStyle name="Normal 10 2 3 4 2 2 7" xfId="24330"/>
    <cellStyle name="Normal 10 2 3 4 2 2 7 2" xfId="46576"/>
    <cellStyle name="Normal 10 2 3 4 2 2 8" xfId="28205"/>
    <cellStyle name="Normal 10 2 3 4 2 3" xfId="2785"/>
    <cellStyle name="Normal 10 2 3 4 2 3 2" xfId="5877"/>
    <cellStyle name="Normal 10 2 3 4 2 3 2 2" xfId="7659"/>
    <cellStyle name="Normal 10 2 3 4 2 3 2 2 2" xfId="10988"/>
    <cellStyle name="Normal 10 2 3 4 2 3 2 2 2 2" xfId="17692"/>
    <cellStyle name="Normal 10 2 3 4 2 3 2 2 2 2 2" xfId="41113"/>
    <cellStyle name="Normal 10 2 3 4 2 3 2 2 2 3" xfId="34481"/>
    <cellStyle name="Normal 10 2 3 4 2 3 2 2 3" xfId="14376"/>
    <cellStyle name="Normal 10 2 3 4 2 3 2 2 3 2" xfId="37797"/>
    <cellStyle name="Normal 10 2 3 4 2 3 2 2 4" xfId="22808"/>
    <cellStyle name="Normal 10 2 3 4 2 3 2 2 4 2" xfId="45230"/>
    <cellStyle name="Normal 10 2 3 4 2 3 2 2 5" xfId="31165"/>
    <cellStyle name="Normal 10 2 3 4 2 3 2 3" xfId="9330"/>
    <cellStyle name="Normal 10 2 3 4 2 3 2 3 2" xfId="16034"/>
    <cellStyle name="Normal 10 2 3 4 2 3 2 3 2 2" xfId="39455"/>
    <cellStyle name="Normal 10 2 3 4 2 3 2 3 3" xfId="32823"/>
    <cellStyle name="Normal 10 2 3 4 2 3 2 4" xfId="12718"/>
    <cellStyle name="Normal 10 2 3 4 2 3 2 4 2" xfId="36139"/>
    <cellStyle name="Normal 10 2 3 4 2 3 2 5" xfId="19972"/>
    <cellStyle name="Normal 10 2 3 4 2 3 2 5 2" xfId="42507"/>
    <cellStyle name="Normal 10 2 3 4 2 3 2 6" xfId="26876"/>
    <cellStyle name="Normal 10 2 3 4 2 3 2 6 2" xfId="49121"/>
    <cellStyle name="Normal 10 2 3 4 2 3 2 7" xfId="29507"/>
    <cellStyle name="Normal 10 2 3 4 2 3 3" xfId="6760"/>
    <cellStyle name="Normal 10 2 3 4 2 3 3 2" xfId="10092"/>
    <cellStyle name="Normal 10 2 3 4 2 3 3 2 2" xfId="16796"/>
    <cellStyle name="Normal 10 2 3 4 2 3 3 2 2 2" xfId="40217"/>
    <cellStyle name="Normal 10 2 3 4 2 3 3 2 3" xfId="33585"/>
    <cellStyle name="Normal 10 2 3 4 2 3 3 3" xfId="13480"/>
    <cellStyle name="Normal 10 2 3 4 2 3 3 3 2" xfId="36901"/>
    <cellStyle name="Normal 10 2 3 4 2 3 3 4" xfId="21101"/>
    <cellStyle name="Normal 10 2 3 4 2 3 3 4 2" xfId="43552"/>
    <cellStyle name="Normal 10 2 3 4 2 3 3 5" xfId="30269"/>
    <cellStyle name="Normal 10 2 3 4 2 3 4" xfId="8426"/>
    <cellStyle name="Normal 10 2 3 4 2 3 4 2" xfId="15138"/>
    <cellStyle name="Normal 10 2 3 4 2 3 4 2 2" xfId="38559"/>
    <cellStyle name="Normal 10 2 3 4 2 3 4 3" xfId="21981"/>
    <cellStyle name="Normal 10 2 3 4 2 3 4 3 2" xfId="44409"/>
    <cellStyle name="Normal 10 2 3 4 2 3 4 4" xfId="31927"/>
    <cellStyle name="Normal 10 2 3 4 2 3 5" xfId="11820"/>
    <cellStyle name="Normal 10 2 3 4 2 3 5 2" xfId="35243"/>
    <cellStyle name="Normal 10 2 3 4 2 3 6" xfId="19118"/>
    <cellStyle name="Normal 10 2 3 4 2 3 6 2" xfId="41675"/>
    <cellStyle name="Normal 10 2 3 4 2 3 7" xfId="24663"/>
    <cellStyle name="Normal 10 2 3 4 2 3 7 2" xfId="46908"/>
    <cellStyle name="Normal 10 2 3 4 2 3 8" xfId="28611"/>
    <cellStyle name="Normal 10 2 3 4 2 4" xfId="3769"/>
    <cellStyle name="Normal 10 2 3 4 2 4 2" xfId="6907"/>
    <cellStyle name="Normal 10 2 3 4 2 4 2 2" xfId="10239"/>
    <cellStyle name="Normal 10 2 3 4 2 4 2 2 2" xfId="16943"/>
    <cellStyle name="Normal 10 2 3 4 2 4 2 2 2 2" xfId="40364"/>
    <cellStyle name="Normal 10 2 3 4 2 4 2 2 3" xfId="33732"/>
    <cellStyle name="Normal 10 2 3 4 2 4 2 3" xfId="13627"/>
    <cellStyle name="Normal 10 2 3 4 2 4 2 3 2" xfId="37048"/>
    <cellStyle name="Normal 10 2 3 4 2 4 2 4" xfId="22401"/>
    <cellStyle name="Normal 10 2 3 4 2 4 2 4 2" xfId="44823"/>
    <cellStyle name="Normal 10 2 3 4 2 4 2 5" xfId="27544"/>
    <cellStyle name="Normal 10 2 3 4 2 4 2 5 2" xfId="49789"/>
    <cellStyle name="Normal 10 2 3 4 2 4 2 6" xfId="30416"/>
    <cellStyle name="Normal 10 2 3 4 2 4 3" xfId="8574"/>
    <cellStyle name="Normal 10 2 3 4 2 4 3 2" xfId="15285"/>
    <cellStyle name="Normal 10 2 3 4 2 4 3 2 2" xfId="38706"/>
    <cellStyle name="Normal 10 2 3 4 2 4 3 3" xfId="32074"/>
    <cellStyle name="Normal 10 2 3 4 2 4 4" xfId="11967"/>
    <cellStyle name="Normal 10 2 3 4 2 4 4 2" xfId="35390"/>
    <cellStyle name="Normal 10 2 3 4 2 4 5" xfId="19554"/>
    <cellStyle name="Normal 10 2 3 4 2 4 5 2" xfId="42091"/>
    <cellStyle name="Normal 10 2 3 4 2 4 6" xfId="25239"/>
    <cellStyle name="Normal 10 2 3 4 2 4 6 2" xfId="47484"/>
    <cellStyle name="Normal 10 2 3 4 2 4 7" xfId="28758"/>
    <cellStyle name="Normal 10 2 3 4 2 5" xfId="6287"/>
    <cellStyle name="Normal 10 2 3 4 2 5 2" xfId="9621"/>
    <cellStyle name="Normal 10 2 3 4 2 5 2 2" xfId="16325"/>
    <cellStyle name="Normal 10 2 3 4 2 5 2 2 2" xfId="39746"/>
    <cellStyle name="Normal 10 2 3 4 2 5 2 3" xfId="33114"/>
    <cellStyle name="Normal 10 2 3 4 2 5 3" xfId="13009"/>
    <cellStyle name="Normal 10 2 3 4 2 5 3 2" xfId="36430"/>
    <cellStyle name="Normal 10 2 3 4 2 5 4" xfId="20642"/>
    <cellStyle name="Normal 10 2 3 4 2 5 4 2" xfId="43093"/>
    <cellStyle name="Normal 10 2 3 4 2 5 5" xfId="25758"/>
    <cellStyle name="Normal 10 2 3 4 2 5 5 2" xfId="48003"/>
    <cellStyle name="Normal 10 2 3 4 2 5 6" xfId="29798"/>
    <cellStyle name="Normal 10 2 3 4 2 6" xfId="7953"/>
    <cellStyle name="Normal 10 2 3 4 2 6 2" xfId="14667"/>
    <cellStyle name="Normal 10 2 3 4 2 6 2 2" xfId="38088"/>
    <cellStyle name="Normal 10 2 3 4 2 6 3" xfId="21550"/>
    <cellStyle name="Normal 10 2 3 4 2 6 3 2" xfId="43999"/>
    <cellStyle name="Normal 10 2 3 4 2 6 4" xfId="31456"/>
    <cellStyle name="Normal 10 2 3 4 2 7" xfId="11349"/>
    <cellStyle name="Normal 10 2 3 4 2 7 2" xfId="34772"/>
    <cellStyle name="Normal 10 2 3 4 2 8" xfId="17913"/>
    <cellStyle name="Normal 10 2 3 4 2 8 2" xfId="41222"/>
    <cellStyle name="Normal 10 2 3 4 2 9" xfId="23244"/>
    <cellStyle name="Normal 10 2 3 4 2 9 2" xfId="45641"/>
    <cellStyle name="Normal 10 2 3 4 3" xfId="2159"/>
    <cellStyle name="Normal 10 2 3 4 3 2" xfId="5434"/>
    <cellStyle name="Normal 10 2 3 4 3 2 2" xfId="7260"/>
    <cellStyle name="Normal 10 2 3 4 3 2 2 2" xfId="10591"/>
    <cellStyle name="Normal 10 2 3 4 3 2 2 2 2" xfId="17295"/>
    <cellStyle name="Normal 10 2 3 4 3 2 2 2 2 2" xfId="40716"/>
    <cellStyle name="Normal 10 2 3 4 3 2 2 2 3" xfId="23007"/>
    <cellStyle name="Normal 10 2 3 4 3 2 2 2 3 2" xfId="45429"/>
    <cellStyle name="Normal 10 2 3 4 3 2 2 2 4" xfId="34084"/>
    <cellStyle name="Normal 10 2 3 4 3 2 2 3" xfId="13979"/>
    <cellStyle name="Normal 10 2 3 4 3 2 2 3 2" xfId="37400"/>
    <cellStyle name="Normal 10 2 3 4 3 2 2 4" xfId="20179"/>
    <cellStyle name="Normal 10 2 3 4 3 2 2 4 2" xfId="42714"/>
    <cellStyle name="Normal 10 2 3 4 3 2 2 5" xfId="27042"/>
    <cellStyle name="Normal 10 2 3 4 3 2 2 5 2" xfId="49287"/>
    <cellStyle name="Normal 10 2 3 4 3 2 2 6" xfId="30768"/>
    <cellStyle name="Normal 10 2 3 4 3 2 3" xfId="8933"/>
    <cellStyle name="Normal 10 2 3 4 3 2 3 2" xfId="15637"/>
    <cellStyle name="Normal 10 2 3 4 3 2 3 2 2" xfId="39058"/>
    <cellStyle name="Normal 10 2 3 4 3 2 3 3" xfId="21103"/>
    <cellStyle name="Normal 10 2 3 4 3 2 3 3 2" xfId="43554"/>
    <cellStyle name="Normal 10 2 3 4 3 2 3 4" xfId="32426"/>
    <cellStyle name="Normal 10 2 3 4 3 2 4" xfId="12321"/>
    <cellStyle name="Normal 10 2 3 4 3 2 4 2" xfId="22192"/>
    <cellStyle name="Normal 10 2 3 4 3 2 4 2 2" xfId="44614"/>
    <cellStyle name="Normal 10 2 3 4 3 2 4 3" xfId="35742"/>
    <cellStyle name="Normal 10 2 3 4 3 2 5" xfId="19340"/>
    <cellStyle name="Normal 10 2 3 4 3 2 5 2" xfId="41882"/>
    <cellStyle name="Normal 10 2 3 4 3 2 6" xfId="24829"/>
    <cellStyle name="Normal 10 2 3 4 3 2 6 2" xfId="47074"/>
    <cellStyle name="Normal 10 2 3 4 3 2 7" xfId="29110"/>
    <cellStyle name="Normal 10 2 3 4 3 3" xfId="6351"/>
    <cellStyle name="Normal 10 2 3 4 3 3 2" xfId="9685"/>
    <cellStyle name="Normal 10 2 3 4 3 3 2 2" xfId="16389"/>
    <cellStyle name="Normal 10 2 3 4 3 3 2 2 2" xfId="39810"/>
    <cellStyle name="Normal 10 2 3 4 3 3 2 3" xfId="22600"/>
    <cellStyle name="Normal 10 2 3 4 3 3 2 3 2" xfId="45022"/>
    <cellStyle name="Normal 10 2 3 4 3 3 2 4" xfId="27712"/>
    <cellStyle name="Normal 10 2 3 4 3 3 2 4 2" xfId="49957"/>
    <cellStyle name="Normal 10 2 3 4 3 3 2 5" xfId="33178"/>
    <cellStyle name="Normal 10 2 3 4 3 3 3" xfId="13073"/>
    <cellStyle name="Normal 10 2 3 4 3 3 3 2" xfId="36494"/>
    <cellStyle name="Normal 10 2 3 4 3 3 4" xfId="19763"/>
    <cellStyle name="Normal 10 2 3 4 3 3 4 2" xfId="42298"/>
    <cellStyle name="Normal 10 2 3 4 3 3 5" xfId="25407"/>
    <cellStyle name="Normal 10 2 3 4 3 3 5 2" xfId="47652"/>
    <cellStyle name="Normal 10 2 3 4 3 3 6" xfId="29862"/>
    <cellStyle name="Normal 10 2 3 4 3 4" xfId="8018"/>
    <cellStyle name="Normal 10 2 3 4 3 4 2" xfId="14731"/>
    <cellStyle name="Normal 10 2 3 4 3 4 2 2" xfId="38152"/>
    <cellStyle name="Normal 10 2 3 4 3 4 3" xfId="20644"/>
    <cellStyle name="Normal 10 2 3 4 3 4 3 2" xfId="43095"/>
    <cellStyle name="Normal 10 2 3 4 3 4 4" xfId="26369"/>
    <cellStyle name="Normal 10 2 3 4 3 4 4 2" xfId="48614"/>
    <cellStyle name="Normal 10 2 3 4 3 4 5" xfId="31520"/>
    <cellStyle name="Normal 10 2 3 4 3 5" xfId="11413"/>
    <cellStyle name="Normal 10 2 3 4 3 5 2" xfId="21758"/>
    <cellStyle name="Normal 10 2 3 4 3 5 2 2" xfId="44200"/>
    <cellStyle name="Normal 10 2 3 4 3 5 3" xfId="34836"/>
    <cellStyle name="Normal 10 2 3 4 3 6" xfId="18513"/>
    <cellStyle name="Normal 10 2 3 4 3 6 2" xfId="41457"/>
    <cellStyle name="Normal 10 2 3 4 3 7" xfId="24165"/>
    <cellStyle name="Normal 10 2 3 4 3 7 2" xfId="46411"/>
    <cellStyle name="Normal 10 2 3 4 3 8" xfId="28204"/>
    <cellStyle name="Normal 10 2 3 4 4" xfId="2653"/>
    <cellStyle name="Normal 10 2 3 4 4 2" xfId="5746"/>
    <cellStyle name="Normal 10 2 3 4 4 2 2" xfId="7528"/>
    <cellStyle name="Normal 10 2 3 4 4 2 2 2" xfId="10857"/>
    <cellStyle name="Normal 10 2 3 4 4 2 2 2 2" xfId="17561"/>
    <cellStyle name="Normal 10 2 3 4 4 2 2 2 2 2" xfId="40982"/>
    <cellStyle name="Normal 10 2 3 4 4 2 2 2 3" xfId="34350"/>
    <cellStyle name="Normal 10 2 3 4 4 2 2 3" xfId="14245"/>
    <cellStyle name="Normal 10 2 3 4 4 2 2 3 2" xfId="37666"/>
    <cellStyle name="Normal 10 2 3 4 4 2 2 4" xfId="22807"/>
    <cellStyle name="Normal 10 2 3 4 4 2 2 4 2" xfId="45229"/>
    <cellStyle name="Normal 10 2 3 4 4 2 2 5" xfId="31034"/>
    <cellStyle name="Normal 10 2 3 4 4 2 3" xfId="9199"/>
    <cellStyle name="Normal 10 2 3 4 4 2 3 2" xfId="15903"/>
    <cellStyle name="Normal 10 2 3 4 4 2 3 2 2" xfId="39324"/>
    <cellStyle name="Normal 10 2 3 4 4 2 3 3" xfId="32692"/>
    <cellStyle name="Normal 10 2 3 4 4 2 4" xfId="12587"/>
    <cellStyle name="Normal 10 2 3 4 4 2 4 2" xfId="36008"/>
    <cellStyle name="Normal 10 2 3 4 4 2 5" xfId="19971"/>
    <cellStyle name="Normal 10 2 3 4 4 2 5 2" xfId="42506"/>
    <cellStyle name="Normal 10 2 3 4 4 2 6" xfId="26710"/>
    <cellStyle name="Normal 10 2 3 4 4 2 6 2" xfId="48955"/>
    <cellStyle name="Normal 10 2 3 4 4 2 7" xfId="29376"/>
    <cellStyle name="Normal 10 2 3 4 4 3" xfId="6629"/>
    <cellStyle name="Normal 10 2 3 4 4 3 2" xfId="9961"/>
    <cellStyle name="Normal 10 2 3 4 4 3 2 2" xfId="16665"/>
    <cellStyle name="Normal 10 2 3 4 4 3 2 2 2" xfId="40086"/>
    <cellStyle name="Normal 10 2 3 4 4 3 2 3" xfId="33454"/>
    <cellStyle name="Normal 10 2 3 4 4 3 3" xfId="13349"/>
    <cellStyle name="Normal 10 2 3 4 4 3 3 2" xfId="36770"/>
    <cellStyle name="Normal 10 2 3 4 4 3 4" xfId="21100"/>
    <cellStyle name="Normal 10 2 3 4 4 3 4 2" xfId="43551"/>
    <cellStyle name="Normal 10 2 3 4 4 3 5" xfId="30138"/>
    <cellStyle name="Normal 10 2 3 4 4 4" xfId="8295"/>
    <cellStyle name="Normal 10 2 3 4 4 4 2" xfId="15007"/>
    <cellStyle name="Normal 10 2 3 4 4 4 2 2" xfId="38428"/>
    <cellStyle name="Normal 10 2 3 4 4 4 3" xfId="21980"/>
    <cellStyle name="Normal 10 2 3 4 4 4 3 2" xfId="44408"/>
    <cellStyle name="Normal 10 2 3 4 4 4 4" xfId="31796"/>
    <cellStyle name="Normal 10 2 3 4 4 5" xfId="11689"/>
    <cellStyle name="Normal 10 2 3 4 4 5 2" xfId="35112"/>
    <cellStyle name="Normal 10 2 3 4 4 6" xfId="19117"/>
    <cellStyle name="Normal 10 2 3 4 4 6 2" xfId="41674"/>
    <cellStyle name="Normal 10 2 3 4 4 7" xfId="24497"/>
    <cellStyle name="Normal 10 2 3 4 4 7 2" xfId="46742"/>
    <cellStyle name="Normal 10 2 3 4 4 8" xfId="28480"/>
    <cellStyle name="Normal 10 2 3 4 5" xfId="3768"/>
    <cellStyle name="Normal 10 2 3 4 5 2" xfId="6906"/>
    <cellStyle name="Normal 10 2 3 4 5 2 2" xfId="10238"/>
    <cellStyle name="Normal 10 2 3 4 5 2 2 2" xfId="16942"/>
    <cellStyle name="Normal 10 2 3 4 5 2 2 2 2" xfId="40363"/>
    <cellStyle name="Normal 10 2 3 4 5 2 2 3" xfId="33731"/>
    <cellStyle name="Normal 10 2 3 4 5 2 3" xfId="13626"/>
    <cellStyle name="Normal 10 2 3 4 5 2 3 2" xfId="37047"/>
    <cellStyle name="Normal 10 2 3 4 5 2 4" xfId="22400"/>
    <cellStyle name="Normal 10 2 3 4 5 2 4 2" xfId="44822"/>
    <cellStyle name="Normal 10 2 3 4 5 2 5" xfId="27376"/>
    <cellStyle name="Normal 10 2 3 4 5 2 5 2" xfId="49621"/>
    <cellStyle name="Normal 10 2 3 4 5 2 6" xfId="30415"/>
    <cellStyle name="Normal 10 2 3 4 5 3" xfId="8573"/>
    <cellStyle name="Normal 10 2 3 4 5 3 2" xfId="15284"/>
    <cellStyle name="Normal 10 2 3 4 5 3 2 2" xfId="38705"/>
    <cellStyle name="Normal 10 2 3 4 5 3 3" xfId="32073"/>
    <cellStyle name="Normal 10 2 3 4 5 4" xfId="11966"/>
    <cellStyle name="Normal 10 2 3 4 5 4 2" xfId="35389"/>
    <cellStyle name="Normal 10 2 3 4 5 5" xfId="19553"/>
    <cellStyle name="Normal 10 2 3 4 5 5 2" xfId="42090"/>
    <cellStyle name="Normal 10 2 3 4 5 6" xfId="25071"/>
    <cellStyle name="Normal 10 2 3 4 5 6 2" xfId="47316"/>
    <cellStyle name="Normal 10 2 3 4 5 7" xfId="28757"/>
    <cellStyle name="Normal 10 2 3 4 6" xfId="6156"/>
    <cellStyle name="Normal 10 2 3 4 6 2" xfId="9490"/>
    <cellStyle name="Normal 10 2 3 4 6 2 2" xfId="16194"/>
    <cellStyle name="Normal 10 2 3 4 6 2 2 2" xfId="39615"/>
    <cellStyle name="Normal 10 2 3 4 6 2 3" xfId="32983"/>
    <cellStyle name="Normal 10 2 3 4 6 3" xfId="12878"/>
    <cellStyle name="Normal 10 2 3 4 6 3 2" xfId="36299"/>
    <cellStyle name="Normal 10 2 3 4 6 4" xfId="20641"/>
    <cellStyle name="Normal 10 2 3 4 6 4 2" xfId="43092"/>
    <cellStyle name="Normal 10 2 3 4 6 5" xfId="25757"/>
    <cellStyle name="Normal 10 2 3 4 6 5 2" xfId="48002"/>
    <cellStyle name="Normal 10 2 3 4 6 6" xfId="29667"/>
    <cellStyle name="Normal 10 2 3 4 7" xfId="7822"/>
    <cellStyle name="Normal 10 2 3 4 7 2" xfId="14536"/>
    <cellStyle name="Normal 10 2 3 4 7 2 2" xfId="37957"/>
    <cellStyle name="Normal 10 2 3 4 7 3" xfId="21549"/>
    <cellStyle name="Normal 10 2 3 4 7 3 2" xfId="43998"/>
    <cellStyle name="Normal 10 2 3 4 7 4" xfId="31325"/>
    <cellStyle name="Normal 10 2 3 4 8" xfId="11218"/>
    <cellStyle name="Normal 10 2 3 4 8 2" xfId="34641"/>
    <cellStyle name="Normal 10 2 3 4 9" xfId="17912"/>
    <cellStyle name="Normal 10 2 3 4 9 2" xfId="41221"/>
    <cellStyle name="Normal 10 2 3 5" xfId="1708"/>
    <cellStyle name="Normal 10 2 3 5 10" xfId="28061"/>
    <cellStyle name="Normal 10 2 3 5 2" xfId="2161"/>
    <cellStyle name="Normal 10 2 3 5 2 2" xfId="5436"/>
    <cellStyle name="Normal 10 2 3 5 2 2 2" xfId="7262"/>
    <cellStyle name="Normal 10 2 3 5 2 2 2 2" xfId="10593"/>
    <cellStyle name="Normal 10 2 3 5 2 2 2 2 2" xfId="17297"/>
    <cellStyle name="Normal 10 2 3 5 2 2 2 2 2 2" xfId="40718"/>
    <cellStyle name="Normal 10 2 3 5 2 2 2 2 3" xfId="23009"/>
    <cellStyle name="Normal 10 2 3 5 2 2 2 2 3 2" xfId="45431"/>
    <cellStyle name="Normal 10 2 3 5 2 2 2 2 4" xfId="34086"/>
    <cellStyle name="Normal 10 2 3 5 2 2 2 3" xfId="13981"/>
    <cellStyle name="Normal 10 2 3 5 2 2 2 3 2" xfId="37402"/>
    <cellStyle name="Normal 10 2 3 5 2 2 2 4" xfId="20181"/>
    <cellStyle name="Normal 10 2 3 5 2 2 2 4 2" xfId="42716"/>
    <cellStyle name="Normal 10 2 3 5 2 2 2 5" xfId="27084"/>
    <cellStyle name="Normal 10 2 3 5 2 2 2 5 2" xfId="49329"/>
    <cellStyle name="Normal 10 2 3 5 2 2 2 6" xfId="30770"/>
    <cellStyle name="Normal 10 2 3 5 2 2 3" xfId="8935"/>
    <cellStyle name="Normal 10 2 3 5 2 2 3 2" xfId="15639"/>
    <cellStyle name="Normal 10 2 3 5 2 2 3 2 2" xfId="39060"/>
    <cellStyle name="Normal 10 2 3 5 2 2 3 3" xfId="21105"/>
    <cellStyle name="Normal 10 2 3 5 2 2 3 3 2" xfId="43556"/>
    <cellStyle name="Normal 10 2 3 5 2 2 3 4" xfId="32428"/>
    <cellStyle name="Normal 10 2 3 5 2 2 4" xfId="12323"/>
    <cellStyle name="Normal 10 2 3 5 2 2 4 2" xfId="22194"/>
    <cellStyle name="Normal 10 2 3 5 2 2 4 2 2" xfId="44616"/>
    <cellStyle name="Normal 10 2 3 5 2 2 4 3" xfId="35744"/>
    <cellStyle name="Normal 10 2 3 5 2 2 5" xfId="19342"/>
    <cellStyle name="Normal 10 2 3 5 2 2 5 2" xfId="41884"/>
    <cellStyle name="Normal 10 2 3 5 2 2 6" xfId="24871"/>
    <cellStyle name="Normal 10 2 3 5 2 2 6 2" xfId="47116"/>
    <cellStyle name="Normal 10 2 3 5 2 2 7" xfId="29112"/>
    <cellStyle name="Normal 10 2 3 5 2 3" xfId="6353"/>
    <cellStyle name="Normal 10 2 3 5 2 3 2" xfId="9687"/>
    <cellStyle name="Normal 10 2 3 5 2 3 2 2" xfId="16391"/>
    <cellStyle name="Normal 10 2 3 5 2 3 2 2 2" xfId="39812"/>
    <cellStyle name="Normal 10 2 3 5 2 3 2 3" xfId="22602"/>
    <cellStyle name="Normal 10 2 3 5 2 3 2 3 2" xfId="45024"/>
    <cellStyle name="Normal 10 2 3 5 2 3 2 4" xfId="27754"/>
    <cellStyle name="Normal 10 2 3 5 2 3 2 4 2" xfId="49999"/>
    <cellStyle name="Normal 10 2 3 5 2 3 2 5" xfId="33180"/>
    <cellStyle name="Normal 10 2 3 5 2 3 3" xfId="13075"/>
    <cellStyle name="Normal 10 2 3 5 2 3 3 2" xfId="36496"/>
    <cellStyle name="Normal 10 2 3 5 2 3 4" xfId="19765"/>
    <cellStyle name="Normal 10 2 3 5 2 3 4 2" xfId="42300"/>
    <cellStyle name="Normal 10 2 3 5 2 3 5" xfId="25449"/>
    <cellStyle name="Normal 10 2 3 5 2 3 5 2" xfId="47694"/>
    <cellStyle name="Normal 10 2 3 5 2 3 6" xfId="29864"/>
    <cellStyle name="Normal 10 2 3 5 2 4" xfId="8020"/>
    <cellStyle name="Normal 10 2 3 5 2 4 2" xfId="14733"/>
    <cellStyle name="Normal 10 2 3 5 2 4 2 2" xfId="38154"/>
    <cellStyle name="Normal 10 2 3 5 2 4 3" xfId="20646"/>
    <cellStyle name="Normal 10 2 3 5 2 4 3 2" xfId="43097"/>
    <cellStyle name="Normal 10 2 3 5 2 4 4" xfId="26411"/>
    <cellStyle name="Normal 10 2 3 5 2 4 4 2" xfId="48656"/>
    <cellStyle name="Normal 10 2 3 5 2 4 5" xfId="31522"/>
    <cellStyle name="Normal 10 2 3 5 2 5" xfId="11415"/>
    <cellStyle name="Normal 10 2 3 5 2 5 2" xfId="21760"/>
    <cellStyle name="Normal 10 2 3 5 2 5 2 2" xfId="44202"/>
    <cellStyle name="Normal 10 2 3 5 2 5 3" xfId="34838"/>
    <cellStyle name="Normal 10 2 3 5 2 6" xfId="18515"/>
    <cellStyle name="Normal 10 2 3 5 2 6 2" xfId="41459"/>
    <cellStyle name="Normal 10 2 3 5 2 7" xfId="24207"/>
    <cellStyle name="Normal 10 2 3 5 2 7 2" xfId="46453"/>
    <cellStyle name="Normal 10 2 3 5 2 8" xfId="28206"/>
    <cellStyle name="Normal 10 2 3 5 3" xfId="2706"/>
    <cellStyle name="Normal 10 2 3 5 3 2" xfId="5798"/>
    <cellStyle name="Normal 10 2 3 5 3 2 2" xfId="7580"/>
    <cellStyle name="Normal 10 2 3 5 3 2 2 2" xfId="10909"/>
    <cellStyle name="Normal 10 2 3 5 3 2 2 2 2" xfId="17613"/>
    <cellStyle name="Normal 10 2 3 5 3 2 2 2 2 2" xfId="41034"/>
    <cellStyle name="Normal 10 2 3 5 3 2 2 2 3" xfId="34402"/>
    <cellStyle name="Normal 10 2 3 5 3 2 2 3" xfId="14297"/>
    <cellStyle name="Normal 10 2 3 5 3 2 2 3 2" xfId="37718"/>
    <cellStyle name="Normal 10 2 3 5 3 2 2 4" xfId="22809"/>
    <cellStyle name="Normal 10 2 3 5 3 2 2 4 2" xfId="45231"/>
    <cellStyle name="Normal 10 2 3 5 3 2 2 5" xfId="31086"/>
    <cellStyle name="Normal 10 2 3 5 3 2 3" xfId="9251"/>
    <cellStyle name="Normal 10 2 3 5 3 2 3 2" xfId="15955"/>
    <cellStyle name="Normal 10 2 3 5 3 2 3 2 2" xfId="39376"/>
    <cellStyle name="Normal 10 2 3 5 3 2 3 3" xfId="32744"/>
    <cellStyle name="Normal 10 2 3 5 3 2 4" xfId="12639"/>
    <cellStyle name="Normal 10 2 3 5 3 2 4 2" xfId="36060"/>
    <cellStyle name="Normal 10 2 3 5 3 2 5" xfId="19973"/>
    <cellStyle name="Normal 10 2 3 5 3 2 5 2" xfId="42508"/>
    <cellStyle name="Normal 10 2 3 5 3 2 6" xfId="26752"/>
    <cellStyle name="Normal 10 2 3 5 3 2 6 2" xfId="48997"/>
    <cellStyle name="Normal 10 2 3 5 3 2 7" xfId="29428"/>
    <cellStyle name="Normal 10 2 3 5 3 3" xfId="6681"/>
    <cellStyle name="Normal 10 2 3 5 3 3 2" xfId="10013"/>
    <cellStyle name="Normal 10 2 3 5 3 3 2 2" xfId="16717"/>
    <cellStyle name="Normal 10 2 3 5 3 3 2 2 2" xfId="40138"/>
    <cellStyle name="Normal 10 2 3 5 3 3 2 3" xfId="33506"/>
    <cellStyle name="Normal 10 2 3 5 3 3 3" xfId="13401"/>
    <cellStyle name="Normal 10 2 3 5 3 3 3 2" xfId="36822"/>
    <cellStyle name="Normal 10 2 3 5 3 3 4" xfId="21104"/>
    <cellStyle name="Normal 10 2 3 5 3 3 4 2" xfId="43555"/>
    <cellStyle name="Normal 10 2 3 5 3 3 5" xfId="30190"/>
    <cellStyle name="Normal 10 2 3 5 3 4" xfId="8347"/>
    <cellStyle name="Normal 10 2 3 5 3 4 2" xfId="15059"/>
    <cellStyle name="Normal 10 2 3 5 3 4 2 2" xfId="38480"/>
    <cellStyle name="Normal 10 2 3 5 3 4 3" xfId="21982"/>
    <cellStyle name="Normal 10 2 3 5 3 4 3 2" xfId="44410"/>
    <cellStyle name="Normal 10 2 3 5 3 4 4" xfId="31848"/>
    <cellStyle name="Normal 10 2 3 5 3 5" xfId="11741"/>
    <cellStyle name="Normal 10 2 3 5 3 5 2" xfId="35164"/>
    <cellStyle name="Normal 10 2 3 5 3 6" xfId="19119"/>
    <cellStyle name="Normal 10 2 3 5 3 6 2" xfId="41676"/>
    <cellStyle name="Normal 10 2 3 5 3 7" xfId="24539"/>
    <cellStyle name="Normal 10 2 3 5 3 7 2" xfId="46784"/>
    <cellStyle name="Normal 10 2 3 5 3 8" xfId="28532"/>
    <cellStyle name="Normal 10 2 3 5 4" xfId="3770"/>
    <cellStyle name="Normal 10 2 3 5 4 2" xfId="6908"/>
    <cellStyle name="Normal 10 2 3 5 4 2 2" xfId="10240"/>
    <cellStyle name="Normal 10 2 3 5 4 2 2 2" xfId="16944"/>
    <cellStyle name="Normal 10 2 3 5 4 2 2 2 2" xfId="40365"/>
    <cellStyle name="Normal 10 2 3 5 4 2 2 3" xfId="33733"/>
    <cellStyle name="Normal 10 2 3 5 4 2 3" xfId="13628"/>
    <cellStyle name="Normal 10 2 3 5 4 2 3 2" xfId="37049"/>
    <cellStyle name="Normal 10 2 3 5 4 2 4" xfId="22402"/>
    <cellStyle name="Normal 10 2 3 5 4 2 4 2" xfId="44824"/>
    <cellStyle name="Normal 10 2 3 5 4 2 5" xfId="27418"/>
    <cellStyle name="Normal 10 2 3 5 4 2 5 2" xfId="49663"/>
    <cellStyle name="Normal 10 2 3 5 4 2 6" xfId="30417"/>
    <cellStyle name="Normal 10 2 3 5 4 3" xfId="8575"/>
    <cellStyle name="Normal 10 2 3 5 4 3 2" xfId="15286"/>
    <cellStyle name="Normal 10 2 3 5 4 3 2 2" xfId="38707"/>
    <cellStyle name="Normal 10 2 3 5 4 3 3" xfId="32075"/>
    <cellStyle name="Normal 10 2 3 5 4 4" xfId="11968"/>
    <cellStyle name="Normal 10 2 3 5 4 4 2" xfId="35391"/>
    <cellStyle name="Normal 10 2 3 5 4 5" xfId="19555"/>
    <cellStyle name="Normal 10 2 3 5 4 5 2" xfId="42092"/>
    <cellStyle name="Normal 10 2 3 5 4 6" xfId="25113"/>
    <cellStyle name="Normal 10 2 3 5 4 6 2" xfId="47358"/>
    <cellStyle name="Normal 10 2 3 5 4 7" xfId="28759"/>
    <cellStyle name="Normal 10 2 3 5 5" xfId="6208"/>
    <cellStyle name="Normal 10 2 3 5 5 2" xfId="9542"/>
    <cellStyle name="Normal 10 2 3 5 5 2 2" xfId="16246"/>
    <cellStyle name="Normal 10 2 3 5 5 2 2 2" xfId="39667"/>
    <cellStyle name="Normal 10 2 3 5 5 2 3" xfId="33035"/>
    <cellStyle name="Normal 10 2 3 5 5 3" xfId="12930"/>
    <cellStyle name="Normal 10 2 3 5 5 3 2" xfId="36351"/>
    <cellStyle name="Normal 10 2 3 5 5 4" xfId="20645"/>
    <cellStyle name="Normal 10 2 3 5 5 4 2" xfId="43096"/>
    <cellStyle name="Normal 10 2 3 5 5 5" xfId="25759"/>
    <cellStyle name="Normal 10 2 3 5 5 5 2" xfId="48004"/>
    <cellStyle name="Normal 10 2 3 5 5 6" xfId="29719"/>
    <cellStyle name="Normal 10 2 3 5 6" xfId="7874"/>
    <cellStyle name="Normal 10 2 3 5 6 2" xfId="14588"/>
    <cellStyle name="Normal 10 2 3 5 6 2 2" xfId="38009"/>
    <cellStyle name="Normal 10 2 3 5 6 3" xfId="21551"/>
    <cellStyle name="Normal 10 2 3 5 6 3 2" xfId="44000"/>
    <cellStyle name="Normal 10 2 3 5 6 4" xfId="31377"/>
    <cellStyle name="Normal 10 2 3 5 7" xfId="11270"/>
    <cellStyle name="Normal 10 2 3 5 7 2" xfId="34693"/>
    <cellStyle name="Normal 10 2 3 5 8" xfId="17914"/>
    <cellStyle name="Normal 10 2 3 5 8 2" xfId="41223"/>
    <cellStyle name="Normal 10 2 3 5 9" xfId="23212"/>
    <cellStyle name="Normal 10 2 3 5 9 2" xfId="45622"/>
    <cellStyle name="Normal 10 2 3 6" xfId="2146"/>
    <cellStyle name="Normal 10 2 3 6 2" xfId="5421"/>
    <cellStyle name="Normal 10 2 3 6 2 2" xfId="7247"/>
    <cellStyle name="Normal 10 2 3 6 2 2 2" xfId="10578"/>
    <cellStyle name="Normal 10 2 3 6 2 2 2 2" xfId="17282"/>
    <cellStyle name="Normal 10 2 3 6 2 2 2 2 2" xfId="40703"/>
    <cellStyle name="Normal 10 2 3 6 2 2 2 3" xfId="22994"/>
    <cellStyle name="Normal 10 2 3 6 2 2 2 3 2" xfId="45416"/>
    <cellStyle name="Normal 10 2 3 6 2 2 2 4" xfId="34071"/>
    <cellStyle name="Normal 10 2 3 6 2 2 3" xfId="13966"/>
    <cellStyle name="Normal 10 2 3 6 2 2 3 2" xfId="37387"/>
    <cellStyle name="Normal 10 2 3 6 2 2 4" xfId="20166"/>
    <cellStyle name="Normal 10 2 3 6 2 2 4 2" xfId="42701"/>
    <cellStyle name="Normal 10 2 3 6 2 2 5" xfId="26918"/>
    <cellStyle name="Normal 10 2 3 6 2 2 5 2" xfId="49163"/>
    <cellStyle name="Normal 10 2 3 6 2 2 6" xfId="30755"/>
    <cellStyle name="Normal 10 2 3 6 2 3" xfId="8920"/>
    <cellStyle name="Normal 10 2 3 6 2 3 2" xfId="15624"/>
    <cellStyle name="Normal 10 2 3 6 2 3 2 2" xfId="39045"/>
    <cellStyle name="Normal 10 2 3 6 2 3 3" xfId="21106"/>
    <cellStyle name="Normal 10 2 3 6 2 3 3 2" xfId="43557"/>
    <cellStyle name="Normal 10 2 3 6 2 3 4" xfId="32413"/>
    <cellStyle name="Normal 10 2 3 6 2 4" xfId="12308"/>
    <cellStyle name="Normal 10 2 3 6 2 4 2" xfId="22179"/>
    <cellStyle name="Normal 10 2 3 6 2 4 2 2" xfId="44601"/>
    <cellStyle name="Normal 10 2 3 6 2 4 3" xfId="35729"/>
    <cellStyle name="Normal 10 2 3 6 2 5" xfId="19327"/>
    <cellStyle name="Normal 10 2 3 6 2 5 2" xfId="41869"/>
    <cellStyle name="Normal 10 2 3 6 2 6" xfId="24705"/>
    <cellStyle name="Normal 10 2 3 6 2 6 2" xfId="46950"/>
    <cellStyle name="Normal 10 2 3 6 2 7" xfId="29097"/>
    <cellStyle name="Normal 10 2 3 6 3" xfId="5104"/>
    <cellStyle name="Normal 10 2 3 6 3 2" xfId="19750"/>
    <cellStyle name="Normal 10 2 3 6 3 2 2" xfId="27586"/>
    <cellStyle name="Normal 10 2 3 6 3 2 2 2" xfId="49831"/>
    <cellStyle name="Normal 10 2 3 6 3 2 3" xfId="42285"/>
    <cellStyle name="Normal 10 2 3 6 3 3" xfId="25281"/>
    <cellStyle name="Normal 10 2 3 6 3 3 2" xfId="47526"/>
    <cellStyle name="Normal 10 2 3 6 4" xfId="6338"/>
    <cellStyle name="Normal 10 2 3 6 4 2" xfId="9672"/>
    <cellStyle name="Normal 10 2 3 6 4 2 2" xfId="16376"/>
    <cellStyle name="Normal 10 2 3 6 4 2 2 2" xfId="39797"/>
    <cellStyle name="Normal 10 2 3 6 4 2 3" xfId="26246"/>
    <cellStyle name="Normal 10 2 3 6 4 2 3 2" xfId="48491"/>
    <cellStyle name="Normal 10 2 3 6 4 2 4" xfId="33165"/>
    <cellStyle name="Normal 10 2 3 6 4 3" xfId="13060"/>
    <cellStyle name="Normal 10 2 3 6 4 3 2" xfId="36481"/>
    <cellStyle name="Normal 10 2 3 6 4 4" xfId="20647"/>
    <cellStyle name="Normal 10 2 3 6 4 4 2" xfId="43098"/>
    <cellStyle name="Normal 10 2 3 6 4 5" xfId="24042"/>
    <cellStyle name="Normal 10 2 3 6 4 5 2" xfId="46288"/>
    <cellStyle name="Normal 10 2 3 6 4 6" xfId="29849"/>
    <cellStyle name="Normal 10 2 3 6 5" xfId="8005"/>
    <cellStyle name="Normal 10 2 3 6 5 2" xfId="14718"/>
    <cellStyle name="Normal 10 2 3 6 5 2 2" xfId="38139"/>
    <cellStyle name="Normal 10 2 3 6 5 3" xfId="21745"/>
    <cellStyle name="Normal 10 2 3 6 5 3 2" xfId="44187"/>
    <cellStyle name="Normal 10 2 3 6 5 4" xfId="31507"/>
    <cellStyle name="Normal 10 2 3 6 6" xfId="11400"/>
    <cellStyle name="Normal 10 2 3 6 6 2" xfId="34823"/>
    <cellStyle name="Normal 10 2 3 6 7" xfId="18500"/>
    <cellStyle name="Normal 10 2 3 6 7 2" xfId="41444"/>
    <cellStyle name="Normal 10 2 3 6 8" xfId="28191"/>
    <cellStyle name="Normal 10 2 3 7" xfId="2573"/>
    <cellStyle name="Normal 10 2 3 7 2" xfId="5667"/>
    <cellStyle name="Normal 10 2 3 7 2 2" xfId="7450"/>
    <cellStyle name="Normal 10 2 3 7 2 2 2" xfId="10779"/>
    <cellStyle name="Normal 10 2 3 7 2 2 2 2" xfId="17483"/>
    <cellStyle name="Normal 10 2 3 7 2 2 2 2 2" xfId="40904"/>
    <cellStyle name="Normal 10 2 3 7 2 2 2 3" xfId="34272"/>
    <cellStyle name="Normal 10 2 3 7 2 2 3" xfId="14167"/>
    <cellStyle name="Normal 10 2 3 7 2 2 3 2" xfId="37588"/>
    <cellStyle name="Normal 10 2 3 7 2 2 4" xfId="20567"/>
    <cellStyle name="Normal 10 2 3 7 2 2 4 2" xfId="43018"/>
    <cellStyle name="Normal 10 2 3 7 2 2 5" xfId="30956"/>
    <cellStyle name="Normal 10 2 3 7 2 3" xfId="9121"/>
    <cellStyle name="Normal 10 2 3 7 2 3 2" xfId="15825"/>
    <cellStyle name="Normal 10 2 3 7 2 3 2 2" xfId="39246"/>
    <cellStyle name="Normal 10 2 3 7 2 3 3" xfId="21485"/>
    <cellStyle name="Normal 10 2 3 7 2 3 3 2" xfId="43936"/>
    <cellStyle name="Normal 10 2 3 7 2 3 4" xfId="32614"/>
    <cellStyle name="Normal 10 2 3 7 2 4" xfId="12509"/>
    <cellStyle name="Normal 10 2 3 7 2 4 2" xfId="22794"/>
    <cellStyle name="Normal 10 2 3 7 2 4 2 2" xfId="45216"/>
    <cellStyle name="Normal 10 2 3 7 2 4 3" xfId="35930"/>
    <cellStyle name="Normal 10 2 3 7 2 5" xfId="19958"/>
    <cellStyle name="Normal 10 2 3 7 2 5 2" xfId="42493"/>
    <cellStyle name="Normal 10 2 3 7 2 6" xfId="26586"/>
    <cellStyle name="Normal 10 2 3 7 2 6 2" xfId="48831"/>
    <cellStyle name="Normal 10 2 3 7 2 7" xfId="29298"/>
    <cellStyle name="Normal 10 2 3 7 3" xfId="6550"/>
    <cellStyle name="Normal 10 2 3 7 3 2" xfId="9882"/>
    <cellStyle name="Normal 10 2 3 7 3 2 2" xfId="16586"/>
    <cellStyle name="Normal 10 2 3 7 3 2 2 2" xfId="40007"/>
    <cellStyle name="Normal 10 2 3 7 3 2 3" xfId="33375"/>
    <cellStyle name="Normal 10 2 3 7 3 3" xfId="13270"/>
    <cellStyle name="Normal 10 2 3 7 3 3 2" xfId="36691"/>
    <cellStyle name="Normal 10 2 3 7 3 4" xfId="20469"/>
    <cellStyle name="Normal 10 2 3 7 3 4 2" xfId="42922"/>
    <cellStyle name="Normal 10 2 3 7 3 5" xfId="30059"/>
    <cellStyle name="Normal 10 2 3 7 4" xfId="8216"/>
    <cellStyle name="Normal 10 2 3 7 4 2" xfId="14928"/>
    <cellStyle name="Normal 10 2 3 7 4 2 2" xfId="38349"/>
    <cellStyle name="Normal 10 2 3 7 4 3" xfId="21026"/>
    <cellStyle name="Normal 10 2 3 7 4 3 2" xfId="43477"/>
    <cellStyle name="Normal 10 2 3 7 4 4" xfId="31717"/>
    <cellStyle name="Normal 10 2 3 7 5" xfId="11610"/>
    <cellStyle name="Normal 10 2 3 7 5 2" xfId="21967"/>
    <cellStyle name="Normal 10 2 3 7 5 2 2" xfId="44395"/>
    <cellStyle name="Normal 10 2 3 7 5 3" xfId="35033"/>
    <cellStyle name="Normal 10 2 3 7 6" xfId="19104"/>
    <cellStyle name="Normal 10 2 3 7 6 2" xfId="41661"/>
    <cellStyle name="Normal 10 2 3 7 7" xfId="24373"/>
    <cellStyle name="Normal 10 2 3 7 7 2" xfId="46618"/>
    <cellStyle name="Normal 10 2 3 7 8" xfId="28401"/>
    <cellStyle name="Normal 10 2 3 8" xfId="3755"/>
    <cellStyle name="Normal 10 2 3 8 2" xfId="6893"/>
    <cellStyle name="Normal 10 2 3 8 2 2" xfId="10225"/>
    <cellStyle name="Normal 10 2 3 8 2 2 2" xfId="16929"/>
    <cellStyle name="Normal 10 2 3 8 2 2 2 2" xfId="40350"/>
    <cellStyle name="Normal 10 2 3 8 2 2 3" xfId="33718"/>
    <cellStyle name="Normal 10 2 3 8 2 3" xfId="13613"/>
    <cellStyle name="Normal 10 2 3 8 2 3 2" xfId="37034"/>
    <cellStyle name="Normal 10 2 3 8 2 4" xfId="20518"/>
    <cellStyle name="Normal 10 2 3 8 2 4 2" xfId="42971"/>
    <cellStyle name="Normal 10 2 3 8 2 5" xfId="27250"/>
    <cellStyle name="Normal 10 2 3 8 2 5 2" xfId="49495"/>
    <cellStyle name="Normal 10 2 3 8 2 6" xfId="30402"/>
    <cellStyle name="Normal 10 2 3 8 3" xfId="8560"/>
    <cellStyle name="Normal 10 2 3 8 3 2" xfId="15271"/>
    <cellStyle name="Normal 10 2 3 8 3 2 2" xfId="38692"/>
    <cellStyle name="Normal 10 2 3 8 3 3" xfId="21075"/>
    <cellStyle name="Normal 10 2 3 8 3 3 2" xfId="43526"/>
    <cellStyle name="Normal 10 2 3 8 3 4" xfId="32060"/>
    <cellStyle name="Normal 10 2 3 8 4" xfId="11953"/>
    <cellStyle name="Normal 10 2 3 8 4 2" xfId="22387"/>
    <cellStyle name="Normal 10 2 3 8 4 2 2" xfId="44809"/>
    <cellStyle name="Normal 10 2 3 8 4 3" xfId="35376"/>
    <cellStyle name="Normal 10 2 3 8 5" xfId="19540"/>
    <cellStyle name="Normal 10 2 3 8 5 2" xfId="42077"/>
    <cellStyle name="Normal 10 2 3 8 6" xfId="25037"/>
    <cellStyle name="Normal 10 2 3 8 6 2" xfId="47282"/>
    <cellStyle name="Normal 10 2 3 8 7" xfId="28744"/>
    <cellStyle name="Normal 10 2 3 9" xfId="6077"/>
    <cellStyle name="Normal 10 2 3 9 2" xfId="9411"/>
    <cellStyle name="Normal 10 2 3 9 2 2" xfId="16115"/>
    <cellStyle name="Normal 10 2 3 9 2 2 2" xfId="39536"/>
    <cellStyle name="Normal 10 2 3 9 2 3" xfId="32904"/>
    <cellStyle name="Normal 10 2 3 9 3" xfId="12799"/>
    <cellStyle name="Normal 10 2 3 9 3 2" xfId="36220"/>
    <cellStyle name="Normal 10 2 3 9 4" xfId="18288"/>
    <cellStyle name="Normal 10 2 3 9 4 2" xfId="41421"/>
    <cellStyle name="Normal 10 2 3 9 5" xfId="25744"/>
    <cellStyle name="Normal 10 2 3 9 5 2" xfId="47989"/>
    <cellStyle name="Normal 10 2 3 9 6" xfId="29588"/>
    <cellStyle name="Normal 10 2 4" xfId="1246"/>
    <cellStyle name="Normal 10 2 4 10" xfId="11146"/>
    <cellStyle name="Normal 10 2 4 10 2" xfId="21552"/>
    <cellStyle name="Normal 10 2 4 10 2 2" xfId="44001"/>
    <cellStyle name="Normal 10 2 4 10 3" xfId="34569"/>
    <cellStyle name="Normal 10 2 4 11" xfId="17915"/>
    <cellStyle name="Normal 10 2 4 11 2" xfId="41224"/>
    <cellStyle name="Normal 10 2 4 12" xfId="23312"/>
    <cellStyle name="Normal 10 2 4 12 2" xfId="45678"/>
    <cellStyle name="Normal 10 2 4 13" xfId="27937"/>
    <cellStyle name="Normal 10 2 4 2" xfId="1437"/>
    <cellStyle name="Normal 10 2 4 2 10" xfId="17916"/>
    <cellStyle name="Normal 10 2 4 2 10 2" xfId="41225"/>
    <cellStyle name="Normal 10 2 4 2 11" xfId="23219"/>
    <cellStyle name="Normal 10 2 4 2 11 2" xfId="45628"/>
    <cellStyle name="Normal 10 2 4 2 12" xfId="27973"/>
    <cellStyle name="Normal 10 2 4 2 2" xfId="1571"/>
    <cellStyle name="Normal 10 2 4 2 2 10" xfId="23211"/>
    <cellStyle name="Normal 10 2 4 2 2 10 2" xfId="45621"/>
    <cellStyle name="Normal 10 2 4 2 2 11" xfId="28014"/>
    <cellStyle name="Normal 10 2 4 2 2 2" xfId="1793"/>
    <cellStyle name="Normal 10 2 4 2 2 2 10" xfId="28145"/>
    <cellStyle name="Normal 10 2 4 2 2 2 2" xfId="2165"/>
    <cellStyle name="Normal 10 2 4 2 2 2 2 2" xfId="5440"/>
    <cellStyle name="Normal 10 2 4 2 2 2 2 2 2" xfId="7266"/>
    <cellStyle name="Normal 10 2 4 2 2 2 2 2 2 2" xfId="10597"/>
    <cellStyle name="Normal 10 2 4 2 2 2 2 2 2 2 2" xfId="17301"/>
    <cellStyle name="Normal 10 2 4 2 2 2 2 2 2 2 2 2" xfId="40722"/>
    <cellStyle name="Normal 10 2 4 2 2 2 2 2 2 2 3" xfId="23013"/>
    <cellStyle name="Normal 10 2 4 2 2 2 2 2 2 2 3 2" xfId="45435"/>
    <cellStyle name="Normal 10 2 4 2 2 2 2 2 2 2 4" xfId="34090"/>
    <cellStyle name="Normal 10 2 4 2 2 2 2 2 2 3" xfId="13985"/>
    <cellStyle name="Normal 10 2 4 2 2 2 2 2 2 3 2" xfId="37406"/>
    <cellStyle name="Normal 10 2 4 2 2 2 2 2 2 4" xfId="20185"/>
    <cellStyle name="Normal 10 2 4 2 2 2 2 2 2 4 2" xfId="42720"/>
    <cellStyle name="Normal 10 2 4 2 2 2 2 2 2 5" xfId="30774"/>
    <cellStyle name="Normal 10 2 4 2 2 2 2 2 3" xfId="8939"/>
    <cellStyle name="Normal 10 2 4 2 2 2 2 2 3 2" xfId="15643"/>
    <cellStyle name="Normal 10 2 4 2 2 2 2 2 3 2 2" xfId="39064"/>
    <cellStyle name="Normal 10 2 4 2 2 2 2 2 3 3" xfId="21111"/>
    <cellStyle name="Normal 10 2 4 2 2 2 2 2 3 3 2" xfId="43562"/>
    <cellStyle name="Normal 10 2 4 2 2 2 2 2 3 4" xfId="32432"/>
    <cellStyle name="Normal 10 2 4 2 2 2 2 2 4" xfId="12327"/>
    <cellStyle name="Normal 10 2 4 2 2 2 2 2 4 2" xfId="22198"/>
    <cellStyle name="Normal 10 2 4 2 2 2 2 2 4 2 2" xfId="44620"/>
    <cellStyle name="Normal 10 2 4 2 2 2 2 2 4 3" xfId="35748"/>
    <cellStyle name="Normal 10 2 4 2 2 2 2 2 5" xfId="19346"/>
    <cellStyle name="Normal 10 2 4 2 2 2 2 2 5 2" xfId="41888"/>
    <cellStyle name="Normal 10 2 4 2 2 2 2 2 6" xfId="29116"/>
    <cellStyle name="Normal 10 2 4 2 2 2 2 3" xfId="6357"/>
    <cellStyle name="Normal 10 2 4 2 2 2 2 3 2" xfId="9691"/>
    <cellStyle name="Normal 10 2 4 2 2 2 2 3 2 2" xfId="16395"/>
    <cellStyle name="Normal 10 2 4 2 2 2 2 3 2 2 2" xfId="39816"/>
    <cellStyle name="Normal 10 2 4 2 2 2 2 3 2 3" xfId="22606"/>
    <cellStyle name="Normal 10 2 4 2 2 2 2 3 2 3 2" xfId="45028"/>
    <cellStyle name="Normal 10 2 4 2 2 2 2 3 2 4" xfId="33184"/>
    <cellStyle name="Normal 10 2 4 2 2 2 2 3 3" xfId="13079"/>
    <cellStyle name="Normal 10 2 4 2 2 2 2 3 3 2" xfId="36500"/>
    <cellStyle name="Normal 10 2 4 2 2 2 2 3 4" xfId="19769"/>
    <cellStyle name="Normal 10 2 4 2 2 2 2 3 4 2" xfId="42304"/>
    <cellStyle name="Normal 10 2 4 2 2 2 2 3 5" xfId="29868"/>
    <cellStyle name="Normal 10 2 4 2 2 2 2 4" xfId="8024"/>
    <cellStyle name="Normal 10 2 4 2 2 2 2 4 2" xfId="14737"/>
    <cellStyle name="Normal 10 2 4 2 2 2 2 4 2 2" xfId="38158"/>
    <cellStyle name="Normal 10 2 4 2 2 2 2 4 3" xfId="20652"/>
    <cellStyle name="Normal 10 2 4 2 2 2 2 4 3 2" xfId="43103"/>
    <cellStyle name="Normal 10 2 4 2 2 2 2 4 4" xfId="31526"/>
    <cellStyle name="Normal 10 2 4 2 2 2 2 5" xfId="11419"/>
    <cellStyle name="Normal 10 2 4 2 2 2 2 5 2" xfId="21764"/>
    <cellStyle name="Normal 10 2 4 2 2 2 2 5 2 2" xfId="44206"/>
    <cellStyle name="Normal 10 2 4 2 2 2 2 5 3" xfId="34842"/>
    <cellStyle name="Normal 10 2 4 2 2 2 2 6" xfId="18519"/>
    <cellStyle name="Normal 10 2 4 2 2 2 2 6 2" xfId="41463"/>
    <cellStyle name="Normal 10 2 4 2 2 2 2 7" xfId="25763"/>
    <cellStyle name="Normal 10 2 4 2 2 2 2 7 2" xfId="48008"/>
    <cellStyle name="Normal 10 2 4 2 2 2 2 8" xfId="28210"/>
    <cellStyle name="Normal 10 2 4 2 2 2 3" xfId="2790"/>
    <cellStyle name="Normal 10 2 4 2 2 2 3 2" xfId="5882"/>
    <cellStyle name="Normal 10 2 4 2 2 2 3 2 2" xfId="7664"/>
    <cellStyle name="Normal 10 2 4 2 2 2 3 2 2 2" xfId="10993"/>
    <cellStyle name="Normal 10 2 4 2 2 2 3 2 2 2 2" xfId="17697"/>
    <cellStyle name="Normal 10 2 4 2 2 2 3 2 2 2 2 2" xfId="41118"/>
    <cellStyle name="Normal 10 2 4 2 2 2 3 2 2 2 3" xfId="34486"/>
    <cellStyle name="Normal 10 2 4 2 2 2 3 2 2 3" xfId="14381"/>
    <cellStyle name="Normal 10 2 4 2 2 2 3 2 2 3 2" xfId="37802"/>
    <cellStyle name="Normal 10 2 4 2 2 2 3 2 2 4" xfId="22813"/>
    <cellStyle name="Normal 10 2 4 2 2 2 3 2 2 4 2" xfId="45235"/>
    <cellStyle name="Normal 10 2 4 2 2 2 3 2 2 5" xfId="31170"/>
    <cellStyle name="Normal 10 2 4 2 2 2 3 2 3" xfId="9335"/>
    <cellStyle name="Normal 10 2 4 2 2 2 3 2 3 2" xfId="16039"/>
    <cellStyle name="Normal 10 2 4 2 2 2 3 2 3 2 2" xfId="39460"/>
    <cellStyle name="Normal 10 2 4 2 2 2 3 2 3 3" xfId="32828"/>
    <cellStyle name="Normal 10 2 4 2 2 2 3 2 4" xfId="12723"/>
    <cellStyle name="Normal 10 2 4 2 2 2 3 2 4 2" xfId="36144"/>
    <cellStyle name="Normal 10 2 4 2 2 2 3 2 5" xfId="19977"/>
    <cellStyle name="Normal 10 2 4 2 2 2 3 2 5 2" xfId="42512"/>
    <cellStyle name="Normal 10 2 4 2 2 2 3 2 6" xfId="29512"/>
    <cellStyle name="Normal 10 2 4 2 2 2 3 3" xfId="6765"/>
    <cellStyle name="Normal 10 2 4 2 2 2 3 3 2" xfId="10097"/>
    <cellStyle name="Normal 10 2 4 2 2 2 3 3 2 2" xfId="16801"/>
    <cellStyle name="Normal 10 2 4 2 2 2 3 3 2 2 2" xfId="40222"/>
    <cellStyle name="Normal 10 2 4 2 2 2 3 3 2 3" xfId="33590"/>
    <cellStyle name="Normal 10 2 4 2 2 2 3 3 3" xfId="13485"/>
    <cellStyle name="Normal 10 2 4 2 2 2 3 3 3 2" xfId="36906"/>
    <cellStyle name="Normal 10 2 4 2 2 2 3 3 4" xfId="21110"/>
    <cellStyle name="Normal 10 2 4 2 2 2 3 3 4 2" xfId="43561"/>
    <cellStyle name="Normal 10 2 4 2 2 2 3 3 5" xfId="30274"/>
    <cellStyle name="Normal 10 2 4 2 2 2 3 4" xfId="8431"/>
    <cellStyle name="Normal 10 2 4 2 2 2 3 4 2" xfId="15143"/>
    <cellStyle name="Normal 10 2 4 2 2 2 3 4 2 2" xfId="38564"/>
    <cellStyle name="Normal 10 2 4 2 2 2 3 4 3" xfId="21986"/>
    <cellStyle name="Normal 10 2 4 2 2 2 3 4 3 2" xfId="44414"/>
    <cellStyle name="Normal 10 2 4 2 2 2 3 4 4" xfId="31932"/>
    <cellStyle name="Normal 10 2 4 2 2 2 3 5" xfId="11825"/>
    <cellStyle name="Normal 10 2 4 2 2 2 3 5 2" xfId="35248"/>
    <cellStyle name="Normal 10 2 4 2 2 2 3 6" xfId="19123"/>
    <cellStyle name="Normal 10 2 4 2 2 2 3 6 2" xfId="41680"/>
    <cellStyle name="Normal 10 2 4 2 2 2 3 7" xfId="28616"/>
    <cellStyle name="Normal 10 2 4 2 2 2 4" xfId="3774"/>
    <cellStyle name="Normal 10 2 4 2 2 2 4 2" xfId="6912"/>
    <cellStyle name="Normal 10 2 4 2 2 2 4 2 2" xfId="10244"/>
    <cellStyle name="Normal 10 2 4 2 2 2 4 2 2 2" xfId="16948"/>
    <cellStyle name="Normal 10 2 4 2 2 2 4 2 2 2 2" xfId="40369"/>
    <cellStyle name="Normal 10 2 4 2 2 2 4 2 2 3" xfId="33737"/>
    <cellStyle name="Normal 10 2 4 2 2 2 4 2 3" xfId="13632"/>
    <cellStyle name="Normal 10 2 4 2 2 2 4 2 3 2" xfId="37053"/>
    <cellStyle name="Normal 10 2 4 2 2 2 4 2 4" xfId="22406"/>
    <cellStyle name="Normal 10 2 4 2 2 2 4 2 4 2" xfId="44828"/>
    <cellStyle name="Normal 10 2 4 2 2 2 4 2 5" xfId="30421"/>
    <cellStyle name="Normal 10 2 4 2 2 2 4 3" xfId="8579"/>
    <cellStyle name="Normal 10 2 4 2 2 2 4 3 2" xfId="15290"/>
    <cellStyle name="Normal 10 2 4 2 2 2 4 3 2 2" xfId="38711"/>
    <cellStyle name="Normal 10 2 4 2 2 2 4 3 3" xfId="32079"/>
    <cellStyle name="Normal 10 2 4 2 2 2 4 4" xfId="11972"/>
    <cellStyle name="Normal 10 2 4 2 2 2 4 4 2" xfId="35395"/>
    <cellStyle name="Normal 10 2 4 2 2 2 4 5" xfId="19559"/>
    <cellStyle name="Normal 10 2 4 2 2 2 4 5 2" xfId="42096"/>
    <cellStyle name="Normal 10 2 4 2 2 2 4 6" xfId="28763"/>
    <cellStyle name="Normal 10 2 4 2 2 2 5" xfId="6292"/>
    <cellStyle name="Normal 10 2 4 2 2 2 5 2" xfId="9626"/>
    <cellStyle name="Normal 10 2 4 2 2 2 5 2 2" xfId="16330"/>
    <cellStyle name="Normal 10 2 4 2 2 2 5 2 2 2" xfId="39751"/>
    <cellStyle name="Normal 10 2 4 2 2 2 5 2 3" xfId="33119"/>
    <cellStyle name="Normal 10 2 4 2 2 2 5 3" xfId="13014"/>
    <cellStyle name="Normal 10 2 4 2 2 2 5 3 2" xfId="36435"/>
    <cellStyle name="Normal 10 2 4 2 2 2 5 4" xfId="20651"/>
    <cellStyle name="Normal 10 2 4 2 2 2 5 4 2" xfId="43102"/>
    <cellStyle name="Normal 10 2 4 2 2 2 5 5" xfId="29803"/>
    <cellStyle name="Normal 10 2 4 2 2 2 6" xfId="7958"/>
    <cellStyle name="Normal 10 2 4 2 2 2 6 2" xfId="14672"/>
    <cellStyle name="Normal 10 2 4 2 2 2 6 2 2" xfId="38093"/>
    <cellStyle name="Normal 10 2 4 2 2 2 6 3" xfId="21555"/>
    <cellStyle name="Normal 10 2 4 2 2 2 6 3 2" xfId="44004"/>
    <cellStyle name="Normal 10 2 4 2 2 2 6 4" xfId="31461"/>
    <cellStyle name="Normal 10 2 4 2 2 2 7" xfId="11354"/>
    <cellStyle name="Normal 10 2 4 2 2 2 7 2" xfId="34777"/>
    <cellStyle name="Normal 10 2 4 2 2 2 8" xfId="17918"/>
    <cellStyle name="Normal 10 2 4 2 2 2 8 2" xfId="41227"/>
    <cellStyle name="Normal 10 2 4 2 2 2 9" xfId="23486"/>
    <cellStyle name="Normal 10 2 4 2 2 2 9 2" xfId="45820"/>
    <cellStyle name="Normal 10 2 4 2 2 3" xfId="2164"/>
    <cellStyle name="Normal 10 2 4 2 2 3 2" xfId="5439"/>
    <cellStyle name="Normal 10 2 4 2 2 3 2 2" xfId="7265"/>
    <cellStyle name="Normal 10 2 4 2 2 3 2 2 2" xfId="10596"/>
    <cellStyle name="Normal 10 2 4 2 2 3 2 2 2 2" xfId="17300"/>
    <cellStyle name="Normal 10 2 4 2 2 3 2 2 2 2 2" xfId="40721"/>
    <cellStyle name="Normal 10 2 4 2 2 3 2 2 2 3" xfId="23012"/>
    <cellStyle name="Normal 10 2 4 2 2 3 2 2 2 3 2" xfId="45434"/>
    <cellStyle name="Normal 10 2 4 2 2 3 2 2 2 4" xfId="34089"/>
    <cellStyle name="Normal 10 2 4 2 2 3 2 2 3" xfId="13984"/>
    <cellStyle name="Normal 10 2 4 2 2 3 2 2 3 2" xfId="37405"/>
    <cellStyle name="Normal 10 2 4 2 2 3 2 2 4" xfId="20184"/>
    <cellStyle name="Normal 10 2 4 2 2 3 2 2 4 2" xfId="42719"/>
    <cellStyle name="Normal 10 2 4 2 2 3 2 2 5" xfId="30773"/>
    <cellStyle name="Normal 10 2 4 2 2 3 2 3" xfId="8938"/>
    <cellStyle name="Normal 10 2 4 2 2 3 2 3 2" xfId="15642"/>
    <cellStyle name="Normal 10 2 4 2 2 3 2 3 2 2" xfId="39063"/>
    <cellStyle name="Normal 10 2 4 2 2 3 2 3 3" xfId="21112"/>
    <cellStyle name="Normal 10 2 4 2 2 3 2 3 3 2" xfId="43563"/>
    <cellStyle name="Normal 10 2 4 2 2 3 2 3 4" xfId="32431"/>
    <cellStyle name="Normal 10 2 4 2 2 3 2 4" xfId="12326"/>
    <cellStyle name="Normal 10 2 4 2 2 3 2 4 2" xfId="22197"/>
    <cellStyle name="Normal 10 2 4 2 2 3 2 4 2 2" xfId="44619"/>
    <cellStyle name="Normal 10 2 4 2 2 3 2 4 3" xfId="35747"/>
    <cellStyle name="Normal 10 2 4 2 2 3 2 5" xfId="19345"/>
    <cellStyle name="Normal 10 2 4 2 2 3 2 5 2" xfId="41887"/>
    <cellStyle name="Normal 10 2 4 2 2 3 2 6" xfId="27817"/>
    <cellStyle name="Normal 10 2 4 2 2 3 2 6 2" xfId="50062"/>
    <cellStyle name="Normal 10 2 4 2 2 3 2 7" xfId="29115"/>
    <cellStyle name="Normal 10 2 4 2 2 3 3" xfId="6356"/>
    <cellStyle name="Normal 10 2 4 2 2 3 3 2" xfId="9690"/>
    <cellStyle name="Normal 10 2 4 2 2 3 3 2 2" xfId="16394"/>
    <cellStyle name="Normal 10 2 4 2 2 3 3 2 2 2" xfId="39815"/>
    <cellStyle name="Normal 10 2 4 2 2 3 3 2 3" xfId="22605"/>
    <cellStyle name="Normal 10 2 4 2 2 3 3 2 3 2" xfId="45027"/>
    <cellStyle name="Normal 10 2 4 2 2 3 3 2 4" xfId="33183"/>
    <cellStyle name="Normal 10 2 4 2 2 3 3 3" xfId="13078"/>
    <cellStyle name="Normal 10 2 4 2 2 3 3 3 2" xfId="36499"/>
    <cellStyle name="Normal 10 2 4 2 2 3 3 4" xfId="19768"/>
    <cellStyle name="Normal 10 2 4 2 2 3 3 4 2" xfId="42303"/>
    <cellStyle name="Normal 10 2 4 2 2 3 3 5" xfId="29867"/>
    <cellStyle name="Normal 10 2 4 2 2 3 4" xfId="8023"/>
    <cellStyle name="Normal 10 2 4 2 2 3 4 2" xfId="14736"/>
    <cellStyle name="Normal 10 2 4 2 2 3 4 2 2" xfId="38157"/>
    <cellStyle name="Normal 10 2 4 2 2 3 4 3" xfId="20653"/>
    <cellStyle name="Normal 10 2 4 2 2 3 4 3 2" xfId="43104"/>
    <cellStyle name="Normal 10 2 4 2 2 3 4 4" xfId="31525"/>
    <cellStyle name="Normal 10 2 4 2 2 3 5" xfId="11418"/>
    <cellStyle name="Normal 10 2 4 2 2 3 5 2" xfId="21763"/>
    <cellStyle name="Normal 10 2 4 2 2 3 5 2 2" xfId="44205"/>
    <cellStyle name="Normal 10 2 4 2 2 3 5 3" xfId="34841"/>
    <cellStyle name="Normal 10 2 4 2 2 3 6" xfId="18518"/>
    <cellStyle name="Normal 10 2 4 2 2 3 6 2" xfId="41462"/>
    <cellStyle name="Normal 10 2 4 2 2 3 7" xfId="25512"/>
    <cellStyle name="Normal 10 2 4 2 2 3 7 2" xfId="47757"/>
    <cellStyle name="Normal 10 2 4 2 2 3 8" xfId="28209"/>
    <cellStyle name="Normal 10 2 4 2 2 4" xfId="2658"/>
    <cellStyle name="Normal 10 2 4 2 2 4 2" xfId="5751"/>
    <cellStyle name="Normal 10 2 4 2 2 4 2 2" xfId="7533"/>
    <cellStyle name="Normal 10 2 4 2 2 4 2 2 2" xfId="10862"/>
    <cellStyle name="Normal 10 2 4 2 2 4 2 2 2 2" xfId="17566"/>
    <cellStyle name="Normal 10 2 4 2 2 4 2 2 2 2 2" xfId="40987"/>
    <cellStyle name="Normal 10 2 4 2 2 4 2 2 2 3" xfId="34355"/>
    <cellStyle name="Normal 10 2 4 2 2 4 2 2 3" xfId="14250"/>
    <cellStyle name="Normal 10 2 4 2 2 4 2 2 3 2" xfId="37671"/>
    <cellStyle name="Normal 10 2 4 2 2 4 2 2 4" xfId="22812"/>
    <cellStyle name="Normal 10 2 4 2 2 4 2 2 4 2" xfId="45234"/>
    <cellStyle name="Normal 10 2 4 2 2 4 2 2 5" xfId="31039"/>
    <cellStyle name="Normal 10 2 4 2 2 4 2 3" xfId="9204"/>
    <cellStyle name="Normal 10 2 4 2 2 4 2 3 2" xfId="15908"/>
    <cellStyle name="Normal 10 2 4 2 2 4 2 3 2 2" xfId="39329"/>
    <cellStyle name="Normal 10 2 4 2 2 4 2 3 3" xfId="32697"/>
    <cellStyle name="Normal 10 2 4 2 2 4 2 4" xfId="12592"/>
    <cellStyle name="Normal 10 2 4 2 2 4 2 4 2" xfId="36013"/>
    <cellStyle name="Normal 10 2 4 2 2 4 2 5" xfId="19976"/>
    <cellStyle name="Normal 10 2 4 2 2 4 2 5 2" xfId="42511"/>
    <cellStyle name="Normal 10 2 4 2 2 4 2 6" xfId="29381"/>
    <cellStyle name="Normal 10 2 4 2 2 4 3" xfId="6634"/>
    <cellStyle name="Normal 10 2 4 2 2 4 3 2" xfId="9966"/>
    <cellStyle name="Normal 10 2 4 2 2 4 3 2 2" xfId="16670"/>
    <cellStyle name="Normal 10 2 4 2 2 4 3 2 2 2" xfId="40091"/>
    <cellStyle name="Normal 10 2 4 2 2 4 3 2 3" xfId="33459"/>
    <cellStyle name="Normal 10 2 4 2 2 4 3 3" xfId="13354"/>
    <cellStyle name="Normal 10 2 4 2 2 4 3 3 2" xfId="36775"/>
    <cellStyle name="Normal 10 2 4 2 2 4 3 4" xfId="21109"/>
    <cellStyle name="Normal 10 2 4 2 2 4 3 4 2" xfId="43560"/>
    <cellStyle name="Normal 10 2 4 2 2 4 3 5" xfId="30143"/>
    <cellStyle name="Normal 10 2 4 2 2 4 4" xfId="8300"/>
    <cellStyle name="Normal 10 2 4 2 2 4 4 2" xfId="15012"/>
    <cellStyle name="Normal 10 2 4 2 2 4 4 2 2" xfId="38433"/>
    <cellStyle name="Normal 10 2 4 2 2 4 4 3" xfId="21985"/>
    <cellStyle name="Normal 10 2 4 2 2 4 4 3 2" xfId="44413"/>
    <cellStyle name="Normal 10 2 4 2 2 4 4 4" xfId="31801"/>
    <cellStyle name="Normal 10 2 4 2 2 4 5" xfId="11694"/>
    <cellStyle name="Normal 10 2 4 2 2 4 5 2" xfId="35117"/>
    <cellStyle name="Normal 10 2 4 2 2 4 6" xfId="19122"/>
    <cellStyle name="Normal 10 2 4 2 2 4 6 2" xfId="41679"/>
    <cellStyle name="Normal 10 2 4 2 2 4 7" xfId="25762"/>
    <cellStyle name="Normal 10 2 4 2 2 4 7 2" xfId="48007"/>
    <cellStyle name="Normal 10 2 4 2 2 4 8" xfId="28485"/>
    <cellStyle name="Normal 10 2 4 2 2 5" xfId="3773"/>
    <cellStyle name="Normal 10 2 4 2 2 5 2" xfId="6911"/>
    <cellStyle name="Normal 10 2 4 2 2 5 2 2" xfId="10243"/>
    <cellStyle name="Normal 10 2 4 2 2 5 2 2 2" xfId="16947"/>
    <cellStyle name="Normal 10 2 4 2 2 5 2 2 2 2" xfId="40368"/>
    <cellStyle name="Normal 10 2 4 2 2 5 2 2 3" xfId="33736"/>
    <cellStyle name="Normal 10 2 4 2 2 5 2 3" xfId="13631"/>
    <cellStyle name="Normal 10 2 4 2 2 5 2 3 2" xfId="37052"/>
    <cellStyle name="Normal 10 2 4 2 2 5 2 4" xfId="22405"/>
    <cellStyle name="Normal 10 2 4 2 2 5 2 4 2" xfId="44827"/>
    <cellStyle name="Normal 10 2 4 2 2 5 2 5" xfId="30420"/>
    <cellStyle name="Normal 10 2 4 2 2 5 3" xfId="8578"/>
    <cellStyle name="Normal 10 2 4 2 2 5 3 2" xfId="15289"/>
    <cellStyle name="Normal 10 2 4 2 2 5 3 2 2" xfId="38710"/>
    <cellStyle name="Normal 10 2 4 2 2 5 3 3" xfId="32078"/>
    <cellStyle name="Normal 10 2 4 2 2 5 4" xfId="11971"/>
    <cellStyle name="Normal 10 2 4 2 2 5 4 2" xfId="35394"/>
    <cellStyle name="Normal 10 2 4 2 2 5 5" xfId="19558"/>
    <cellStyle name="Normal 10 2 4 2 2 5 5 2" xfId="42095"/>
    <cellStyle name="Normal 10 2 4 2 2 5 6" xfId="28762"/>
    <cellStyle name="Normal 10 2 4 2 2 6" xfId="6161"/>
    <cellStyle name="Normal 10 2 4 2 2 6 2" xfId="9495"/>
    <cellStyle name="Normal 10 2 4 2 2 6 2 2" xfId="16199"/>
    <cellStyle name="Normal 10 2 4 2 2 6 2 2 2" xfId="39620"/>
    <cellStyle name="Normal 10 2 4 2 2 6 2 3" xfId="32988"/>
    <cellStyle name="Normal 10 2 4 2 2 6 3" xfId="12883"/>
    <cellStyle name="Normal 10 2 4 2 2 6 3 2" xfId="36304"/>
    <cellStyle name="Normal 10 2 4 2 2 6 4" xfId="20650"/>
    <cellStyle name="Normal 10 2 4 2 2 6 4 2" xfId="43101"/>
    <cellStyle name="Normal 10 2 4 2 2 6 5" xfId="29672"/>
    <cellStyle name="Normal 10 2 4 2 2 7" xfId="7827"/>
    <cellStyle name="Normal 10 2 4 2 2 7 2" xfId="14541"/>
    <cellStyle name="Normal 10 2 4 2 2 7 2 2" xfId="37962"/>
    <cellStyle name="Normal 10 2 4 2 2 7 3" xfId="21554"/>
    <cellStyle name="Normal 10 2 4 2 2 7 3 2" xfId="44003"/>
    <cellStyle name="Normal 10 2 4 2 2 7 4" xfId="31330"/>
    <cellStyle name="Normal 10 2 4 2 2 8" xfId="11223"/>
    <cellStyle name="Normal 10 2 4 2 2 8 2" xfId="34646"/>
    <cellStyle name="Normal 10 2 4 2 2 9" xfId="17917"/>
    <cellStyle name="Normal 10 2 4 2 2 9 2" xfId="41226"/>
    <cellStyle name="Normal 10 2 4 2 3" xfId="1752"/>
    <cellStyle name="Normal 10 2 4 2 3 10" xfId="28104"/>
    <cellStyle name="Normal 10 2 4 2 3 2" xfId="2166"/>
    <cellStyle name="Normal 10 2 4 2 3 2 2" xfId="5441"/>
    <cellStyle name="Normal 10 2 4 2 3 2 2 2" xfId="7267"/>
    <cellStyle name="Normal 10 2 4 2 3 2 2 2 2" xfId="10598"/>
    <cellStyle name="Normal 10 2 4 2 3 2 2 2 2 2" xfId="17302"/>
    <cellStyle name="Normal 10 2 4 2 3 2 2 2 2 2 2" xfId="40723"/>
    <cellStyle name="Normal 10 2 4 2 3 2 2 2 2 3" xfId="23014"/>
    <cellStyle name="Normal 10 2 4 2 3 2 2 2 2 3 2" xfId="45436"/>
    <cellStyle name="Normal 10 2 4 2 3 2 2 2 2 4" xfId="34091"/>
    <cellStyle name="Normal 10 2 4 2 3 2 2 2 3" xfId="13986"/>
    <cellStyle name="Normal 10 2 4 2 3 2 2 2 3 2" xfId="37407"/>
    <cellStyle name="Normal 10 2 4 2 3 2 2 2 4" xfId="20186"/>
    <cellStyle name="Normal 10 2 4 2 3 2 2 2 4 2" xfId="42721"/>
    <cellStyle name="Normal 10 2 4 2 3 2 2 2 5" xfId="30775"/>
    <cellStyle name="Normal 10 2 4 2 3 2 2 3" xfId="8940"/>
    <cellStyle name="Normal 10 2 4 2 3 2 2 3 2" xfId="15644"/>
    <cellStyle name="Normal 10 2 4 2 3 2 2 3 2 2" xfId="39065"/>
    <cellStyle name="Normal 10 2 4 2 3 2 2 3 3" xfId="21114"/>
    <cellStyle name="Normal 10 2 4 2 3 2 2 3 3 2" xfId="43565"/>
    <cellStyle name="Normal 10 2 4 2 3 2 2 3 4" xfId="32433"/>
    <cellStyle name="Normal 10 2 4 2 3 2 2 4" xfId="12328"/>
    <cellStyle name="Normal 10 2 4 2 3 2 2 4 2" xfId="22199"/>
    <cellStyle name="Normal 10 2 4 2 3 2 2 4 2 2" xfId="44621"/>
    <cellStyle name="Normal 10 2 4 2 3 2 2 4 3" xfId="35749"/>
    <cellStyle name="Normal 10 2 4 2 3 2 2 5" xfId="19347"/>
    <cellStyle name="Normal 10 2 4 2 3 2 2 5 2" xfId="41889"/>
    <cellStyle name="Normal 10 2 4 2 3 2 2 6" xfId="29117"/>
    <cellStyle name="Normal 10 2 4 2 3 2 3" xfId="6358"/>
    <cellStyle name="Normal 10 2 4 2 3 2 3 2" xfId="9692"/>
    <cellStyle name="Normal 10 2 4 2 3 2 3 2 2" xfId="16396"/>
    <cellStyle name="Normal 10 2 4 2 3 2 3 2 2 2" xfId="39817"/>
    <cellStyle name="Normal 10 2 4 2 3 2 3 2 3" xfId="22607"/>
    <cellStyle name="Normal 10 2 4 2 3 2 3 2 3 2" xfId="45029"/>
    <cellStyle name="Normal 10 2 4 2 3 2 3 2 4" xfId="33185"/>
    <cellStyle name="Normal 10 2 4 2 3 2 3 3" xfId="13080"/>
    <cellStyle name="Normal 10 2 4 2 3 2 3 3 2" xfId="36501"/>
    <cellStyle name="Normal 10 2 4 2 3 2 3 4" xfId="19770"/>
    <cellStyle name="Normal 10 2 4 2 3 2 3 4 2" xfId="42305"/>
    <cellStyle name="Normal 10 2 4 2 3 2 3 5" xfId="29869"/>
    <cellStyle name="Normal 10 2 4 2 3 2 4" xfId="8025"/>
    <cellStyle name="Normal 10 2 4 2 3 2 4 2" xfId="14738"/>
    <cellStyle name="Normal 10 2 4 2 3 2 4 2 2" xfId="38159"/>
    <cellStyle name="Normal 10 2 4 2 3 2 4 3" xfId="20655"/>
    <cellStyle name="Normal 10 2 4 2 3 2 4 3 2" xfId="43106"/>
    <cellStyle name="Normal 10 2 4 2 3 2 4 4" xfId="31527"/>
    <cellStyle name="Normal 10 2 4 2 3 2 5" xfId="11420"/>
    <cellStyle name="Normal 10 2 4 2 3 2 5 2" xfId="21765"/>
    <cellStyle name="Normal 10 2 4 2 3 2 5 2 2" xfId="44207"/>
    <cellStyle name="Normal 10 2 4 2 3 2 5 3" xfId="34843"/>
    <cellStyle name="Normal 10 2 4 2 3 2 6" xfId="18520"/>
    <cellStyle name="Normal 10 2 4 2 3 2 6 2" xfId="41464"/>
    <cellStyle name="Normal 10 2 4 2 3 2 7" xfId="25764"/>
    <cellStyle name="Normal 10 2 4 2 3 2 7 2" xfId="48009"/>
    <cellStyle name="Normal 10 2 4 2 3 2 8" xfId="28211"/>
    <cellStyle name="Normal 10 2 4 2 3 3" xfId="2749"/>
    <cellStyle name="Normal 10 2 4 2 3 3 2" xfId="5841"/>
    <cellStyle name="Normal 10 2 4 2 3 3 2 2" xfId="7623"/>
    <cellStyle name="Normal 10 2 4 2 3 3 2 2 2" xfId="10952"/>
    <cellStyle name="Normal 10 2 4 2 3 3 2 2 2 2" xfId="17656"/>
    <cellStyle name="Normal 10 2 4 2 3 3 2 2 2 2 2" xfId="41077"/>
    <cellStyle name="Normal 10 2 4 2 3 3 2 2 2 3" xfId="34445"/>
    <cellStyle name="Normal 10 2 4 2 3 3 2 2 3" xfId="14340"/>
    <cellStyle name="Normal 10 2 4 2 3 3 2 2 3 2" xfId="37761"/>
    <cellStyle name="Normal 10 2 4 2 3 3 2 2 4" xfId="22814"/>
    <cellStyle name="Normal 10 2 4 2 3 3 2 2 4 2" xfId="45236"/>
    <cellStyle name="Normal 10 2 4 2 3 3 2 2 5" xfId="31129"/>
    <cellStyle name="Normal 10 2 4 2 3 3 2 3" xfId="9294"/>
    <cellStyle name="Normal 10 2 4 2 3 3 2 3 2" xfId="15998"/>
    <cellStyle name="Normal 10 2 4 2 3 3 2 3 2 2" xfId="39419"/>
    <cellStyle name="Normal 10 2 4 2 3 3 2 3 3" xfId="32787"/>
    <cellStyle name="Normal 10 2 4 2 3 3 2 4" xfId="12682"/>
    <cellStyle name="Normal 10 2 4 2 3 3 2 4 2" xfId="36103"/>
    <cellStyle name="Normal 10 2 4 2 3 3 2 5" xfId="19978"/>
    <cellStyle name="Normal 10 2 4 2 3 3 2 5 2" xfId="42513"/>
    <cellStyle name="Normal 10 2 4 2 3 3 2 6" xfId="29471"/>
    <cellStyle name="Normal 10 2 4 2 3 3 3" xfId="6724"/>
    <cellStyle name="Normal 10 2 4 2 3 3 3 2" xfId="10056"/>
    <cellStyle name="Normal 10 2 4 2 3 3 3 2 2" xfId="16760"/>
    <cellStyle name="Normal 10 2 4 2 3 3 3 2 2 2" xfId="40181"/>
    <cellStyle name="Normal 10 2 4 2 3 3 3 2 3" xfId="33549"/>
    <cellStyle name="Normal 10 2 4 2 3 3 3 3" xfId="13444"/>
    <cellStyle name="Normal 10 2 4 2 3 3 3 3 2" xfId="36865"/>
    <cellStyle name="Normal 10 2 4 2 3 3 3 4" xfId="21113"/>
    <cellStyle name="Normal 10 2 4 2 3 3 3 4 2" xfId="43564"/>
    <cellStyle name="Normal 10 2 4 2 3 3 3 5" xfId="30233"/>
    <cellStyle name="Normal 10 2 4 2 3 3 4" xfId="8390"/>
    <cellStyle name="Normal 10 2 4 2 3 3 4 2" xfId="15102"/>
    <cellStyle name="Normal 10 2 4 2 3 3 4 2 2" xfId="38523"/>
    <cellStyle name="Normal 10 2 4 2 3 3 4 3" xfId="21987"/>
    <cellStyle name="Normal 10 2 4 2 3 3 4 3 2" xfId="44415"/>
    <cellStyle name="Normal 10 2 4 2 3 3 4 4" xfId="31891"/>
    <cellStyle name="Normal 10 2 4 2 3 3 5" xfId="11784"/>
    <cellStyle name="Normal 10 2 4 2 3 3 5 2" xfId="35207"/>
    <cellStyle name="Normal 10 2 4 2 3 3 6" xfId="19124"/>
    <cellStyle name="Normal 10 2 4 2 3 3 6 2" xfId="41681"/>
    <cellStyle name="Normal 10 2 4 2 3 3 7" xfId="28575"/>
    <cellStyle name="Normal 10 2 4 2 3 4" xfId="3775"/>
    <cellStyle name="Normal 10 2 4 2 3 4 2" xfId="6913"/>
    <cellStyle name="Normal 10 2 4 2 3 4 2 2" xfId="10245"/>
    <cellStyle name="Normal 10 2 4 2 3 4 2 2 2" xfId="16949"/>
    <cellStyle name="Normal 10 2 4 2 3 4 2 2 2 2" xfId="40370"/>
    <cellStyle name="Normal 10 2 4 2 3 4 2 2 3" xfId="33738"/>
    <cellStyle name="Normal 10 2 4 2 3 4 2 3" xfId="13633"/>
    <cellStyle name="Normal 10 2 4 2 3 4 2 3 2" xfId="37054"/>
    <cellStyle name="Normal 10 2 4 2 3 4 2 4" xfId="22407"/>
    <cellStyle name="Normal 10 2 4 2 3 4 2 4 2" xfId="44829"/>
    <cellStyle name="Normal 10 2 4 2 3 4 2 5" xfId="30422"/>
    <cellStyle name="Normal 10 2 4 2 3 4 3" xfId="8580"/>
    <cellStyle name="Normal 10 2 4 2 3 4 3 2" xfId="15291"/>
    <cellStyle name="Normal 10 2 4 2 3 4 3 2 2" xfId="38712"/>
    <cellStyle name="Normal 10 2 4 2 3 4 3 3" xfId="32080"/>
    <cellStyle name="Normal 10 2 4 2 3 4 4" xfId="11973"/>
    <cellStyle name="Normal 10 2 4 2 3 4 4 2" xfId="35396"/>
    <cellStyle name="Normal 10 2 4 2 3 4 5" xfId="19560"/>
    <cellStyle name="Normal 10 2 4 2 3 4 5 2" xfId="42097"/>
    <cellStyle name="Normal 10 2 4 2 3 4 6" xfId="28764"/>
    <cellStyle name="Normal 10 2 4 2 3 5" xfId="6251"/>
    <cellStyle name="Normal 10 2 4 2 3 5 2" xfId="9585"/>
    <cellStyle name="Normal 10 2 4 2 3 5 2 2" xfId="16289"/>
    <cellStyle name="Normal 10 2 4 2 3 5 2 2 2" xfId="39710"/>
    <cellStyle name="Normal 10 2 4 2 3 5 2 3" xfId="33078"/>
    <cellStyle name="Normal 10 2 4 2 3 5 3" xfId="12973"/>
    <cellStyle name="Normal 10 2 4 2 3 5 3 2" xfId="36394"/>
    <cellStyle name="Normal 10 2 4 2 3 5 4" xfId="20654"/>
    <cellStyle name="Normal 10 2 4 2 3 5 4 2" xfId="43105"/>
    <cellStyle name="Normal 10 2 4 2 3 5 5" xfId="29762"/>
    <cellStyle name="Normal 10 2 4 2 3 6" xfId="7917"/>
    <cellStyle name="Normal 10 2 4 2 3 6 2" xfId="14631"/>
    <cellStyle name="Normal 10 2 4 2 3 6 2 2" xfId="38052"/>
    <cellStyle name="Normal 10 2 4 2 3 6 3" xfId="21556"/>
    <cellStyle name="Normal 10 2 4 2 3 6 3 2" xfId="44005"/>
    <cellStyle name="Normal 10 2 4 2 3 6 4" xfId="31420"/>
    <cellStyle name="Normal 10 2 4 2 3 7" xfId="11313"/>
    <cellStyle name="Normal 10 2 4 2 3 7 2" xfId="34736"/>
    <cellStyle name="Normal 10 2 4 2 3 8" xfId="17919"/>
    <cellStyle name="Normal 10 2 4 2 3 8 2" xfId="41228"/>
    <cellStyle name="Normal 10 2 4 2 3 9" xfId="23487"/>
    <cellStyle name="Normal 10 2 4 2 3 9 2" xfId="45821"/>
    <cellStyle name="Normal 10 2 4 2 4" xfId="2163"/>
    <cellStyle name="Normal 10 2 4 2 4 2" xfId="5438"/>
    <cellStyle name="Normal 10 2 4 2 4 2 2" xfId="7264"/>
    <cellStyle name="Normal 10 2 4 2 4 2 2 2" xfId="10595"/>
    <cellStyle name="Normal 10 2 4 2 4 2 2 2 2" xfId="17299"/>
    <cellStyle name="Normal 10 2 4 2 4 2 2 2 2 2" xfId="40720"/>
    <cellStyle name="Normal 10 2 4 2 4 2 2 2 3" xfId="23011"/>
    <cellStyle name="Normal 10 2 4 2 4 2 2 2 3 2" xfId="45433"/>
    <cellStyle name="Normal 10 2 4 2 4 2 2 2 4" xfId="34088"/>
    <cellStyle name="Normal 10 2 4 2 4 2 2 3" xfId="13983"/>
    <cellStyle name="Normal 10 2 4 2 4 2 2 3 2" xfId="37404"/>
    <cellStyle name="Normal 10 2 4 2 4 2 2 4" xfId="20183"/>
    <cellStyle name="Normal 10 2 4 2 4 2 2 4 2" xfId="42718"/>
    <cellStyle name="Normal 10 2 4 2 4 2 2 5" xfId="30772"/>
    <cellStyle name="Normal 10 2 4 2 4 2 3" xfId="8937"/>
    <cellStyle name="Normal 10 2 4 2 4 2 3 2" xfId="15641"/>
    <cellStyle name="Normal 10 2 4 2 4 2 3 2 2" xfId="39062"/>
    <cellStyle name="Normal 10 2 4 2 4 2 3 3" xfId="21115"/>
    <cellStyle name="Normal 10 2 4 2 4 2 3 3 2" xfId="43566"/>
    <cellStyle name="Normal 10 2 4 2 4 2 3 4" xfId="32430"/>
    <cellStyle name="Normal 10 2 4 2 4 2 4" xfId="12325"/>
    <cellStyle name="Normal 10 2 4 2 4 2 4 2" xfId="22196"/>
    <cellStyle name="Normal 10 2 4 2 4 2 4 2 2" xfId="44618"/>
    <cellStyle name="Normal 10 2 4 2 4 2 4 3" xfId="35746"/>
    <cellStyle name="Normal 10 2 4 2 4 2 5" xfId="19344"/>
    <cellStyle name="Normal 10 2 4 2 4 2 5 2" xfId="41886"/>
    <cellStyle name="Normal 10 2 4 2 4 2 6" xfId="27481"/>
    <cellStyle name="Normal 10 2 4 2 4 2 6 2" xfId="49726"/>
    <cellStyle name="Normal 10 2 4 2 4 2 7" xfId="29114"/>
    <cellStyle name="Normal 10 2 4 2 4 3" xfId="6355"/>
    <cellStyle name="Normal 10 2 4 2 4 3 2" xfId="9689"/>
    <cellStyle name="Normal 10 2 4 2 4 3 2 2" xfId="16393"/>
    <cellStyle name="Normal 10 2 4 2 4 3 2 2 2" xfId="39814"/>
    <cellStyle name="Normal 10 2 4 2 4 3 2 3" xfId="22604"/>
    <cellStyle name="Normal 10 2 4 2 4 3 2 3 2" xfId="45026"/>
    <cellStyle name="Normal 10 2 4 2 4 3 2 4" xfId="33182"/>
    <cellStyle name="Normal 10 2 4 2 4 3 3" xfId="13077"/>
    <cellStyle name="Normal 10 2 4 2 4 3 3 2" xfId="36498"/>
    <cellStyle name="Normal 10 2 4 2 4 3 4" xfId="19767"/>
    <cellStyle name="Normal 10 2 4 2 4 3 4 2" xfId="42302"/>
    <cellStyle name="Normal 10 2 4 2 4 3 5" xfId="29866"/>
    <cellStyle name="Normal 10 2 4 2 4 4" xfId="8022"/>
    <cellStyle name="Normal 10 2 4 2 4 4 2" xfId="14735"/>
    <cellStyle name="Normal 10 2 4 2 4 4 2 2" xfId="38156"/>
    <cellStyle name="Normal 10 2 4 2 4 4 3" xfId="20656"/>
    <cellStyle name="Normal 10 2 4 2 4 4 3 2" xfId="43107"/>
    <cellStyle name="Normal 10 2 4 2 4 4 4" xfId="31524"/>
    <cellStyle name="Normal 10 2 4 2 4 5" xfId="11417"/>
    <cellStyle name="Normal 10 2 4 2 4 5 2" xfId="21762"/>
    <cellStyle name="Normal 10 2 4 2 4 5 2 2" xfId="44204"/>
    <cellStyle name="Normal 10 2 4 2 4 5 3" xfId="34840"/>
    <cellStyle name="Normal 10 2 4 2 4 6" xfId="18517"/>
    <cellStyle name="Normal 10 2 4 2 4 6 2" xfId="41461"/>
    <cellStyle name="Normal 10 2 4 2 4 7" xfId="25176"/>
    <cellStyle name="Normal 10 2 4 2 4 7 2" xfId="47421"/>
    <cellStyle name="Normal 10 2 4 2 4 8" xfId="28208"/>
    <cellStyle name="Normal 10 2 4 2 5" xfId="2617"/>
    <cellStyle name="Normal 10 2 4 2 5 2" xfId="5710"/>
    <cellStyle name="Normal 10 2 4 2 5 2 2" xfId="7492"/>
    <cellStyle name="Normal 10 2 4 2 5 2 2 2" xfId="10821"/>
    <cellStyle name="Normal 10 2 4 2 5 2 2 2 2" xfId="17525"/>
    <cellStyle name="Normal 10 2 4 2 5 2 2 2 2 2" xfId="40946"/>
    <cellStyle name="Normal 10 2 4 2 5 2 2 2 3" xfId="34314"/>
    <cellStyle name="Normal 10 2 4 2 5 2 2 3" xfId="14209"/>
    <cellStyle name="Normal 10 2 4 2 5 2 2 3 2" xfId="37630"/>
    <cellStyle name="Normal 10 2 4 2 5 2 2 4" xfId="20572"/>
    <cellStyle name="Normal 10 2 4 2 5 2 2 4 2" xfId="43023"/>
    <cellStyle name="Normal 10 2 4 2 5 2 2 5" xfId="30998"/>
    <cellStyle name="Normal 10 2 4 2 5 2 3" xfId="9163"/>
    <cellStyle name="Normal 10 2 4 2 5 2 3 2" xfId="15867"/>
    <cellStyle name="Normal 10 2 4 2 5 2 3 2 2" xfId="39288"/>
    <cellStyle name="Normal 10 2 4 2 5 2 3 3" xfId="21490"/>
    <cellStyle name="Normal 10 2 4 2 5 2 3 3 2" xfId="43941"/>
    <cellStyle name="Normal 10 2 4 2 5 2 3 4" xfId="32656"/>
    <cellStyle name="Normal 10 2 4 2 5 2 4" xfId="12551"/>
    <cellStyle name="Normal 10 2 4 2 5 2 4 2" xfId="22811"/>
    <cellStyle name="Normal 10 2 4 2 5 2 4 2 2" xfId="45233"/>
    <cellStyle name="Normal 10 2 4 2 5 2 4 3" xfId="35972"/>
    <cellStyle name="Normal 10 2 4 2 5 2 5" xfId="19975"/>
    <cellStyle name="Normal 10 2 4 2 5 2 5 2" xfId="42510"/>
    <cellStyle name="Normal 10 2 4 2 5 2 6" xfId="29340"/>
    <cellStyle name="Normal 10 2 4 2 5 3" xfId="6593"/>
    <cellStyle name="Normal 10 2 4 2 5 3 2" xfId="9925"/>
    <cellStyle name="Normal 10 2 4 2 5 3 2 2" xfId="16629"/>
    <cellStyle name="Normal 10 2 4 2 5 3 2 2 2" xfId="40050"/>
    <cellStyle name="Normal 10 2 4 2 5 3 2 3" xfId="33418"/>
    <cellStyle name="Normal 10 2 4 2 5 3 3" xfId="13313"/>
    <cellStyle name="Normal 10 2 4 2 5 3 3 2" xfId="36734"/>
    <cellStyle name="Normal 10 2 4 2 5 3 4" xfId="20474"/>
    <cellStyle name="Normal 10 2 4 2 5 3 4 2" xfId="42927"/>
    <cellStyle name="Normal 10 2 4 2 5 3 5" xfId="30102"/>
    <cellStyle name="Normal 10 2 4 2 5 4" xfId="8259"/>
    <cellStyle name="Normal 10 2 4 2 5 4 2" xfId="14971"/>
    <cellStyle name="Normal 10 2 4 2 5 4 2 2" xfId="38392"/>
    <cellStyle name="Normal 10 2 4 2 5 4 3" xfId="21031"/>
    <cellStyle name="Normal 10 2 4 2 5 4 3 2" xfId="43482"/>
    <cellStyle name="Normal 10 2 4 2 5 4 4" xfId="31760"/>
    <cellStyle name="Normal 10 2 4 2 5 5" xfId="11653"/>
    <cellStyle name="Normal 10 2 4 2 5 5 2" xfId="21984"/>
    <cellStyle name="Normal 10 2 4 2 5 5 2 2" xfId="44412"/>
    <cellStyle name="Normal 10 2 4 2 5 5 3" xfId="35076"/>
    <cellStyle name="Normal 10 2 4 2 5 6" xfId="19121"/>
    <cellStyle name="Normal 10 2 4 2 5 6 2" xfId="41678"/>
    <cellStyle name="Normal 10 2 4 2 5 7" xfId="25761"/>
    <cellStyle name="Normal 10 2 4 2 5 7 2" xfId="48006"/>
    <cellStyle name="Normal 10 2 4 2 5 8" xfId="28444"/>
    <cellStyle name="Normal 10 2 4 2 6" xfId="3772"/>
    <cellStyle name="Normal 10 2 4 2 6 2" xfId="6910"/>
    <cellStyle name="Normal 10 2 4 2 6 2 2" xfId="10242"/>
    <cellStyle name="Normal 10 2 4 2 6 2 2 2" xfId="16946"/>
    <cellStyle name="Normal 10 2 4 2 6 2 2 2 2" xfId="40367"/>
    <cellStyle name="Normal 10 2 4 2 6 2 2 3" xfId="33735"/>
    <cellStyle name="Normal 10 2 4 2 6 2 3" xfId="13630"/>
    <cellStyle name="Normal 10 2 4 2 6 2 3 2" xfId="37051"/>
    <cellStyle name="Normal 10 2 4 2 6 2 4" xfId="20523"/>
    <cellStyle name="Normal 10 2 4 2 6 2 4 2" xfId="42976"/>
    <cellStyle name="Normal 10 2 4 2 6 2 5" xfId="30419"/>
    <cellStyle name="Normal 10 2 4 2 6 3" xfId="8577"/>
    <cellStyle name="Normal 10 2 4 2 6 3 2" xfId="15288"/>
    <cellStyle name="Normal 10 2 4 2 6 3 2 2" xfId="38709"/>
    <cellStyle name="Normal 10 2 4 2 6 3 3" xfId="21108"/>
    <cellStyle name="Normal 10 2 4 2 6 3 3 2" xfId="43559"/>
    <cellStyle name="Normal 10 2 4 2 6 3 4" xfId="32077"/>
    <cellStyle name="Normal 10 2 4 2 6 4" xfId="11970"/>
    <cellStyle name="Normal 10 2 4 2 6 4 2" xfId="22404"/>
    <cellStyle name="Normal 10 2 4 2 6 4 2 2" xfId="44826"/>
    <cellStyle name="Normal 10 2 4 2 6 4 3" xfId="35393"/>
    <cellStyle name="Normal 10 2 4 2 6 5" xfId="19557"/>
    <cellStyle name="Normal 10 2 4 2 6 5 2" xfId="42094"/>
    <cellStyle name="Normal 10 2 4 2 6 6" xfId="28761"/>
    <cellStyle name="Normal 10 2 4 2 7" xfId="6120"/>
    <cellStyle name="Normal 10 2 4 2 7 2" xfId="9454"/>
    <cellStyle name="Normal 10 2 4 2 7 2 2" xfId="16158"/>
    <cellStyle name="Normal 10 2 4 2 7 2 2 2" xfId="39579"/>
    <cellStyle name="Normal 10 2 4 2 7 2 3" xfId="32947"/>
    <cellStyle name="Normal 10 2 4 2 7 3" xfId="12842"/>
    <cellStyle name="Normal 10 2 4 2 7 3 2" xfId="36263"/>
    <cellStyle name="Normal 10 2 4 2 7 4" xfId="18292"/>
    <cellStyle name="Normal 10 2 4 2 7 4 2" xfId="41425"/>
    <cellStyle name="Normal 10 2 4 2 7 5" xfId="29631"/>
    <cellStyle name="Normal 10 2 4 2 8" xfId="7786"/>
    <cellStyle name="Normal 10 2 4 2 8 2" xfId="14500"/>
    <cellStyle name="Normal 10 2 4 2 8 2 2" xfId="37921"/>
    <cellStyle name="Normal 10 2 4 2 8 3" xfId="20649"/>
    <cellStyle name="Normal 10 2 4 2 8 3 2" xfId="43100"/>
    <cellStyle name="Normal 10 2 4 2 8 4" xfId="31289"/>
    <cellStyle name="Normal 10 2 4 2 9" xfId="11182"/>
    <cellStyle name="Normal 10 2 4 2 9 2" xfId="21553"/>
    <cellStyle name="Normal 10 2 4 2 9 2 2" xfId="44002"/>
    <cellStyle name="Normal 10 2 4 2 9 3" xfId="34605"/>
    <cellStyle name="Normal 10 2 4 3" xfId="1570"/>
    <cellStyle name="Normal 10 2 4 3 10" xfId="23488"/>
    <cellStyle name="Normal 10 2 4 3 10 2" xfId="45822"/>
    <cellStyle name="Normal 10 2 4 3 11" xfId="28013"/>
    <cellStyle name="Normal 10 2 4 3 2" xfId="1792"/>
    <cellStyle name="Normal 10 2 4 3 2 10" xfId="28144"/>
    <cellStyle name="Normal 10 2 4 3 2 2" xfId="2168"/>
    <cellStyle name="Normal 10 2 4 3 2 2 2" xfId="5443"/>
    <cellStyle name="Normal 10 2 4 3 2 2 2 2" xfId="7269"/>
    <cellStyle name="Normal 10 2 4 3 2 2 2 2 2" xfId="10600"/>
    <cellStyle name="Normal 10 2 4 3 2 2 2 2 2 2" xfId="17304"/>
    <cellStyle name="Normal 10 2 4 3 2 2 2 2 2 2 2" xfId="40725"/>
    <cellStyle name="Normal 10 2 4 3 2 2 2 2 2 3" xfId="23016"/>
    <cellStyle name="Normal 10 2 4 3 2 2 2 2 2 3 2" xfId="45438"/>
    <cellStyle name="Normal 10 2 4 3 2 2 2 2 2 4" xfId="34093"/>
    <cellStyle name="Normal 10 2 4 3 2 2 2 2 3" xfId="13988"/>
    <cellStyle name="Normal 10 2 4 3 2 2 2 2 3 2" xfId="37409"/>
    <cellStyle name="Normal 10 2 4 3 2 2 2 2 4" xfId="20188"/>
    <cellStyle name="Normal 10 2 4 3 2 2 2 2 4 2" xfId="42723"/>
    <cellStyle name="Normal 10 2 4 3 2 2 2 2 5" xfId="30777"/>
    <cellStyle name="Normal 10 2 4 3 2 2 2 3" xfId="8942"/>
    <cellStyle name="Normal 10 2 4 3 2 2 2 3 2" xfId="15646"/>
    <cellStyle name="Normal 10 2 4 3 2 2 2 3 2 2" xfId="39067"/>
    <cellStyle name="Normal 10 2 4 3 2 2 2 3 3" xfId="21118"/>
    <cellStyle name="Normal 10 2 4 3 2 2 2 3 3 2" xfId="43569"/>
    <cellStyle name="Normal 10 2 4 3 2 2 2 3 4" xfId="32435"/>
    <cellStyle name="Normal 10 2 4 3 2 2 2 4" xfId="12330"/>
    <cellStyle name="Normal 10 2 4 3 2 2 2 4 2" xfId="22201"/>
    <cellStyle name="Normal 10 2 4 3 2 2 2 4 2 2" xfId="44623"/>
    <cellStyle name="Normal 10 2 4 3 2 2 2 4 3" xfId="35751"/>
    <cellStyle name="Normal 10 2 4 3 2 2 2 5" xfId="19349"/>
    <cellStyle name="Normal 10 2 4 3 2 2 2 5 2" xfId="41891"/>
    <cellStyle name="Normal 10 2 4 3 2 2 2 6" xfId="29119"/>
    <cellStyle name="Normal 10 2 4 3 2 2 3" xfId="6360"/>
    <cellStyle name="Normal 10 2 4 3 2 2 3 2" xfId="9694"/>
    <cellStyle name="Normal 10 2 4 3 2 2 3 2 2" xfId="16398"/>
    <cellStyle name="Normal 10 2 4 3 2 2 3 2 2 2" xfId="39819"/>
    <cellStyle name="Normal 10 2 4 3 2 2 3 2 3" xfId="22609"/>
    <cellStyle name="Normal 10 2 4 3 2 2 3 2 3 2" xfId="45031"/>
    <cellStyle name="Normal 10 2 4 3 2 2 3 2 4" xfId="33187"/>
    <cellStyle name="Normal 10 2 4 3 2 2 3 3" xfId="13082"/>
    <cellStyle name="Normal 10 2 4 3 2 2 3 3 2" xfId="36503"/>
    <cellStyle name="Normal 10 2 4 3 2 2 3 4" xfId="19772"/>
    <cellStyle name="Normal 10 2 4 3 2 2 3 4 2" xfId="42307"/>
    <cellStyle name="Normal 10 2 4 3 2 2 3 5" xfId="29871"/>
    <cellStyle name="Normal 10 2 4 3 2 2 4" xfId="8027"/>
    <cellStyle name="Normal 10 2 4 3 2 2 4 2" xfId="14740"/>
    <cellStyle name="Normal 10 2 4 3 2 2 4 2 2" xfId="38161"/>
    <cellStyle name="Normal 10 2 4 3 2 2 4 3" xfId="20659"/>
    <cellStyle name="Normal 10 2 4 3 2 2 4 3 2" xfId="43110"/>
    <cellStyle name="Normal 10 2 4 3 2 2 4 4" xfId="31529"/>
    <cellStyle name="Normal 10 2 4 3 2 2 5" xfId="11422"/>
    <cellStyle name="Normal 10 2 4 3 2 2 5 2" xfId="21767"/>
    <cellStyle name="Normal 10 2 4 3 2 2 5 2 2" xfId="44209"/>
    <cellStyle name="Normal 10 2 4 3 2 2 5 3" xfId="34845"/>
    <cellStyle name="Normal 10 2 4 3 2 2 6" xfId="18522"/>
    <cellStyle name="Normal 10 2 4 3 2 2 6 2" xfId="41466"/>
    <cellStyle name="Normal 10 2 4 3 2 2 7" xfId="25766"/>
    <cellStyle name="Normal 10 2 4 3 2 2 7 2" xfId="48011"/>
    <cellStyle name="Normal 10 2 4 3 2 2 8" xfId="28213"/>
    <cellStyle name="Normal 10 2 4 3 2 3" xfId="2789"/>
    <cellStyle name="Normal 10 2 4 3 2 3 2" xfId="5881"/>
    <cellStyle name="Normal 10 2 4 3 2 3 2 2" xfId="7663"/>
    <cellStyle name="Normal 10 2 4 3 2 3 2 2 2" xfId="10992"/>
    <cellStyle name="Normal 10 2 4 3 2 3 2 2 2 2" xfId="17696"/>
    <cellStyle name="Normal 10 2 4 3 2 3 2 2 2 2 2" xfId="41117"/>
    <cellStyle name="Normal 10 2 4 3 2 3 2 2 2 3" xfId="34485"/>
    <cellStyle name="Normal 10 2 4 3 2 3 2 2 3" xfId="14380"/>
    <cellStyle name="Normal 10 2 4 3 2 3 2 2 3 2" xfId="37801"/>
    <cellStyle name="Normal 10 2 4 3 2 3 2 2 4" xfId="22816"/>
    <cellStyle name="Normal 10 2 4 3 2 3 2 2 4 2" xfId="45238"/>
    <cellStyle name="Normal 10 2 4 3 2 3 2 2 5" xfId="31169"/>
    <cellStyle name="Normal 10 2 4 3 2 3 2 3" xfId="9334"/>
    <cellStyle name="Normal 10 2 4 3 2 3 2 3 2" xfId="16038"/>
    <cellStyle name="Normal 10 2 4 3 2 3 2 3 2 2" xfId="39459"/>
    <cellStyle name="Normal 10 2 4 3 2 3 2 3 3" xfId="32827"/>
    <cellStyle name="Normal 10 2 4 3 2 3 2 4" xfId="12722"/>
    <cellStyle name="Normal 10 2 4 3 2 3 2 4 2" xfId="36143"/>
    <cellStyle name="Normal 10 2 4 3 2 3 2 5" xfId="19980"/>
    <cellStyle name="Normal 10 2 4 3 2 3 2 5 2" xfId="42515"/>
    <cellStyle name="Normal 10 2 4 3 2 3 2 6" xfId="29511"/>
    <cellStyle name="Normal 10 2 4 3 2 3 3" xfId="6764"/>
    <cellStyle name="Normal 10 2 4 3 2 3 3 2" xfId="10096"/>
    <cellStyle name="Normal 10 2 4 3 2 3 3 2 2" xfId="16800"/>
    <cellStyle name="Normal 10 2 4 3 2 3 3 2 2 2" xfId="40221"/>
    <cellStyle name="Normal 10 2 4 3 2 3 3 2 3" xfId="33589"/>
    <cellStyle name="Normal 10 2 4 3 2 3 3 3" xfId="13484"/>
    <cellStyle name="Normal 10 2 4 3 2 3 3 3 2" xfId="36905"/>
    <cellStyle name="Normal 10 2 4 3 2 3 3 4" xfId="21117"/>
    <cellStyle name="Normal 10 2 4 3 2 3 3 4 2" xfId="43568"/>
    <cellStyle name="Normal 10 2 4 3 2 3 3 5" xfId="30273"/>
    <cellStyle name="Normal 10 2 4 3 2 3 4" xfId="8430"/>
    <cellStyle name="Normal 10 2 4 3 2 3 4 2" xfId="15142"/>
    <cellStyle name="Normal 10 2 4 3 2 3 4 2 2" xfId="38563"/>
    <cellStyle name="Normal 10 2 4 3 2 3 4 3" xfId="21989"/>
    <cellStyle name="Normal 10 2 4 3 2 3 4 3 2" xfId="44417"/>
    <cellStyle name="Normal 10 2 4 3 2 3 4 4" xfId="31931"/>
    <cellStyle name="Normal 10 2 4 3 2 3 5" xfId="11824"/>
    <cellStyle name="Normal 10 2 4 3 2 3 5 2" xfId="35247"/>
    <cellStyle name="Normal 10 2 4 3 2 3 6" xfId="19126"/>
    <cellStyle name="Normal 10 2 4 3 2 3 6 2" xfId="41683"/>
    <cellStyle name="Normal 10 2 4 3 2 3 7" xfId="28615"/>
    <cellStyle name="Normal 10 2 4 3 2 4" xfId="3777"/>
    <cellStyle name="Normal 10 2 4 3 2 4 2" xfId="6915"/>
    <cellStyle name="Normal 10 2 4 3 2 4 2 2" xfId="10247"/>
    <cellStyle name="Normal 10 2 4 3 2 4 2 2 2" xfId="16951"/>
    <cellStyle name="Normal 10 2 4 3 2 4 2 2 2 2" xfId="40372"/>
    <cellStyle name="Normal 10 2 4 3 2 4 2 2 3" xfId="33740"/>
    <cellStyle name="Normal 10 2 4 3 2 4 2 3" xfId="13635"/>
    <cellStyle name="Normal 10 2 4 3 2 4 2 3 2" xfId="37056"/>
    <cellStyle name="Normal 10 2 4 3 2 4 2 4" xfId="22409"/>
    <cellStyle name="Normal 10 2 4 3 2 4 2 4 2" xfId="44831"/>
    <cellStyle name="Normal 10 2 4 3 2 4 2 5" xfId="30424"/>
    <cellStyle name="Normal 10 2 4 3 2 4 3" xfId="8582"/>
    <cellStyle name="Normal 10 2 4 3 2 4 3 2" xfId="15293"/>
    <cellStyle name="Normal 10 2 4 3 2 4 3 2 2" xfId="38714"/>
    <cellStyle name="Normal 10 2 4 3 2 4 3 3" xfId="32082"/>
    <cellStyle name="Normal 10 2 4 3 2 4 4" xfId="11975"/>
    <cellStyle name="Normal 10 2 4 3 2 4 4 2" xfId="35398"/>
    <cellStyle name="Normal 10 2 4 3 2 4 5" xfId="19562"/>
    <cellStyle name="Normal 10 2 4 3 2 4 5 2" xfId="42099"/>
    <cellStyle name="Normal 10 2 4 3 2 4 6" xfId="28766"/>
    <cellStyle name="Normal 10 2 4 3 2 5" xfId="6291"/>
    <cellStyle name="Normal 10 2 4 3 2 5 2" xfId="9625"/>
    <cellStyle name="Normal 10 2 4 3 2 5 2 2" xfId="16329"/>
    <cellStyle name="Normal 10 2 4 3 2 5 2 2 2" xfId="39750"/>
    <cellStyle name="Normal 10 2 4 3 2 5 2 3" xfId="33118"/>
    <cellStyle name="Normal 10 2 4 3 2 5 3" xfId="13013"/>
    <cellStyle name="Normal 10 2 4 3 2 5 3 2" xfId="36434"/>
    <cellStyle name="Normal 10 2 4 3 2 5 4" xfId="20658"/>
    <cellStyle name="Normal 10 2 4 3 2 5 4 2" xfId="43109"/>
    <cellStyle name="Normal 10 2 4 3 2 5 5" xfId="29802"/>
    <cellStyle name="Normal 10 2 4 3 2 6" xfId="7957"/>
    <cellStyle name="Normal 10 2 4 3 2 6 2" xfId="14671"/>
    <cellStyle name="Normal 10 2 4 3 2 6 2 2" xfId="38092"/>
    <cellStyle name="Normal 10 2 4 3 2 6 3" xfId="21558"/>
    <cellStyle name="Normal 10 2 4 3 2 6 3 2" xfId="44007"/>
    <cellStyle name="Normal 10 2 4 3 2 6 4" xfId="31460"/>
    <cellStyle name="Normal 10 2 4 3 2 7" xfId="11353"/>
    <cellStyle name="Normal 10 2 4 3 2 7 2" xfId="34776"/>
    <cellStyle name="Normal 10 2 4 3 2 8" xfId="17921"/>
    <cellStyle name="Normal 10 2 4 3 2 8 2" xfId="41230"/>
    <cellStyle name="Normal 10 2 4 3 2 9" xfId="23489"/>
    <cellStyle name="Normal 10 2 4 3 2 9 2" xfId="45823"/>
    <cellStyle name="Normal 10 2 4 3 3" xfId="2167"/>
    <cellStyle name="Normal 10 2 4 3 3 2" xfId="5442"/>
    <cellStyle name="Normal 10 2 4 3 3 2 2" xfId="7268"/>
    <cellStyle name="Normal 10 2 4 3 3 2 2 2" xfId="10599"/>
    <cellStyle name="Normal 10 2 4 3 3 2 2 2 2" xfId="17303"/>
    <cellStyle name="Normal 10 2 4 3 3 2 2 2 2 2" xfId="40724"/>
    <cellStyle name="Normal 10 2 4 3 3 2 2 2 3" xfId="23015"/>
    <cellStyle name="Normal 10 2 4 3 3 2 2 2 3 2" xfId="45437"/>
    <cellStyle name="Normal 10 2 4 3 3 2 2 2 4" xfId="34092"/>
    <cellStyle name="Normal 10 2 4 3 3 2 2 3" xfId="13987"/>
    <cellStyle name="Normal 10 2 4 3 3 2 2 3 2" xfId="37408"/>
    <cellStyle name="Normal 10 2 4 3 3 2 2 4" xfId="20187"/>
    <cellStyle name="Normal 10 2 4 3 3 2 2 4 2" xfId="42722"/>
    <cellStyle name="Normal 10 2 4 3 3 2 2 5" xfId="30776"/>
    <cellStyle name="Normal 10 2 4 3 3 2 3" xfId="8941"/>
    <cellStyle name="Normal 10 2 4 3 3 2 3 2" xfId="15645"/>
    <cellStyle name="Normal 10 2 4 3 3 2 3 2 2" xfId="39066"/>
    <cellStyle name="Normal 10 2 4 3 3 2 3 3" xfId="21119"/>
    <cellStyle name="Normal 10 2 4 3 3 2 3 3 2" xfId="43570"/>
    <cellStyle name="Normal 10 2 4 3 3 2 3 4" xfId="32434"/>
    <cellStyle name="Normal 10 2 4 3 3 2 4" xfId="12329"/>
    <cellStyle name="Normal 10 2 4 3 3 2 4 2" xfId="22200"/>
    <cellStyle name="Normal 10 2 4 3 3 2 4 2 2" xfId="44622"/>
    <cellStyle name="Normal 10 2 4 3 3 2 4 3" xfId="35750"/>
    <cellStyle name="Normal 10 2 4 3 3 2 5" xfId="19348"/>
    <cellStyle name="Normal 10 2 4 3 3 2 5 2" xfId="41890"/>
    <cellStyle name="Normal 10 2 4 3 3 2 6" xfId="27649"/>
    <cellStyle name="Normal 10 2 4 3 3 2 6 2" xfId="49894"/>
    <cellStyle name="Normal 10 2 4 3 3 2 7" xfId="29118"/>
    <cellStyle name="Normal 10 2 4 3 3 3" xfId="6359"/>
    <cellStyle name="Normal 10 2 4 3 3 3 2" xfId="9693"/>
    <cellStyle name="Normal 10 2 4 3 3 3 2 2" xfId="16397"/>
    <cellStyle name="Normal 10 2 4 3 3 3 2 2 2" xfId="39818"/>
    <cellStyle name="Normal 10 2 4 3 3 3 2 3" xfId="22608"/>
    <cellStyle name="Normal 10 2 4 3 3 3 2 3 2" xfId="45030"/>
    <cellStyle name="Normal 10 2 4 3 3 3 2 4" xfId="33186"/>
    <cellStyle name="Normal 10 2 4 3 3 3 3" xfId="13081"/>
    <cellStyle name="Normal 10 2 4 3 3 3 3 2" xfId="36502"/>
    <cellStyle name="Normal 10 2 4 3 3 3 4" xfId="19771"/>
    <cellStyle name="Normal 10 2 4 3 3 3 4 2" xfId="42306"/>
    <cellStyle name="Normal 10 2 4 3 3 3 5" xfId="29870"/>
    <cellStyle name="Normal 10 2 4 3 3 4" xfId="8026"/>
    <cellStyle name="Normal 10 2 4 3 3 4 2" xfId="14739"/>
    <cellStyle name="Normal 10 2 4 3 3 4 2 2" xfId="38160"/>
    <cellStyle name="Normal 10 2 4 3 3 4 3" xfId="20660"/>
    <cellStyle name="Normal 10 2 4 3 3 4 3 2" xfId="43111"/>
    <cellStyle name="Normal 10 2 4 3 3 4 4" xfId="31528"/>
    <cellStyle name="Normal 10 2 4 3 3 5" xfId="11421"/>
    <cellStyle name="Normal 10 2 4 3 3 5 2" xfId="21766"/>
    <cellStyle name="Normal 10 2 4 3 3 5 2 2" xfId="44208"/>
    <cellStyle name="Normal 10 2 4 3 3 5 3" xfId="34844"/>
    <cellStyle name="Normal 10 2 4 3 3 6" xfId="18521"/>
    <cellStyle name="Normal 10 2 4 3 3 6 2" xfId="41465"/>
    <cellStyle name="Normal 10 2 4 3 3 7" xfId="25344"/>
    <cellStyle name="Normal 10 2 4 3 3 7 2" xfId="47589"/>
    <cellStyle name="Normal 10 2 4 3 3 8" xfId="28212"/>
    <cellStyle name="Normal 10 2 4 3 4" xfId="2657"/>
    <cellStyle name="Normal 10 2 4 3 4 2" xfId="5750"/>
    <cellStyle name="Normal 10 2 4 3 4 2 2" xfId="7532"/>
    <cellStyle name="Normal 10 2 4 3 4 2 2 2" xfId="10861"/>
    <cellStyle name="Normal 10 2 4 3 4 2 2 2 2" xfId="17565"/>
    <cellStyle name="Normal 10 2 4 3 4 2 2 2 2 2" xfId="40986"/>
    <cellStyle name="Normal 10 2 4 3 4 2 2 2 3" xfId="34354"/>
    <cellStyle name="Normal 10 2 4 3 4 2 2 3" xfId="14249"/>
    <cellStyle name="Normal 10 2 4 3 4 2 2 3 2" xfId="37670"/>
    <cellStyle name="Normal 10 2 4 3 4 2 2 4" xfId="22815"/>
    <cellStyle name="Normal 10 2 4 3 4 2 2 4 2" xfId="45237"/>
    <cellStyle name="Normal 10 2 4 3 4 2 2 5" xfId="31038"/>
    <cellStyle name="Normal 10 2 4 3 4 2 3" xfId="9203"/>
    <cellStyle name="Normal 10 2 4 3 4 2 3 2" xfId="15907"/>
    <cellStyle name="Normal 10 2 4 3 4 2 3 2 2" xfId="39328"/>
    <cellStyle name="Normal 10 2 4 3 4 2 3 3" xfId="32696"/>
    <cellStyle name="Normal 10 2 4 3 4 2 4" xfId="12591"/>
    <cellStyle name="Normal 10 2 4 3 4 2 4 2" xfId="36012"/>
    <cellStyle name="Normal 10 2 4 3 4 2 5" xfId="19979"/>
    <cellStyle name="Normal 10 2 4 3 4 2 5 2" xfId="42514"/>
    <cellStyle name="Normal 10 2 4 3 4 2 6" xfId="29380"/>
    <cellStyle name="Normal 10 2 4 3 4 3" xfId="6633"/>
    <cellStyle name="Normal 10 2 4 3 4 3 2" xfId="9965"/>
    <cellStyle name="Normal 10 2 4 3 4 3 2 2" xfId="16669"/>
    <cellStyle name="Normal 10 2 4 3 4 3 2 2 2" xfId="40090"/>
    <cellStyle name="Normal 10 2 4 3 4 3 2 3" xfId="33458"/>
    <cellStyle name="Normal 10 2 4 3 4 3 3" xfId="13353"/>
    <cellStyle name="Normal 10 2 4 3 4 3 3 2" xfId="36774"/>
    <cellStyle name="Normal 10 2 4 3 4 3 4" xfId="21116"/>
    <cellStyle name="Normal 10 2 4 3 4 3 4 2" xfId="43567"/>
    <cellStyle name="Normal 10 2 4 3 4 3 5" xfId="30142"/>
    <cellStyle name="Normal 10 2 4 3 4 4" xfId="8299"/>
    <cellStyle name="Normal 10 2 4 3 4 4 2" xfId="15011"/>
    <cellStyle name="Normal 10 2 4 3 4 4 2 2" xfId="38432"/>
    <cellStyle name="Normal 10 2 4 3 4 4 3" xfId="21988"/>
    <cellStyle name="Normal 10 2 4 3 4 4 3 2" xfId="44416"/>
    <cellStyle name="Normal 10 2 4 3 4 4 4" xfId="31800"/>
    <cellStyle name="Normal 10 2 4 3 4 5" xfId="11693"/>
    <cellStyle name="Normal 10 2 4 3 4 5 2" xfId="35116"/>
    <cellStyle name="Normal 10 2 4 3 4 6" xfId="19125"/>
    <cellStyle name="Normal 10 2 4 3 4 6 2" xfId="41682"/>
    <cellStyle name="Normal 10 2 4 3 4 7" xfId="25765"/>
    <cellStyle name="Normal 10 2 4 3 4 7 2" xfId="48010"/>
    <cellStyle name="Normal 10 2 4 3 4 8" xfId="28484"/>
    <cellStyle name="Normal 10 2 4 3 5" xfId="3776"/>
    <cellStyle name="Normal 10 2 4 3 5 2" xfId="6914"/>
    <cellStyle name="Normal 10 2 4 3 5 2 2" xfId="10246"/>
    <cellStyle name="Normal 10 2 4 3 5 2 2 2" xfId="16950"/>
    <cellStyle name="Normal 10 2 4 3 5 2 2 2 2" xfId="40371"/>
    <cellStyle name="Normal 10 2 4 3 5 2 2 3" xfId="33739"/>
    <cellStyle name="Normal 10 2 4 3 5 2 3" xfId="13634"/>
    <cellStyle name="Normal 10 2 4 3 5 2 3 2" xfId="37055"/>
    <cellStyle name="Normal 10 2 4 3 5 2 4" xfId="22408"/>
    <cellStyle name="Normal 10 2 4 3 5 2 4 2" xfId="44830"/>
    <cellStyle name="Normal 10 2 4 3 5 2 5" xfId="30423"/>
    <cellStyle name="Normal 10 2 4 3 5 3" xfId="8581"/>
    <cellStyle name="Normal 10 2 4 3 5 3 2" xfId="15292"/>
    <cellStyle name="Normal 10 2 4 3 5 3 2 2" xfId="38713"/>
    <cellStyle name="Normal 10 2 4 3 5 3 3" xfId="32081"/>
    <cellStyle name="Normal 10 2 4 3 5 4" xfId="11974"/>
    <cellStyle name="Normal 10 2 4 3 5 4 2" xfId="35397"/>
    <cellStyle name="Normal 10 2 4 3 5 5" xfId="19561"/>
    <cellStyle name="Normal 10 2 4 3 5 5 2" xfId="42098"/>
    <cellStyle name="Normal 10 2 4 3 5 6" xfId="28765"/>
    <cellStyle name="Normal 10 2 4 3 6" xfId="6160"/>
    <cellStyle name="Normal 10 2 4 3 6 2" xfId="9494"/>
    <cellStyle name="Normal 10 2 4 3 6 2 2" xfId="16198"/>
    <cellStyle name="Normal 10 2 4 3 6 2 2 2" xfId="39619"/>
    <cellStyle name="Normal 10 2 4 3 6 2 3" xfId="32987"/>
    <cellStyle name="Normal 10 2 4 3 6 3" xfId="12882"/>
    <cellStyle name="Normal 10 2 4 3 6 3 2" xfId="36303"/>
    <cellStyle name="Normal 10 2 4 3 6 4" xfId="20657"/>
    <cellStyle name="Normal 10 2 4 3 6 4 2" xfId="43108"/>
    <cellStyle name="Normal 10 2 4 3 6 5" xfId="29671"/>
    <cellStyle name="Normal 10 2 4 3 7" xfId="7826"/>
    <cellStyle name="Normal 10 2 4 3 7 2" xfId="14540"/>
    <cellStyle name="Normal 10 2 4 3 7 2 2" xfId="37961"/>
    <cellStyle name="Normal 10 2 4 3 7 3" xfId="21557"/>
    <cellStyle name="Normal 10 2 4 3 7 3 2" xfId="44006"/>
    <cellStyle name="Normal 10 2 4 3 7 4" xfId="31329"/>
    <cellStyle name="Normal 10 2 4 3 8" xfId="11222"/>
    <cellStyle name="Normal 10 2 4 3 8 2" xfId="34645"/>
    <cellStyle name="Normal 10 2 4 3 9" xfId="17920"/>
    <cellStyle name="Normal 10 2 4 3 9 2" xfId="41229"/>
    <cellStyle name="Normal 10 2 4 4" xfId="1715"/>
    <cellStyle name="Normal 10 2 4 4 10" xfId="28068"/>
    <cellStyle name="Normal 10 2 4 4 2" xfId="2169"/>
    <cellStyle name="Normal 10 2 4 4 2 2" xfId="5444"/>
    <cellStyle name="Normal 10 2 4 4 2 2 2" xfId="7270"/>
    <cellStyle name="Normal 10 2 4 4 2 2 2 2" xfId="10601"/>
    <cellStyle name="Normal 10 2 4 4 2 2 2 2 2" xfId="17305"/>
    <cellStyle name="Normal 10 2 4 4 2 2 2 2 2 2" xfId="40726"/>
    <cellStyle name="Normal 10 2 4 4 2 2 2 2 3" xfId="23017"/>
    <cellStyle name="Normal 10 2 4 4 2 2 2 2 3 2" xfId="45439"/>
    <cellStyle name="Normal 10 2 4 4 2 2 2 2 4" xfId="34094"/>
    <cellStyle name="Normal 10 2 4 4 2 2 2 3" xfId="13989"/>
    <cellStyle name="Normal 10 2 4 4 2 2 2 3 2" xfId="37410"/>
    <cellStyle name="Normal 10 2 4 4 2 2 2 4" xfId="20189"/>
    <cellStyle name="Normal 10 2 4 4 2 2 2 4 2" xfId="42724"/>
    <cellStyle name="Normal 10 2 4 4 2 2 2 5" xfId="30778"/>
    <cellStyle name="Normal 10 2 4 4 2 2 3" xfId="8943"/>
    <cellStyle name="Normal 10 2 4 4 2 2 3 2" xfId="15647"/>
    <cellStyle name="Normal 10 2 4 4 2 2 3 2 2" xfId="39068"/>
    <cellStyle name="Normal 10 2 4 4 2 2 3 3" xfId="21121"/>
    <cellStyle name="Normal 10 2 4 4 2 2 3 3 2" xfId="43572"/>
    <cellStyle name="Normal 10 2 4 4 2 2 3 4" xfId="32436"/>
    <cellStyle name="Normal 10 2 4 4 2 2 4" xfId="12331"/>
    <cellStyle name="Normal 10 2 4 4 2 2 4 2" xfId="22202"/>
    <cellStyle name="Normal 10 2 4 4 2 2 4 2 2" xfId="44624"/>
    <cellStyle name="Normal 10 2 4 4 2 2 4 3" xfId="35752"/>
    <cellStyle name="Normal 10 2 4 4 2 2 5" xfId="19350"/>
    <cellStyle name="Normal 10 2 4 4 2 2 5 2" xfId="41892"/>
    <cellStyle name="Normal 10 2 4 4 2 2 6" xfId="29120"/>
    <cellStyle name="Normal 10 2 4 4 2 3" xfId="6361"/>
    <cellStyle name="Normal 10 2 4 4 2 3 2" xfId="9695"/>
    <cellStyle name="Normal 10 2 4 4 2 3 2 2" xfId="16399"/>
    <cellStyle name="Normal 10 2 4 4 2 3 2 2 2" xfId="39820"/>
    <cellStyle name="Normal 10 2 4 4 2 3 2 3" xfId="22610"/>
    <cellStyle name="Normal 10 2 4 4 2 3 2 3 2" xfId="45032"/>
    <cellStyle name="Normal 10 2 4 4 2 3 2 4" xfId="33188"/>
    <cellStyle name="Normal 10 2 4 4 2 3 3" xfId="13083"/>
    <cellStyle name="Normal 10 2 4 4 2 3 3 2" xfId="36504"/>
    <cellStyle name="Normal 10 2 4 4 2 3 4" xfId="19773"/>
    <cellStyle name="Normal 10 2 4 4 2 3 4 2" xfId="42308"/>
    <cellStyle name="Normal 10 2 4 4 2 3 5" xfId="29872"/>
    <cellStyle name="Normal 10 2 4 4 2 4" xfId="8028"/>
    <cellStyle name="Normal 10 2 4 4 2 4 2" xfId="14741"/>
    <cellStyle name="Normal 10 2 4 4 2 4 2 2" xfId="38162"/>
    <cellStyle name="Normal 10 2 4 4 2 4 3" xfId="20662"/>
    <cellStyle name="Normal 10 2 4 4 2 4 3 2" xfId="43113"/>
    <cellStyle name="Normal 10 2 4 4 2 4 4" xfId="31530"/>
    <cellStyle name="Normal 10 2 4 4 2 5" xfId="11423"/>
    <cellStyle name="Normal 10 2 4 4 2 5 2" xfId="21768"/>
    <cellStyle name="Normal 10 2 4 4 2 5 2 2" xfId="44210"/>
    <cellStyle name="Normal 10 2 4 4 2 5 3" xfId="34846"/>
    <cellStyle name="Normal 10 2 4 4 2 6" xfId="18523"/>
    <cellStyle name="Normal 10 2 4 4 2 6 2" xfId="41467"/>
    <cellStyle name="Normal 10 2 4 4 2 7" xfId="25767"/>
    <cellStyle name="Normal 10 2 4 4 2 7 2" xfId="48012"/>
    <cellStyle name="Normal 10 2 4 4 2 8" xfId="28214"/>
    <cellStyle name="Normal 10 2 4 4 3" xfId="2713"/>
    <cellStyle name="Normal 10 2 4 4 3 2" xfId="5805"/>
    <cellStyle name="Normal 10 2 4 4 3 2 2" xfId="7587"/>
    <cellStyle name="Normal 10 2 4 4 3 2 2 2" xfId="10916"/>
    <cellStyle name="Normal 10 2 4 4 3 2 2 2 2" xfId="17620"/>
    <cellStyle name="Normal 10 2 4 4 3 2 2 2 2 2" xfId="41041"/>
    <cellStyle name="Normal 10 2 4 4 3 2 2 2 3" xfId="34409"/>
    <cellStyle name="Normal 10 2 4 4 3 2 2 3" xfId="14304"/>
    <cellStyle name="Normal 10 2 4 4 3 2 2 3 2" xfId="37725"/>
    <cellStyle name="Normal 10 2 4 4 3 2 2 4" xfId="22817"/>
    <cellStyle name="Normal 10 2 4 4 3 2 2 4 2" xfId="45239"/>
    <cellStyle name="Normal 10 2 4 4 3 2 2 5" xfId="31093"/>
    <cellStyle name="Normal 10 2 4 4 3 2 3" xfId="9258"/>
    <cellStyle name="Normal 10 2 4 4 3 2 3 2" xfId="15962"/>
    <cellStyle name="Normal 10 2 4 4 3 2 3 2 2" xfId="39383"/>
    <cellStyle name="Normal 10 2 4 4 3 2 3 3" xfId="32751"/>
    <cellStyle name="Normal 10 2 4 4 3 2 4" xfId="12646"/>
    <cellStyle name="Normal 10 2 4 4 3 2 4 2" xfId="36067"/>
    <cellStyle name="Normal 10 2 4 4 3 2 5" xfId="19981"/>
    <cellStyle name="Normal 10 2 4 4 3 2 5 2" xfId="42516"/>
    <cellStyle name="Normal 10 2 4 4 3 2 6" xfId="29435"/>
    <cellStyle name="Normal 10 2 4 4 3 3" xfId="6688"/>
    <cellStyle name="Normal 10 2 4 4 3 3 2" xfId="10020"/>
    <cellStyle name="Normal 10 2 4 4 3 3 2 2" xfId="16724"/>
    <cellStyle name="Normal 10 2 4 4 3 3 2 2 2" xfId="40145"/>
    <cellStyle name="Normal 10 2 4 4 3 3 2 3" xfId="33513"/>
    <cellStyle name="Normal 10 2 4 4 3 3 3" xfId="13408"/>
    <cellStyle name="Normal 10 2 4 4 3 3 3 2" xfId="36829"/>
    <cellStyle name="Normal 10 2 4 4 3 3 4" xfId="21120"/>
    <cellStyle name="Normal 10 2 4 4 3 3 4 2" xfId="43571"/>
    <cellStyle name="Normal 10 2 4 4 3 3 5" xfId="30197"/>
    <cellStyle name="Normal 10 2 4 4 3 4" xfId="8354"/>
    <cellStyle name="Normal 10 2 4 4 3 4 2" xfId="15066"/>
    <cellStyle name="Normal 10 2 4 4 3 4 2 2" xfId="38487"/>
    <cellStyle name="Normal 10 2 4 4 3 4 3" xfId="21990"/>
    <cellStyle name="Normal 10 2 4 4 3 4 3 2" xfId="44418"/>
    <cellStyle name="Normal 10 2 4 4 3 4 4" xfId="31855"/>
    <cellStyle name="Normal 10 2 4 4 3 5" xfId="11748"/>
    <cellStyle name="Normal 10 2 4 4 3 5 2" xfId="35171"/>
    <cellStyle name="Normal 10 2 4 4 3 6" xfId="19127"/>
    <cellStyle name="Normal 10 2 4 4 3 6 2" xfId="41684"/>
    <cellStyle name="Normal 10 2 4 4 3 7" xfId="28539"/>
    <cellStyle name="Normal 10 2 4 4 4" xfId="3778"/>
    <cellStyle name="Normal 10 2 4 4 4 2" xfId="6916"/>
    <cellStyle name="Normal 10 2 4 4 4 2 2" xfId="10248"/>
    <cellStyle name="Normal 10 2 4 4 4 2 2 2" xfId="16952"/>
    <cellStyle name="Normal 10 2 4 4 4 2 2 2 2" xfId="40373"/>
    <cellStyle name="Normal 10 2 4 4 4 2 2 3" xfId="33741"/>
    <cellStyle name="Normal 10 2 4 4 4 2 3" xfId="13636"/>
    <cellStyle name="Normal 10 2 4 4 4 2 3 2" xfId="37057"/>
    <cellStyle name="Normal 10 2 4 4 4 2 4" xfId="22410"/>
    <cellStyle name="Normal 10 2 4 4 4 2 4 2" xfId="44832"/>
    <cellStyle name="Normal 10 2 4 4 4 2 5" xfId="30425"/>
    <cellStyle name="Normal 10 2 4 4 4 3" xfId="8583"/>
    <cellStyle name="Normal 10 2 4 4 4 3 2" xfId="15294"/>
    <cellStyle name="Normal 10 2 4 4 4 3 2 2" xfId="38715"/>
    <cellStyle name="Normal 10 2 4 4 4 3 3" xfId="32083"/>
    <cellStyle name="Normal 10 2 4 4 4 4" xfId="11976"/>
    <cellStyle name="Normal 10 2 4 4 4 4 2" xfId="35399"/>
    <cellStyle name="Normal 10 2 4 4 4 5" xfId="19563"/>
    <cellStyle name="Normal 10 2 4 4 4 5 2" xfId="42100"/>
    <cellStyle name="Normal 10 2 4 4 4 6" xfId="28767"/>
    <cellStyle name="Normal 10 2 4 4 5" xfId="6215"/>
    <cellStyle name="Normal 10 2 4 4 5 2" xfId="9549"/>
    <cellStyle name="Normal 10 2 4 4 5 2 2" xfId="16253"/>
    <cellStyle name="Normal 10 2 4 4 5 2 2 2" xfId="39674"/>
    <cellStyle name="Normal 10 2 4 4 5 2 3" xfId="33042"/>
    <cellStyle name="Normal 10 2 4 4 5 3" xfId="12937"/>
    <cellStyle name="Normal 10 2 4 4 5 3 2" xfId="36358"/>
    <cellStyle name="Normal 10 2 4 4 5 4" xfId="20661"/>
    <cellStyle name="Normal 10 2 4 4 5 4 2" xfId="43112"/>
    <cellStyle name="Normal 10 2 4 4 5 5" xfId="29726"/>
    <cellStyle name="Normal 10 2 4 4 6" xfId="7881"/>
    <cellStyle name="Normal 10 2 4 4 6 2" xfId="14595"/>
    <cellStyle name="Normal 10 2 4 4 6 2 2" xfId="38016"/>
    <cellStyle name="Normal 10 2 4 4 6 3" xfId="21559"/>
    <cellStyle name="Normal 10 2 4 4 6 3 2" xfId="44008"/>
    <cellStyle name="Normal 10 2 4 4 6 4" xfId="31384"/>
    <cellStyle name="Normal 10 2 4 4 7" xfId="11277"/>
    <cellStyle name="Normal 10 2 4 4 7 2" xfId="34700"/>
    <cellStyle name="Normal 10 2 4 4 8" xfId="17922"/>
    <cellStyle name="Normal 10 2 4 4 8 2" xfId="41231"/>
    <cellStyle name="Normal 10 2 4 4 9" xfId="23490"/>
    <cellStyle name="Normal 10 2 4 4 9 2" xfId="45824"/>
    <cellStyle name="Normal 10 2 4 5" xfId="2162"/>
    <cellStyle name="Normal 10 2 4 5 2" xfId="5437"/>
    <cellStyle name="Normal 10 2 4 5 2 2" xfId="7263"/>
    <cellStyle name="Normal 10 2 4 5 2 2 2" xfId="10594"/>
    <cellStyle name="Normal 10 2 4 5 2 2 2 2" xfId="17298"/>
    <cellStyle name="Normal 10 2 4 5 2 2 2 2 2" xfId="40719"/>
    <cellStyle name="Normal 10 2 4 5 2 2 2 3" xfId="23010"/>
    <cellStyle name="Normal 10 2 4 5 2 2 2 3 2" xfId="45432"/>
    <cellStyle name="Normal 10 2 4 5 2 2 2 4" xfId="34087"/>
    <cellStyle name="Normal 10 2 4 5 2 2 3" xfId="13982"/>
    <cellStyle name="Normal 10 2 4 5 2 2 3 2" xfId="37403"/>
    <cellStyle name="Normal 10 2 4 5 2 2 4" xfId="20182"/>
    <cellStyle name="Normal 10 2 4 5 2 2 4 2" xfId="42717"/>
    <cellStyle name="Normal 10 2 4 5 2 2 5" xfId="30771"/>
    <cellStyle name="Normal 10 2 4 5 2 3" xfId="8936"/>
    <cellStyle name="Normal 10 2 4 5 2 3 2" xfId="15640"/>
    <cellStyle name="Normal 10 2 4 5 2 3 2 2" xfId="39061"/>
    <cellStyle name="Normal 10 2 4 5 2 3 3" xfId="21122"/>
    <cellStyle name="Normal 10 2 4 5 2 3 3 2" xfId="43573"/>
    <cellStyle name="Normal 10 2 4 5 2 3 4" xfId="32429"/>
    <cellStyle name="Normal 10 2 4 5 2 4" xfId="12324"/>
    <cellStyle name="Normal 10 2 4 5 2 4 2" xfId="22195"/>
    <cellStyle name="Normal 10 2 4 5 2 4 2 2" xfId="44617"/>
    <cellStyle name="Normal 10 2 4 5 2 4 3" xfId="35745"/>
    <cellStyle name="Normal 10 2 4 5 2 5" xfId="19343"/>
    <cellStyle name="Normal 10 2 4 5 2 5 2" xfId="41885"/>
    <cellStyle name="Normal 10 2 4 5 2 6" xfId="27313"/>
    <cellStyle name="Normal 10 2 4 5 2 6 2" xfId="49558"/>
    <cellStyle name="Normal 10 2 4 5 2 7" xfId="29113"/>
    <cellStyle name="Normal 10 2 4 5 3" xfId="6354"/>
    <cellStyle name="Normal 10 2 4 5 3 2" xfId="9688"/>
    <cellStyle name="Normal 10 2 4 5 3 2 2" xfId="16392"/>
    <cellStyle name="Normal 10 2 4 5 3 2 2 2" xfId="39813"/>
    <cellStyle name="Normal 10 2 4 5 3 2 3" xfId="22603"/>
    <cellStyle name="Normal 10 2 4 5 3 2 3 2" xfId="45025"/>
    <cellStyle name="Normal 10 2 4 5 3 2 4" xfId="33181"/>
    <cellStyle name="Normal 10 2 4 5 3 3" xfId="13076"/>
    <cellStyle name="Normal 10 2 4 5 3 3 2" xfId="36497"/>
    <cellStyle name="Normal 10 2 4 5 3 4" xfId="19766"/>
    <cellStyle name="Normal 10 2 4 5 3 4 2" xfId="42301"/>
    <cellStyle name="Normal 10 2 4 5 3 5" xfId="29865"/>
    <cellStyle name="Normal 10 2 4 5 4" xfId="8021"/>
    <cellStyle name="Normal 10 2 4 5 4 2" xfId="14734"/>
    <cellStyle name="Normal 10 2 4 5 4 2 2" xfId="38155"/>
    <cellStyle name="Normal 10 2 4 5 4 3" xfId="20663"/>
    <cellStyle name="Normal 10 2 4 5 4 3 2" xfId="43114"/>
    <cellStyle name="Normal 10 2 4 5 4 4" xfId="31523"/>
    <cellStyle name="Normal 10 2 4 5 5" xfId="11416"/>
    <cellStyle name="Normal 10 2 4 5 5 2" xfId="21761"/>
    <cellStyle name="Normal 10 2 4 5 5 2 2" xfId="44203"/>
    <cellStyle name="Normal 10 2 4 5 5 3" xfId="34839"/>
    <cellStyle name="Normal 10 2 4 5 6" xfId="18516"/>
    <cellStyle name="Normal 10 2 4 5 6 2" xfId="41460"/>
    <cellStyle name="Normal 10 2 4 5 7" xfId="25042"/>
    <cellStyle name="Normal 10 2 4 5 7 2" xfId="47287"/>
    <cellStyle name="Normal 10 2 4 5 8" xfId="28207"/>
    <cellStyle name="Normal 10 2 4 6" xfId="2580"/>
    <cellStyle name="Normal 10 2 4 6 2" xfId="5674"/>
    <cellStyle name="Normal 10 2 4 6 2 2" xfId="7457"/>
    <cellStyle name="Normal 10 2 4 6 2 2 2" xfId="10786"/>
    <cellStyle name="Normal 10 2 4 6 2 2 2 2" xfId="17490"/>
    <cellStyle name="Normal 10 2 4 6 2 2 2 2 2" xfId="40911"/>
    <cellStyle name="Normal 10 2 4 6 2 2 2 3" xfId="34279"/>
    <cellStyle name="Normal 10 2 4 6 2 2 3" xfId="14174"/>
    <cellStyle name="Normal 10 2 4 6 2 2 3 2" xfId="37595"/>
    <cellStyle name="Normal 10 2 4 6 2 2 4" xfId="20571"/>
    <cellStyle name="Normal 10 2 4 6 2 2 4 2" xfId="43022"/>
    <cellStyle name="Normal 10 2 4 6 2 2 5" xfId="30963"/>
    <cellStyle name="Normal 10 2 4 6 2 3" xfId="9128"/>
    <cellStyle name="Normal 10 2 4 6 2 3 2" xfId="15832"/>
    <cellStyle name="Normal 10 2 4 6 2 3 2 2" xfId="39253"/>
    <cellStyle name="Normal 10 2 4 6 2 3 3" xfId="21489"/>
    <cellStyle name="Normal 10 2 4 6 2 3 3 2" xfId="43940"/>
    <cellStyle name="Normal 10 2 4 6 2 3 4" xfId="32621"/>
    <cellStyle name="Normal 10 2 4 6 2 4" xfId="12516"/>
    <cellStyle name="Normal 10 2 4 6 2 4 2" xfId="22810"/>
    <cellStyle name="Normal 10 2 4 6 2 4 2 2" xfId="45232"/>
    <cellStyle name="Normal 10 2 4 6 2 4 3" xfId="35937"/>
    <cellStyle name="Normal 10 2 4 6 2 5" xfId="19974"/>
    <cellStyle name="Normal 10 2 4 6 2 5 2" xfId="42509"/>
    <cellStyle name="Normal 10 2 4 6 2 6" xfId="29305"/>
    <cellStyle name="Normal 10 2 4 6 3" xfId="6557"/>
    <cellStyle name="Normal 10 2 4 6 3 2" xfId="9889"/>
    <cellStyle name="Normal 10 2 4 6 3 2 2" xfId="16593"/>
    <cellStyle name="Normal 10 2 4 6 3 2 2 2" xfId="40014"/>
    <cellStyle name="Normal 10 2 4 6 3 2 3" xfId="33382"/>
    <cellStyle name="Normal 10 2 4 6 3 3" xfId="13277"/>
    <cellStyle name="Normal 10 2 4 6 3 3 2" xfId="36698"/>
    <cellStyle name="Normal 10 2 4 6 3 4" xfId="20473"/>
    <cellStyle name="Normal 10 2 4 6 3 4 2" xfId="42926"/>
    <cellStyle name="Normal 10 2 4 6 3 5" xfId="30066"/>
    <cellStyle name="Normal 10 2 4 6 4" xfId="8223"/>
    <cellStyle name="Normal 10 2 4 6 4 2" xfId="14935"/>
    <cellStyle name="Normal 10 2 4 6 4 2 2" xfId="38356"/>
    <cellStyle name="Normal 10 2 4 6 4 3" xfId="21030"/>
    <cellStyle name="Normal 10 2 4 6 4 3 2" xfId="43481"/>
    <cellStyle name="Normal 10 2 4 6 4 4" xfId="31724"/>
    <cellStyle name="Normal 10 2 4 6 5" xfId="11617"/>
    <cellStyle name="Normal 10 2 4 6 5 2" xfId="21983"/>
    <cellStyle name="Normal 10 2 4 6 5 2 2" xfId="44411"/>
    <cellStyle name="Normal 10 2 4 6 5 3" xfId="35040"/>
    <cellStyle name="Normal 10 2 4 6 6" xfId="19120"/>
    <cellStyle name="Normal 10 2 4 6 6 2" xfId="41677"/>
    <cellStyle name="Normal 10 2 4 6 7" xfId="25760"/>
    <cellStyle name="Normal 10 2 4 6 7 2" xfId="48005"/>
    <cellStyle name="Normal 10 2 4 6 8" xfId="28408"/>
    <cellStyle name="Normal 10 2 4 7" xfId="3771"/>
    <cellStyle name="Normal 10 2 4 7 2" xfId="6909"/>
    <cellStyle name="Normal 10 2 4 7 2 2" xfId="10241"/>
    <cellStyle name="Normal 10 2 4 7 2 2 2" xfId="16945"/>
    <cellStyle name="Normal 10 2 4 7 2 2 2 2" xfId="40366"/>
    <cellStyle name="Normal 10 2 4 7 2 2 3" xfId="33734"/>
    <cellStyle name="Normal 10 2 4 7 2 3" xfId="13629"/>
    <cellStyle name="Normal 10 2 4 7 2 3 2" xfId="37050"/>
    <cellStyle name="Normal 10 2 4 7 2 4" xfId="20522"/>
    <cellStyle name="Normal 10 2 4 7 2 4 2" xfId="42975"/>
    <cellStyle name="Normal 10 2 4 7 2 5" xfId="30418"/>
    <cellStyle name="Normal 10 2 4 7 3" xfId="8576"/>
    <cellStyle name="Normal 10 2 4 7 3 2" xfId="15287"/>
    <cellStyle name="Normal 10 2 4 7 3 2 2" xfId="38708"/>
    <cellStyle name="Normal 10 2 4 7 3 3" xfId="21107"/>
    <cellStyle name="Normal 10 2 4 7 3 3 2" xfId="43558"/>
    <cellStyle name="Normal 10 2 4 7 3 4" xfId="32076"/>
    <cellStyle name="Normal 10 2 4 7 4" xfId="11969"/>
    <cellStyle name="Normal 10 2 4 7 4 2" xfId="22403"/>
    <cellStyle name="Normal 10 2 4 7 4 2 2" xfId="44825"/>
    <cellStyle name="Normal 10 2 4 7 4 3" xfId="35392"/>
    <cellStyle name="Normal 10 2 4 7 5" xfId="19556"/>
    <cellStyle name="Normal 10 2 4 7 5 2" xfId="42093"/>
    <cellStyle name="Normal 10 2 4 7 6" xfId="28760"/>
    <cellStyle name="Normal 10 2 4 8" xfId="6084"/>
    <cellStyle name="Normal 10 2 4 8 2" xfId="9418"/>
    <cellStyle name="Normal 10 2 4 8 2 2" xfId="16122"/>
    <cellStyle name="Normal 10 2 4 8 2 2 2" xfId="39543"/>
    <cellStyle name="Normal 10 2 4 8 2 3" xfId="32911"/>
    <cellStyle name="Normal 10 2 4 8 3" xfId="12806"/>
    <cellStyle name="Normal 10 2 4 8 3 2" xfId="36227"/>
    <cellStyle name="Normal 10 2 4 8 4" xfId="18291"/>
    <cellStyle name="Normal 10 2 4 8 4 2" xfId="41424"/>
    <cellStyle name="Normal 10 2 4 8 5" xfId="29595"/>
    <cellStyle name="Normal 10 2 4 9" xfId="7749"/>
    <cellStyle name="Normal 10 2 4 9 2" xfId="14464"/>
    <cellStyle name="Normal 10 2 4 9 2 2" xfId="37885"/>
    <cellStyle name="Normal 10 2 4 9 3" xfId="20648"/>
    <cellStyle name="Normal 10 2 4 9 3 2" xfId="43099"/>
    <cellStyle name="Normal 10 2 4 9 4" xfId="31253"/>
    <cellStyle name="Normal 10 2 5" xfId="1472"/>
    <cellStyle name="Normal 10 2 5 10" xfId="23491"/>
    <cellStyle name="Normal 10 2 5 10 2" xfId="45825"/>
    <cellStyle name="Normal 10 2 5 11" xfId="28002"/>
    <cellStyle name="Normal 10 2 5 2" xfId="1781"/>
    <cellStyle name="Normal 10 2 5 2 10" xfId="28133"/>
    <cellStyle name="Normal 10 2 5 2 2" xfId="2171"/>
    <cellStyle name="Normal 10 2 5 2 2 2" xfId="5446"/>
    <cellStyle name="Normal 10 2 5 2 2 2 2" xfId="7272"/>
    <cellStyle name="Normal 10 2 5 2 2 2 2 2" xfId="10603"/>
    <cellStyle name="Normal 10 2 5 2 2 2 2 2 2" xfId="17307"/>
    <cellStyle name="Normal 10 2 5 2 2 2 2 2 2 2" xfId="40728"/>
    <cellStyle name="Normal 10 2 5 2 2 2 2 2 3" xfId="23019"/>
    <cellStyle name="Normal 10 2 5 2 2 2 2 2 3 2" xfId="45441"/>
    <cellStyle name="Normal 10 2 5 2 2 2 2 2 4" xfId="34096"/>
    <cellStyle name="Normal 10 2 5 2 2 2 2 3" xfId="13991"/>
    <cellStyle name="Normal 10 2 5 2 2 2 2 3 2" xfId="37412"/>
    <cellStyle name="Normal 10 2 5 2 2 2 2 4" xfId="20191"/>
    <cellStyle name="Normal 10 2 5 2 2 2 2 4 2" xfId="42726"/>
    <cellStyle name="Normal 10 2 5 2 2 2 2 5" xfId="27105"/>
    <cellStyle name="Normal 10 2 5 2 2 2 2 5 2" xfId="49350"/>
    <cellStyle name="Normal 10 2 5 2 2 2 2 6" xfId="30780"/>
    <cellStyle name="Normal 10 2 5 2 2 2 3" xfId="8945"/>
    <cellStyle name="Normal 10 2 5 2 2 2 3 2" xfId="15649"/>
    <cellStyle name="Normal 10 2 5 2 2 2 3 2 2" xfId="39070"/>
    <cellStyle name="Normal 10 2 5 2 2 2 3 3" xfId="21125"/>
    <cellStyle name="Normal 10 2 5 2 2 2 3 3 2" xfId="43576"/>
    <cellStyle name="Normal 10 2 5 2 2 2 3 4" xfId="32438"/>
    <cellStyle name="Normal 10 2 5 2 2 2 4" xfId="12333"/>
    <cellStyle name="Normal 10 2 5 2 2 2 4 2" xfId="22204"/>
    <cellStyle name="Normal 10 2 5 2 2 2 4 2 2" xfId="44626"/>
    <cellStyle name="Normal 10 2 5 2 2 2 4 3" xfId="35754"/>
    <cellStyle name="Normal 10 2 5 2 2 2 5" xfId="19352"/>
    <cellStyle name="Normal 10 2 5 2 2 2 5 2" xfId="41894"/>
    <cellStyle name="Normal 10 2 5 2 2 2 6" xfId="24892"/>
    <cellStyle name="Normal 10 2 5 2 2 2 6 2" xfId="47137"/>
    <cellStyle name="Normal 10 2 5 2 2 2 7" xfId="29122"/>
    <cellStyle name="Normal 10 2 5 2 2 3" xfId="6363"/>
    <cellStyle name="Normal 10 2 5 2 2 3 2" xfId="9697"/>
    <cellStyle name="Normal 10 2 5 2 2 3 2 2" xfId="16401"/>
    <cellStyle name="Normal 10 2 5 2 2 3 2 2 2" xfId="39822"/>
    <cellStyle name="Normal 10 2 5 2 2 3 2 3" xfId="22612"/>
    <cellStyle name="Normal 10 2 5 2 2 3 2 3 2" xfId="45034"/>
    <cellStyle name="Normal 10 2 5 2 2 3 2 4" xfId="27775"/>
    <cellStyle name="Normal 10 2 5 2 2 3 2 4 2" xfId="50020"/>
    <cellStyle name="Normal 10 2 5 2 2 3 2 5" xfId="33190"/>
    <cellStyle name="Normal 10 2 5 2 2 3 3" xfId="13085"/>
    <cellStyle name="Normal 10 2 5 2 2 3 3 2" xfId="36506"/>
    <cellStyle name="Normal 10 2 5 2 2 3 4" xfId="19775"/>
    <cellStyle name="Normal 10 2 5 2 2 3 4 2" xfId="42310"/>
    <cellStyle name="Normal 10 2 5 2 2 3 5" xfId="25470"/>
    <cellStyle name="Normal 10 2 5 2 2 3 5 2" xfId="47715"/>
    <cellStyle name="Normal 10 2 5 2 2 3 6" xfId="29874"/>
    <cellStyle name="Normal 10 2 5 2 2 4" xfId="8030"/>
    <cellStyle name="Normal 10 2 5 2 2 4 2" xfId="14743"/>
    <cellStyle name="Normal 10 2 5 2 2 4 2 2" xfId="38164"/>
    <cellStyle name="Normal 10 2 5 2 2 4 3" xfId="20666"/>
    <cellStyle name="Normal 10 2 5 2 2 4 3 2" xfId="43117"/>
    <cellStyle name="Normal 10 2 5 2 2 4 4" xfId="26432"/>
    <cellStyle name="Normal 10 2 5 2 2 4 4 2" xfId="48677"/>
    <cellStyle name="Normal 10 2 5 2 2 4 5" xfId="31532"/>
    <cellStyle name="Normal 10 2 5 2 2 5" xfId="11425"/>
    <cellStyle name="Normal 10 2 5 2 2 5 2" xfId="21770"/>
    <cellStyle name="Normal 10 2 5 2 2 5 2 2" xfId="44212"/>
    <cellStyle name="Normal 10 2 5 2 2 5 3" xfId="34848"/>
    <cellStyle name="Normal 10 2 5 2 2 6" xfId="18525"/>
    <cellStyle name="Normal 10 2 5 2 2 6 2" xfId="41469"/>
    <cellStyle name="Normal 10 2 5 2 2 7" xfId="24228"/>
    <cellStyle name="Normal 10 2 5 2 2 7 2" xfId="46474"/>
    <cellStyle name="Normal 10 2 5 2 2 8" xfId="28216"/>
    <cellStyle name="Normal 10 2 5 2 3" xfId="2778"/>
    <cellStyle name="Normal 10 2 5 2 3 2" xfId="5870"/>
    <cellStyle name="Normal 10 2 5 2 3 2 2" xfId="7652"/>
    <cellStyle name="Normal 10 2 5 2 3 2 2 2" xfId="10981"/>
    <cellStyle name="Normal 10 2 5 2 3 2 2 2 2" xfId="17685"/>
    <cellStyle name="Normal 10 2 5 2 3 2 2 2 2 2" xfId="41106"/>
    <cellStyle name="Normal 10 2 5 2 3 2 2 2 3" xfId="34474"/>
    <cellStyle name="Normal 10 2 5 2 3 2 2 3" xfId="14369"/>
    <cellStyle name="Normal 10 2 5 2 3 2 2 3 2" xfId="37790"/>
    <cellStyle name="Normal 10 2 5 2 3 2 2 4" xfId="22819"/>
    <cellStyle name="Normal 10 2 5 2 3 2 2 4 2" xfId="45241"/>
    <cellStyle name="Normal 10 2 5 2 3 2 2 5" xfId="31158"/>
    <cellStyle name="Normal 10 2 5 2 3 2 3" xfId="9323"/>
    <cellStyle name="Normal 10 2 5 2 3 2 3 2" xfId="16027"/>
    <cellStyle name="Normal 10 2 5 2 3 2 3 2 2" xfId="39448"/>
    <cellStyle name="Normal 10 2 5 2 3 2 3 3" xfId="32816"/>
    <cellStyle name="Normal 10 2 5 2 3 2 4" xfId="12711"/>
    <cellStyle name="Normal 10 2 5 2 3 2 4 2" xfId="36132"/>
    <cellStyle name="Normal 10 2 5 2 3 2 5" xfId="19983"/>
    <cellStyle name="Normal 10 2 5 2 3 2 5 2" xfId="42518"/>
    <cellStyle name="Normal 10 2 5 2 3 2 6" xfId="26773"/>
    <cellStyle name="Normal 10 2 5 2 3 2 6 2" xfId="49018"/>
    <cellStyle name="Normal 10 2 5 2 3 2 7" xfId="29500"/>
    <cellStyle name="Normal 10 2 5 2 3 3" xfId="6753"/>
    <cellStyle name="Normal 10 2 5 2 3 3 2" xfId="10085"/>
    <cellStyle name="Normal 10 2 5 2 3 3 2 2" xfId="16789"/>
    <cellStyle name="Normal 10 2 5 2 3 3 2 2 2" xfId="40210"/>
    <cellStyle name="Normal 10 2 5 2 3 3 2 3" xfId="33578"/>
    <cellStyle name="Normal 10 2 5 2 3 3 3" xfId="13473"/>
    <cellStyle name="Normal 10 2 5 2 3 3 3 2" xfId="36894"/>
    <cellStyle name="Normal 10 2 5 2 3 3 4" xfId="21124"/>
    <cellStyle name="Normal 10 2 5 2 3 3 4 2" xfId="43575"/>
    <cellStyle name="Normal 10 2 5 2 3 3 5" xfId="30262"/>
    <cellStyle name="Normal 10 2 5 2 3 4" xfId="8419"/>
    <cellStyle name="Normal 10 2 5 2 3 4 2" xfId="15131"/>
    <cellStyle name="Normal 10 2 5 2 3 4 2 2" xfId="38552"/>
    <cellStyle name="Normal 10 2 5 2 3 4 3" xfId="21992"/>
    <cellStyle name="Normal 10 2 5 2 3 4 3 2" xfId="44420"/>
    <cellStyle name="Normal 10 2 5 2 3 4 4" xfId="31920"/>
    <cellStyle name="Normal 10 2 5 2 3 5" xfId="11813"/>
    <cellStyle name="Normal 10 2 5 2 3 5 2" xfId="35236"/>
    <cellStyle name="Normal 10 2 5 2 3 6" xfId="19129"/>
    <cellStyle name="Normal 10 2 5 2 3 6 2" xfId="41686"/>
    <cellStyle name="Normal 10 2 5 2 3 7" xfId="24560"/>
    <cellStyle name="Normal 10 2 5 2 3 7 2" xfId="46805"/>
    <cellStyle name="Normal 10 2 5 2 3 8" xfId="28604"/>
    <cellStyle name="Normal 10 2 5 2 4" xfId="3780"/>
    <cellStyle name="Normal 10 2 5 2 4 2" xfId="6918"/>
    <cellStyle name="Normal 10 2 5 2 4 2 2" xfId="10250"/>
    <cellStyle name="Normal 10 2 5 2 4 2 2 2" xfId="16954"/>
    <cellStyle name="Normal 10 2 5 2 4 2 2 2 2" xfId="40375"/>
    <cellStyle name="Normal 10 2 5 2 4 2 2 3" xfId="33743"/>
    <cellStyle name="Normal 10 2 5 2 4 2 3" xfId="13638"/>
    <cellStyle name="Normal 10 2 5 2 4 2 3 2" xfId="37059"/>
    <cellStyle name="Normal 10 2 5 2 4 2 4" xfId="22412"/>
    <cellStyle name="Normal 10 2 5 2 4 2 4 2" xfId="44834"/>
    <cellStyle name="Normal 10 2 5 2 4 2 5" xfId="27439"/>
    <cellStyle name="Normal 10 2 5 2 4 2 5 2" xfId="49684"/>
    <cellStyle name="Normal 10 2 5 2 4 2 6" xfId="30427"/>
    <cellStyle name="Normal 10 2 5 2 4 3" xfId="8585"/>
    <cellStyle name="Normal 10 2 5 2 4 3 2" xfId="15296"/>
    <cellStyle name="Normal 10 2 5 2 4 3 2 2" xfId="38717"/>
    <cellStyle name="Normal 10 2 5 2 4 3 3" xfId="32085"/>
    <cellStyle name="Normal 10 2 5 2 4 4" xfId="11978"/>
    <cellStyle name="Normal 10 2 5 2 4 4 2" xfId="35401"/>
    <cellStyle name="Normal 10 2 5 2 4 5" xfId="19565"/>
    <cellStyle name="Normal 10 2 5 2 4 5 2" xfId="42102"/>
    <cellStyle name="Normal 10 2 5 2 4 6" xfId="25134"/>
    <cellStyle name="Normal 10 2 5 2 4 6 2" xfId="47379"/>
    <cellStyle name="Normal 10 2 5 2 4 7" xfId="28769"/>
    <cellStyle name="Normal 10 2 5 2 5" xfId="6280"/>
    <cellStyle name="Normal 10 2 5 2 5 2" xfId="9614"/>
    <cellStyle name="Normal 10 2 5 2 5 2 2" xfId="16318"/>
    <cellStyle name="Normal 10 2 5 2 5 2 2 2" xfId="39739"/>
    <cellStyle name="Normal 10 2 5 2 5 2 3" xfId="33107"/>
    <cellStyle name="Normal 10 2 5 2 5 3" xfId="13002"/>
    <cellStyle name="Normal 10 2 5 2 5 3 2" xfId="36423"/>
    <cellStyle name="Normal 10 2 5 2 5 4" xfId="20665"/>
    <cellStyle name="Normal 10 2 5 2 5 4 2" xfId="43116"/>
    <cellStyle name="Normal 10 2 5 2 5 5" xfId="25769"/>
    <cellStyle name="Normal 10 2 5 2 5 5 2" xfId="48014"/>
    <cellStyle name="Normal 10 2 5 2 5 6" xfId="29791"/>
    <cellStyle name="Normal 10 2 5 2 6" xfId="7946"/>
    <cellStyle name="Normal 10 2 5 2 6 2" xfId="14660"/>
    <cellStyle name="Normal 10 2 5 2 6 2 2" xfId="38081"/>
    <cellStyle name="Normal 10 2 5 2 6 3" xfId="21561"/>
    <cellStyle name="Normal 10 2 5 2 6 3 2" xfId="44010"/>
    <cellStyle name="Normal 10 2 5 2 6 4" xfId="31449"/>
    <cellStyle name="Normal 10 2 5 2 7" xfId="11342"/>
    <cellStyle name="Normal 10 2 5 2 7 2" xfId="34765"/>
    <cellStyle name="Normal 10 2 5 2 8" xfId="17924"/>
    <cellStyle name="Normal 10 2 5 2 8 2" xfId="41233"/>
    <cellStyle name="Normal 10 2 5 2 9" xfId="23492"/>
    <cellStyle name="Normal 10 2 5 2 9 2" xfId="45826"/>
    <cellStyle name="Normal 10 2 5 3" xfId="2170"/>
    <cellStyle name="Normal 10 2 5 3 2" xfId="5445"/>
    <cellStyle name="Normal 10 2 5 3 2 2" xfId="7271"/>
    <cellStyle name="Normal 10 2 5 3 2 2 2" xfId="10602"/>
    <cellStyle name="Normal 10 2 5 3 2 2 2 2" xfId="17306"/>
    <cellStyle name="Normal 10 2 5 3 2 2 2 2 2" xfId="40727"/>
    <cellStyle name="Normal 10 2 5 3 2 2 2 3" xfId="23018"/>
    <cellStyle name="Normal 10 2 5 3 2 2 2 3 2" xfId="45440"/>
    <cellStyle name="Normal 10 2 5 3 2 2 2 4" xfId="34095"/>
    <cellStyle name="Normal 10 2 5 3 2 2 3" xfId="13990"/>
    <cellStyle name="Normal 10 2 5 3 2 2 3 2" xfId="37411"/>
    <cellStyle name="Normal 10 2 5 3 2 2 4" xfId="20190"/>
    <cellStyle name="Normal 10 2 5 3 2 2 4 2" xfId="42725"/>
    <cellStyle name="Normal 10 2 5 3 2 2 5" xfId="26939"/>
    <cellStyle name="Normal 10 2 5 3 2 2 5 2" xfId="49184"/>
    <cellStyle name="Normal 10 2 5 3 2 2 6" xfId="30779"/>
    <cellStyle name="Normal 10 2 5 3 2 3" xfId="8944"/>
    <cellStyle name="Normal 10 2 5 3 2 3 2" xfId="15648"/>
    <cellStyle name="Normal 10 2 5 3 2 3 2 2" xfId="39069"/>
    <cellStyle name="Normal 10 2 5 3 2 3 3" xfId="21126"/>
    <cellStyle name="Normal 10 2 5 3 2 3 3 2" xfId="43577"/>
    <cellStyle name="Normal 10 2 5 3 2 3 4" xfId="32437"/>
    <cellStyle name="Normal 10 2 5 3 2 4" xfId="12332"/>
    <cellStyle name="Normal 10 2 5 3 2 4 2" xfId="22203"/>
    <cellStyle name="Normal 10 2 5 3 2 4 2 2" xfId="44625"/>
    <cellStyle name="Normal 10 2 5 3 2 4 3" xfId="35753"/>
    <cellStyle name="Normal 10 2 5 3 2 5" xfId="19351"/>
    <cellStyle name="Normal 10 2 5 3 2 5 2" xfId="41893"/>
    <cellStyle name="Normal 10 2 5 3 2 6" xfId="24726"/>
    <cellStyle name="Normal 10 2 5 3 2 6 2" xfId="46971"/>
    <cellStyle name="Normal 10 2 5 3 2 7" xfId="29121"/>
    <cellStyle name="Normal 10 2 5 3 3" xfId="6362"/>
    <cellStyle name="Normal 10 2 5 3 3 2" xfId="9696"/>
    <cellStyle name="Normal 10 2 5 3 3 2 2" xfId="16400"/>
    <cellStyle name="Normal 10 2 5 3 3 2 2 2" xfId="39821"/>
    <cellStyle name="Normal 10 2 5 3 3 2 3" xfId="22611"/>
    <cellStyle name="Normal 10 2 5 3 3 2 3 2" xfId="45033"/>
    <cellStyle name="Normal 10 2 5 3 3 2 4" xfId="27607"/>
    <cellStyle name="Normal 10 2 5 3 3 2 4 2" xfId="49852"/>
    <cellStyle name="Normal 10 2 5 3 3 2 5" xfId="33189"/>
    <cellStyle name="Normal 10 2 5 3 3 3" xfId="13084"/>
    <cellStyle name="Normal 10 2 5 3 3 3 2" xfId="36505"/>
    <cellStyle name="Normal 10 2 5 3 3 4" xfId="19774"/>
    <cellStyle name="Normal 10 2 5 3 3 4 2" xfId="42309"/>
    <cellStyle name="Normal 10 2 5 3 3 5" xfId="25302"/>
    <cellStyle name="Normal 10 2 5 3 3 5 2" xfId="47547"/>
    <cellStyle name="Normal 10 2 5 3 3 6" xfId="29873"/>
    <cellStyle name="Normal 10 2 5 3 4" xfId="8029"/>
    <cellStyle name="Normal 10 2 5 3 4 2" xfId="14742"/>
    <cellStyle name="Normal 10 2 5 3 4 2 2" xfId="38163"/>
    <cellStyle name="Normal 10 2 5 3 4 3" xfId="20667"/>
    <cellStyle name="Normal 10 2 5 3 4 3 2" xfId="43118"/>
    <cellStyle name="Normal 10 2 5 3 4 4" xfId="26267"/>
    <cellStyle name="Normal 10 2 5 3 4 4 2" xfId="48512"/>
    <cellStyle name="Normal 10 2 5 3 4 5" xfId="31531"/>
    <cellStyle name="Normal 10 2 5 3 5" xfId="11424"/>
    <cellStyle name="Normal 10 2 5 3 5 2" xfId="21769"/>
    <cellStyle name="Normal 10 2 5 3 5 2 2" xfId="44211"/>
    <cellStyle name="Normal 10 2 5 3 5 3" xfId="34847"/>
    <cellStyle name="Normal 10 2 5 3 6" xfId="18524"/>
    <cellStyle name="Normal 10 2 5 3 6 2" xfId="41468"/>
    <cellStyle name="Normal 10 2 5 3 7" xfId="24063"/>
    <cellStyle name="Normal 10 2 5 3 7 2" xfId="46309"/>
    <cellStyle name="Normal 10 2 5 3 8" xfId="28215"/>
    <cellStyle name="Normal 10 2 5 4" xfId="2646"/>
    <cellStyle name="Normal 10 2 5 4 2" xfId="5739"/>
    <cellStyle name="Normal 10 2 5 4 2 2" xfId="7521"/>
    <cellStyle name="Normal 10 2 5 4 2 2 2" xfId="10850"/>
    <cellStyle name="Normal 10 2 5 4 2 2 2 2" xfId="17554"/>
    <cellStyle name="Normal 10 2 5 4 2 2 2 2 2" xfId="40975"/>
    <cellStyle name="Normal 10 2 5 4 2 2 2 3" xfId="34343"/>
    <cellStyle name="Normal 10 2 5 4 2 2 3" xfId="14238"/>
    <cellStyle name="Normal 10 2 5 4 2 2 3 2" xfId="37659"/>
    <cellStyle name="Normal 10 2 5 4 2 2 4" xfId="22818"/>
    <cellStyle name="Normal 10 2 5 4 2 2 4 2" xfId="45240"/>
    <cellStyle name="Normal 10 2 5 4 2 2 5" xfId="31027"/>
    <cellStyle name="Normal 10 2 5 4 2 3" xfId="9192"/>
    <cellStyle name="Normal 10 2 5 4 2 3 2" xfId="15896"/>
    <cellStyle name="Normal 10 2 5 4 2 3 2 2" xfId="39317"/>
    <cellStyle name="Normal 10 2 5 4 2 3 3" xfId="32685"/>
    <cellStyle name="Normal 10 2 5 4 2 4" xfId="12580"/>
    <cellStyle name="Normal 10 2 5 4 2 4 2" xfId="36001"/>
    <cellStyle name="Normal 10 2 5 4 2 5" xfId="19982"/>
    <cellStyle name="Normal 10 2 5 4 2 5 2" xfId="42517"/>
    <cellStyle name="Normal 10 2 5 4 2 6" xfId="26607"/>
    <cellStyle name="Normal 10 2 5 4 2 6 2" xfId="48852"/>
    <cellStyle name="Normal 10 2 5 4 2 7" xfId="29369"/>
    <cellStyle name="Normal 10 2 5 4 3" xfId="6622"/>
    <cellStyle name="Normal 10 2 5 4 3 2" xfId="9954"/>
    <cellStyle name="Normal 10 2 5 4 3 2 2" xfId="16658"/>
    <cellStyle name="Normal 10 2 5 4 3 2 2 2" xfId="40079"/>
    <cellStyle name="Normal 10 2 5 4 3 2 3" xfId="33447"/>
    <cellStyle name="Normal 10 2 5 4 3 3" xfId="13342"/>
    <cellStyle name="Normal 10 2 5 4 3 3 2" xfId="36763"/>
    <cellStyle name="Normal 10 2 5 4 3 4" xfId="21123"/>
    <cellStyle name="Normal 10 2 5 4 3 4 2" xfId="43574"/>
    <cellStyle name="Normal 10 2 5 4 3 5" xfId="30131"/>
    <cellStyle name="Normal 10 2 5 4 4" xfId="8288"/>
    <cellStyle name="Normal 10 2 5 4 4 2" xfId="15000"/>
    <cellStyle name="Normal 10 2 5 4 4 2 2" xfId="38421"/>
    <cellStyle name="Normal 10 2 5 4 4 3" xfId="21991"/>
    <cellStyle name="Normal 10 2 5 4 4 3 2" xfId="44419"/>
    <cellStyle name="Normal 10 2 5 4 4 4" xfId="31789"/>
    <cellStyle name="Normal 10 2 5 4 5" xfId="11682"/>
    <cellStyle name="Normal 10 2 5 4 5 2" xfId="35105"/>
    <cellStyle name="Normal 10 2 5 4 6" xfId="19128"/>
    <cellStyle name="Normal 10 2 5 4 6 2" xfId="41685"/>
    <cellStyle name="Normal 10 2 5 4 7" xfId="24394"/>
    <cellStyle name="Normal 10 2 5 4 7 2" xfId="46639"/>
    <cellStyle name="Normal 10 2 5 4 8" xfId="28473"/>
    <cellStyle name="Normal 10 2 5 5" xfId="3779"/>
    <cellStyle name="Normal 10 2 5 5 2" xfId="6917"/>
    <cellStyle name="Normal 10 2 5 5 2 2" xfId="10249"/>
    <cellStyle name="Normal 10 2 5 5 2 2 2" xfId="16953"/>
    <cellStyle name="Normal 10 2 5 5 2 2 2 2" xfId="40374"/>
    <cellStyle name="Normal 10 2 5 5 2 2 3" xfId="33742"/>
    <cellStyle name="Normal 10 2 5 5 2 3" xfId="13637"/>
    <cellStyle name="Normal 10 2 5 5 2 3 2" xfId="37058"/>
    <cellStyle name="Normal 10 2 5 5 2 4" xfId="22411"/>
    <cellStyle name="Normal 10 2 5 5 2 4 2" xfId="44833"/>
    <cellStyle name="Normal 10 2 5 5 2 5" xfId="27271"/>
    <cellStyle name="Normal 10 2 5 5 2 5 2" xfId="49516"/>
    <cellStyle name="Normal 10 2 5 5 2 6" xfId="30426"/>
    <cellStyle name="Normal 10 2 5 5 3" xfId="8584"/>
    <cellStyle name="Normal 10 2 5 5 3 2" xfId="15295"/>
    <cellStyle name="Normal 10 2 5 5 3 2 2" xfId="38716"/>
    <cellStyle name="Normal 10 2 5 5 3 3" xfId="32084"/>
    <cellStyle name="Normal 10 2 5 5 4" xfId="11977"/>
    <cellStyle name="Normal 10 2 5 5 4 2" xfId="35400"/>
    <cellStyle name="Normal 10 2 5 5 5" xfId="19564"/>
    <cellStyle name="Normal 10 2 5 5 5 2" xfId="42101"/>
    <cellStyle name="Normal 10 2 5 5 6" xfId="25038"/>
    <cellStyle name="Normal 10 2 5 5 6 2" xfId="47283"/>
    <cellStyle name="Normal 10 2 5 5 7" xfId="28768"/>
    <cellStyle name="Normal 10 2 5 6" xfId="6149"/>
    <cellStyle name="Normal 10 2 5 6 2" xfId="9483"/>
    <cellStyle name="Normal 10 2 5 6 2 2" xfId="16187"/>
    <cellStyle name="Normal 10 2 5 6 2 2 2" xfId="39608"/>
    <cellStyle name="Normal 10 2 5 6 2 3" xfId="32976"/>
    <cellStyle name="Normal 10 2 5 6 3" xfId="12871"/>
    <cellStyle name="Normal 10 2 5 6 3 2" xfId="36292"/>
    <cellStyle name="Normal 10 2 5 6 4" xfId="20664"/>
    <cellStyle name="Normal 10 2 5 6 4 2" xfId="43115"/>
    <cellStyle name="Normal 10 2 5 6 5" xfId="25768"/>
    <cellStyle name="Normal 10 2 5 6 5 2" xfId="48013"/>
    <cellStyle name="Normal 10 2 5 6 6" xfId="29660"/>
    <cellStyle name="Normal 10 2 5 7" xfId="7815"/>
    <cellStyle name="Normal 10 2 5 7 2" xfId="14529"/>
    <cellStyle name="Normal 10 2 5 7 2 2" xfId="37950"/>
    <cellStyle name="Normal 10 2 5 7 3" xfId="21560"/>
    <cellStyle name="Normal 10 2 5 7 3 2" xfId="44009"/>
    <cellStyle name="Normal 10 2 5 7 4" xfId="31318"/>
    <cellStyle name="Normal 10 2 5 8" xfId="11211"/>
    <cellStyle name="Normal 10 2 5 8 2" xfId="34634"/>
    <cellStyle name="Normal 10 2 5 9" xfId="17923"/>
    <cellStyle name="Normal 10 2 5 9 2" xfId="41232"/>
    <cellStyle name="Normal 10 2 6" xfId="5059"/>
    <cellStyle name="Normal 10 2 6 2" xfId="18499"/>
    <cellStyle name="Normal 10 2 6 2 2" xfId="24309"/>
    <cellStyle name="Normal 10 2 6 2 2 2" xfId="24974"/>
    <cellStyle name="Normal 10 2 6 2 2 2 2" xfId="27187"/>
    <cellStyle name="Normal 10 2 6 2 2 2 2 2" xfId="49432"/>
    <cellStyle name="Normal 10 2 6 2 2 2 3" xfId="47219"/>
    <cellStyle name="Normal 10 2 6 2 2 3" xfId="25554"/>
    <cellStyle name="Normal 10 2 6 2 2 3 2" xfId="27859"/>
    <cellStyle name="Normal 10 2 6 2 2 3 2 2" xfId="50104"/>
    <cellStyle name="Normal 10 2 6 2 2 3 3" xfId="47799"/>
    <cellStyle name="Normal 10 2 6 2 2 4" xfId="26513"/>
    <cellStyle name="Normal 10 2 6 2 2 4 2" xfId="48758"/>
    <cellStyle name="Normal 10 2 6 2 2 5" xfId="46555"/>
    <cellStyle name="Normal 10 2 6 2 3" xfId="24642"/>
    <cellStyle name="Normal 10 2 6 2 3 2" xfId="26855"/>
    <cellStyle name="Normal 10 2 6 2 3 2 2" xfId="49100"/>
    <cellStyle name="Normal 10 2 6 2 3 3" xfId="46887"/>
    <cellStyle name="Normal 10 2 6 2 4" xfId="25218"/>
    <cellStyle name="Normal 10 2 6 2 4 2" xfId="27523"/>
    <cellStyle name="Normal 10 2 6 2 4 2 2" xfId="49768"/>
    <cellStyle name="Normal 10 2 6 2 4 3" xfId="47463"/>
    <cellStyle name="Normal 10 2 6 2 5" xfId="26184"/>
    <cellStyle name="Normal 10 2 6 2 5 2" xfId="48429"/>
    <cellStyle name="Normal 10 2 6 2 6" xfId="23993"/>
    <cellStyle name="Normal 10 2 6 2 6 2" xfId="46239"/>
    <cellStyle name="Normal 10 2 6 3" xfId="24144"/>
    <cellStyle name="Normal 10 2 6 3 2" xfId="24808"/>
    <cellStyle name="Normal 10 2 6 3 2 2" xfId="27021"/>
    <cellStyle name="Normal 10 2 6 3 2 2 2" xfId="49266"/>
    <cellStyle name="Normal 10 2 6 3 2 3" xfId="47053"/>
    <cellStyle name="Normal 10 2 6 3 3" xfId="25386"/>
    <cellStyle name="Normal 10 2 6 3 3 2" xfId="27691"/>
    <cellStyle name="Normal 10 2 6 3 3 2 2" xfId="49936"/>
    <cellStyle name="Normal 10 2 6 3 3 3" xfId="47631"/>
    <cellStyle name="Normal 10 2 6 3 4" xfId="26348"/>
    <cellStyle name="Normal 10 2 6 3 4 2" xfId="48593"/>
    <cellStyle name="Normal 10 2 6 3 5" xfId="46390"/>
    <cellStyle name="Normal 10 2 6 4" xfId="24476"/>
    <cellStyle name="Normal 10 2 6 4 2" xfId="26689"/>
    <cellStyle name="Normal 10 2 6 4 2 2" xfId="48934"/>
    <cellStyle name="Normal 10 2 6 4 3" xfId="46721"/>
    <cellStyle name="Normal 10 2 6 5" xfId="25056"/>
    <cellStyle name="Normal 10 2 6 5 2" xfId="27355"/>
    <cellStyle name="Normal 10 2 6 5 2 2" xfId="49600"/>
    <cellStyle name="Normal 10 2 6 5 3" xfId="47301"/>
    <cellStyle name="Normal 10 2 6 6" xfId="23846"/>
    <cellStyle name="Normal 10 2 6 6 2" xfId="26037"/>
    <cellStyle name="Normal 10 2 6 6 2 2" xfId="48282"/>
    <cellStyle name="Normal 10 2 6 6 3" xfId="46092"/>
    <cellStyle name="Normal 10 2 7" xfId="23874"/>
    <cellStyle name="Normal 10 2 7 2" xfId="24186"/>
    <cellStyle name="Normal 10 2 7 2 2" xfId="24850"/>
    <cellStyle name="Normal 10 2 7 2 2 2" xfId="27063"/>
    <cellStyle name="Normal 10 2 7 2 2 2 2" xfId="49308"/>
    <cellStyle name="Normal 10 2 7 2 2 3" xfId="47095"/>
    <cellStyle name="Normal 10 2 7 2 3" xfId="25428"/>
    <cellStyle name="Normal 10 2 7 2 3 2" xfId="27733"/>
    <cellStyle name="Normal 10 2 7 2 3 2 2" xfId="49978"/>
    <cellStyle name="Normal 10 2 7 2 3 3" xfId="47673"/>
    <cellStyle name="Normal 10 2 7 2 4" xfId="26390"/>
    <cellStyle name="Normal 10 2 7 2 4 2" xfId="48635"/>
    <cellStyle name="Normal 10 2 7 2 5" xfId="46432"/>
    <cellStyle name="Normal 10 2 7 3" xfId="24518"/>
    <cellStyle name="Normal 10 2 7 3 2" xfId="26731"/>
    <cellStyle name="Normal 10 2 7 3 2 2" xfId="48976"/>
    <cellStyle name="Normal 10 2 7 3 3" xfId="46763"/>
    <cellStyle name="Normal 10 2 7 4" xfId="25092"/>
    <cellStyle name="Normal 10 2 7 4 2" xfId="27397"/>
    <cellStyle name="Normal 10 2 7 4 2 2" xfId="49642"/>
    <cellStyle name="Normal 10 2 7 4 3" xfId="47337"/>
    <cellStyle name="Normal 10 2 7 5" xfId="26065"/>
    <cellStyle name="Normal 10 2 7 5 2" xfId="48310"/>
    <cellStyle name="Normal 10 2 7 6" xfId="46120"/>
    <cellStyle name="Normal 10 2 8" xfId="24024"/>
    <cellStyle name="Normal 10 2 8 2" xfId="24684"/>
    <cellStyle name="Normal 10 2 8 2 2" xfId="26897"/>
    <cellStyle name="Normal 10 2 8 2 2 2" xfId="49142"/>
    <cellStyle name="Normal 10 2 8 2 3" xfId="46929"/>
    <cellStyle name="Normal 10 2 8 3" xfId="25260"/>
    <cellStyle name="Normal 10 2 8 3 2" xfId="27565"/>
    <cellStyle name="Normal 10 2 8 3 2 2" xfId="49810"/>
    <cellStyle name="Normal 10 2 8 3 3" xfId="47505"/>
    <cellStyle name="Normal 10 2 8 4" xfId="26225"/>
    <cellStyle name="Normal 10 2 8 4 2" xfId="48470"/>
    <cellStyle name="Normal 10 2 8 5" xfId="46270"/>
    <cellStyle name="Normal 10 2 9" xfId="24362"/>
    <cellStyle name="Normal 10 2 9 2" xfId="26565"/>
    <cellStyle name="Normal 10 2 9 2 2" xfId="48810"/>
    <cellStyle name="Normal 10 2 9 3" xfId="46607"/>
    <cellStyle name="Normal 10 3" xfId="1325"/>
    <cellStyle name="Normal 10 3 10" xfId="7761"/>
    <cellStyle name="Normal 10 3 10 2" xfId="14476"/>
    <cellStyle name="Normal 10 3 10 2 2" xfId="37897"/>
    <cellStyle name="Normal 10 3 10 3" xfId="20668"/>
    <cellStyle name="Normal 10 3 10 3 2" xfId="43119"/>
    <cellStyle name="Normal 10 3 10 4" xfId="31265"/>
    <cellStyle name="Normal 10 3 11" xfId="11158"/>
    <cellStyle name="Normal 10 3 11 2" xfId="21562"/>
    <cellStyle name="Normal 10 3 11 2 2" xfId="44011"/>
    <cellStyle name="Normal 10 3 11 3" xfId="34581"/>
    <cellStyle name="Normal 10 3 12" xfId="17925"/>
    <cellStyle name="Normal 10 3 12 2" xfId="41234"/>
    <cellStyle name="Normal 10 3 13" xfId="23365"/>
    <cellStyle name="Normal 10 3 13 2" xfId="45710"/>
    <cellStyle name="Normal 10 3 14" xfId="27949"/>
    <cellStyle name="Normal 10 3 2" xfId="1449"/>
    <cellStyle name="Normal 10 3 2 10" xfId="17926"/>
    <cellStyle name="Normal 10 3 2 10 2" xfId="41235"/>
    <cellStyle name="Normal 10 3 2 11" xfId="23479"/>
    <cellStyle name="Normal 10 3 2 11 2" xfId="45813"/>
    <cellStyle name="Normal 10 3 2 12" xfId="27985"/>
    <cellStyle name="Normal 10 3 2 2" xfId="1573"/>
    <cellStyle name="Normal 10 3 2 2 10" xfId="23494"/>
    <cellStyle name="Normal 10 3 2 2 10 2" xfId="45827"/>
    <cellStyle name="Normal 10 3 2 2 11" xfId="28016"/>
    <cellStyle name="Normal 10 3 2 2 2" xfId="1795"/>
    <cellStyle name="Normal 10 3 2 2 2 10" xfId="28147"/>
    <cellStyle name="Normal 10 3 2 2 2 2" xfId="2175"/>
    <cellStyle name="Normal 10 3 2 2 2 2 2" xfId="5448"/>
    <cellStyle name="Normal 10 3 2 2 2 2 2 2" xfId="7274"/>
    <cellStyle name="Normal 10 3 2 2 2 2 2 2 2" xfId="10605"/>
    <cellStyle name="Normal 10 3 2 2 2 2 2 2 2 2" xfId="17309"/>
    <cellStyle name="Normal 10 3 2 2 2 2 2 2 2 2 2" xfId="40730"/>
    <cellStyle name="Normal 10 3 2 2 2 2 2 2 2 3" xfId="23023"/>
    <cellStyle name="Normal 10 3 2 2 2 2 2 2 2 3 2" xfId="45445"/>
    <cellStyle name="Normal 10 3 2 2 2 2 2 2 2 4" xfId="34098"/>
    <cellStyle name="Normal 10 3 2 2 2 2 2 2 3" xfId="13993"/>
    <cellStyle name="Normal 10 3 2 2 2 2 2 2 3 2" xfId="37414"/>
    <cellStyle name="Normal 10 3 2 2 2 2 2 2 4" xfId="20195"/>
    <cellStyle name="Normal 10 3 2 2 2 2 2 2 4 2" xfId="42730"/>
    <cellStyle name="Normal 10 3 2 2 2 2 2 2 5" xfId="30782"/>
    <cellStyle name="Normal 10 3 2 2 2 2 2 3" xfId="8947"/>
    <cellStyle name="Normal 10 3 2 2 2 2 2 3 2" xfId="15651"/>
    <cellStyle name="Normal 10 3 2 2 2 2 2 3 2 2" xfId="39072"/>
    <cellStyle name="Normal 10 3 2 2 2 2 2 3 3" xfId="21131"/>
    <cellStyle name="Normal 10 3 2 2 2 2 2 3 3 2" xfId="43582"/>
    <cellStyle name="Normal 10 3 2 2 2 2 2 3 4" xfId="32440"/>
    <cellStyle name="Normal 10 3 2 2 2 2 2 4" xfId="12335"/>
    <cellStyle name="Normal 10 3 2 2 2 2 2 4 2" xfId="22208"/>
    <cellStyle name="Normal 10 3 2 2 2 2 2 4 2 2" xfId="44630"/>
    <cellStyle name="Normal 10 3 2 2 2 2 2 4 3" xfId="35756"/>
    <cellStyle name="Normal 10 3 2 2 2 2 2 5" xfId="19356"/>
    <cellStyle name="Normal 10 3 2 2 2 2 2 5 2" xfId="41898"/>
    <cellStyle name="Normal 10 3 2 2 2 2 2 6" xfId="29124"/>
    <cellStyle name="Normal 10 3 2 2 2 2 3" xfId="6367"/>
    <cellStyle name="Normal 10 3 2 2 2 2 3 2" xfId="9701"/>
    <cellStyle name="Normal 10 3 2 2 2 2 3 2 2" xfId="16405"/>
    <cellStyle name="Normal 10 3 2 2 2 2 3 2 2 2" xfId="39826"/>
    <cellStyle name="Normal 10 3 2 2 2 2 3 2 3" xfId="22616"/>
    <cellStyle name="Normal 10 3 2 2 2 2 3 2 3 2" xfId="45038"/>
    <cellStyle name="Normal 10 3 2 2 2 2 3 2 4" xfId="33194"/>
    <cellStyle name="Normal 10 3 2 2 2 2 3 3" xfId="13089"/>
    <cellStyle name="Normal 10 3 2 2 2 2 3 3 2" xfId="36510"/>
    <cellStyle name="Normal 10 3 2 2 2 2 3 4" xfId="19779"/>
    <cellStyle name="Normal 10 3 2 2 2 2 3 4 2" xfId="42314"/>
    <cellStyle name="Normal 10 3 2 2 2 2 3 5" xfId="29878"/>
    <cellStyle name="Normal 10 3 2 2 2 2 4" xfId="8034"/>
    <cellStyle name="Normal 10 3 2 2 2 2 4 2" xfId="14747"/>
    <cellStyle name="Normal 10 3 2 2 2 2 4 2 2" xfId="38168"/>
    <cellStyle name="Normal 10 3 2 2 2 2 4 3" xfId="20672"/>
    <cellStyle name="Normal 10 3 2 2 2 2 4 3 2" xfId="43123"/>
    <cellStyle name="Normal 10 3 2 2 2 2 4 4" xfId="31536"/>
    <cellStyle name="Normal 10 3 2 2 2 2 5" xfId="11429"/>
    <cellStyle name="Normal 10 3 2 2 2 2 5 2" xfId="21774"/>
    <cellStyle name="Normal 10 3 2 2 2 2 5 2 2" xfId="44216"/>
    <cellStyle name="Normal 10 3 2 2 2 2 5 3" xfId="34852"/>
    <cellStyle name="Normal 10 3 2 2 2 2 6" xfId="18529"/>
    <cellStyle name="Normal 10 3 2 2 2 2 6 2" xfId="41473"/>
    <cellStyle name="Normal 10 3 2 2 2 2 7" xfId="25772"/>
    <cellStyle name="Normal 10 3 2 2 2 2 7 2" xfId="48017"/>
    <cellStyle name="Normal 10 3 2 2 2 2 8" xfId="28220"/>
    <cellStyle name="Normal 10 3 2 2 2 3" xfId="2792"/>
    <cellStyle name="Normal 10 3 2 2 2 3 2" xfId="5884"/>
    <cellStyle name="Normal 10 3 2 2 2 3 2 2" xfId="7666"/>
    <cellStyle name="Normal 10 3 2 2 2 3 2 2 2" xfId="10995"/>
    <cellStyle name="Normal 10 3 2 2 2 3 2 2 2 2" xfId="17699"/>
    <cellStyle name="Normal 10 3 2 2 2 3 2 2 2 2 2" xfId="41120"/>
    <cellStyle name="Normal 10 3 2 2 2 3 2 2 2 3" xfId="34488"/>
    <cellStyle name="Normal 10 3 2 2 2 3 2 2 3" xfId="14383"/>
    <cellStyle name="Normal 10 3 2 2 2 3 2 2 3 2" xfId="37804"/>
    <cellStyle name="Normal 10 3 2 2 2 3 2 2 4" xfId="22823"/>
    <cellStyle name="Normal 10 3 2 2 2 3 2 2 4 2" xfId="45245"/>
    <cellStyle name="Normal 10 3 2 2 2 3 2 2 5" xfId="31172"/>
    <cellStyle name="Normal 10 3 2 2 2 3 2 3" xfId="9337"/>
    <cellStyle name="Normal 10 3 2 2 2 3 2 3 2" xfId="16041"/>
    <cellStyle name="Normal 10 3 2 2 2 3 2 3 2 2" xfId="39462"/>
    <cellStyle name="Normal 10 3 2 2 2 3 2 3 3" xfId="32830"/>
    <cellStyle name="Normal 10 3 2 2 2 3 2 4" xfId="12725"/>
    <cellStyle name="Normal 10 3 2 2 2 3 2 4 2" xfId="36146"/>
    <cellStyle name="Normal 10 3 2 2 2 3 2 5" xfId="19987"/>
    <cellStyle name="Normal 10 3 2 2 2 3 2 5 2" xfId="42522"/>
    <cellStyle name="Normal 10 3 2 2 2 3 2 6" xfId="29514"/>
    <cellStyle name="Normal 10 3 2 2 2 3 3" xfId="6767"/>
    <cellStyle name="Normal 10 3 2 2 2 3 3 2" xfId="10099"/>
    <cellStyle name="Normal 10 3 2 2 2 3 3 2 2" xfId="16803"/>
    <cellStyle name="Normal 10 3 2 2 2 3 3 2 2 2" xfId="40224"/>
    <cellStyle name="Normal 10 3 2 2 2 3 3 2 3" xfId="33592"/>
    <cellStyle name="Normal 10 3 2 2 2 3 3 3" xfId="13487"/>
    <cellStyle name="Normal 10 3 2 2 2 3 3 3 2" xfId="36908"/>
    <cellStyle name="Normal 10 3 2 2 2 3 3 4" xfId="21130"/>
    <cellStyle name="Normal 10 3 2 2 2 3 3 4 2" xfId="43581"/>
    <cellStyle name="Normal 10 3 2 2 2 3 3 5" xfId="30276"/>
    <cellStyle name="Normal 10 3 2 2 2 3 4" xfId="8433"/>
    <cellStyle name="Normal 10 3 2 2 2 3 4 2" xfId="15145"/>
    <cellStyle name="Normal 10 3 2 2 2 3 4 2 2" xfId="38566"/>
    <cellStyle name="Normal 10 3 2 2 2 3 4 3" xfId="21995"/>
    <cellStyle name="Normal 10 3 2 2 2 3 4 3 2" xfId="44423"/>
    <cellStyle name="Normal 10 3 2 2 2 3 4 4" xfId="31934"/>
    <cellStyle name="Normal 10 3 2 2 2 3 5" xfId="11827"/>
    <cellStyle name="Normal 10 3 2 2 2 3 5 2" xfId="35250"/>
    <cellStyle name="Normal 10 3 2 2 2 3 6" xfId="19133"/>
    <cellStyle name="Normal 10 3 2 2 2 3 6 2" xfId="41690"/>
    <cellStyle name="Normal 10 3 2 2 2 3 7" xfId="28618"/>
    <cellStyle name="Normal 10 3 2 2 2 4" xfId="3784"/>
    <cellStyle name="Normal 10 3 2 2 2 4 2" xfId="6921"/>
    <cellStyle name="Normal 10 3 2 2 2 4 2 2" xfId="10253"/>
    <cellStyle name="Normal 10 3 2 2 2 4 2 2 2" xfId="16957"/>
    <cellStyle name="Normal 10 3 2 2 2 4 2 2 2 2" xfId="40378"/>
    <cellStyle name="Normal 10 3 2 2 2 4 2 2 3" xfId="33746"/>
    <cellStyle name="Normal 10 3 2 2 2 4 2 3" xfId="13641"/>
    <cellStyle name="Normal 10 3 2 2 2 4 2 3 2" xfId="37062"/>
    <cellStyle name="Normal 10 3 2 2 2 4 2 4" xfId="22416"/>
    <cellStyle name="Normal 10 3 2 2 2 4 2 4 2" xfId="44838"/>
    <cellStyle name="Normal 10 3 2 2 2 4 2 5" xfId="30430"/>
    <cellStyle name="Normal 10 3 2 2 2 4 3" xfId="8588"/>
    <cellStyle name="Normal 10 3 2 2 2 4 3 2" xfId="15299"/>
    <cellStyle name="Normal 10 3 2 2 2 4 3 2 2" xfId="38720"/>
    <cellStyle name="Normal 10 3 2 2 2 4 3 3" xfId="32088"/>
    <cellStyle name="Normal 10 3 2 2 2 4 4" xfId="11981"/>
    <cellStyle name="Normal 10 3 2 2 2 4 4 2" xfId="35404"/>
    <cellStyle name="Normal 10 3 2 2 2 4 5" xfId="19569"/>
    <cellStyle name="Normal 10 3 2 2 2 4 5 2" xfId="42106"/>
    <cellStyle name="Normal 10 3 2 2 2 4 6" xfId="28772"/>
    <cellStyle name="Normal 10 3 2 2 2 5" xfId="6294"/>
    <cellStyle name="Normal 10 3 2 2 2 5 2" xfId="9628"/>
    <cellStyle name="Normal 10 3 2 2 2 5 2 2" xfId="16332"/>
    <cellStyle name="Normal 10 3 2 2 2 5 2 2 2" xfId="39753"/>
    <cellStyle name="Normal 10 3 2 2 2 5 2 3" xfId="33121"/>
    <cellStyle name="Normal 10 3 2 2 2 5 3" xfId="13016"/>
    <cellStyle name="Normal 10 3 2 2 2 5 3 2" xfId="36437"/>
    <cellStyle name="Normal 10 3 2 2 2 5 4" xfId="20671"/>
    <cellStyle name="Normal 10 3 2 2 2 5 4 2" xfId="43122"/>
    <cellStyle name="Normal 10 3 2 2 2 5 5" xfId="29805"/>
    <cellStyle name="Normal 10 3 2 2 2 6" xfId="7960"/>
    <cellStyle name="Normal 10 3 2 2 2 6 2" xfId="14674"/>
    <cellStyle name="Normal 10 3 2 2 2 6 2 2" xfId="38095"/>
    <cellStyle name="Normal 10 3 2 2 2 6 3" xfId="21565"/>
    <cellStyle name="Normal 10 3 2 2 2 6 3 2" xfId="44014"/>
    <cellStyle name="Normal 10 3 2 2 2 6 4" xfId="31463"/>
    <cellStyle name="Normal 10 3 2 2 2 7" xfId="11356"/>
    <cellStyle name="Normal 10 3 2 2 2 7 2" xfId="34779"/>
    <cellStyle name="Normal 10 3 2 2 2 8" xfId="17928"/>
    <cellStyle name="Normal 10 3 2 2 2 8 2" xfId="41237"/>
    <cellStyle name="Normal 10 3 2 2 2 9" xfId="23495"/>
    <cellStyle name="Normal 10 3 2 2 2 9 2" xfId="45828"/>
    <cellStyle name="Normal 10 3 2 2 3" xfId="2174"/>
    <cellStyle name="Normal 10 3 2 2 3 2" xfId="5447"/>
    <cellStyle name="Normal 10 3 2 2 3 2 2" xfId="7273"/>
    <cellStyle name="Normal 10 3 2 2 3 2 2 2" xfId="10604"/>
    <cellStyle name="Normal 10 3 2 2 3 2 2 2 2" xfId="17308"/>
    <cellStyle name="Normal 10 3 2 2 3 2 2 2 2 2" xfId="40729"/>
    <cellStyle name="Normal 10 3 2 2 3 2 2 2 3" xfId="23022"/>
    <cellStyle name="Normal 10 3 2 2 3 2 2 2 3 2" xfId="45444"/>
    <cellStyle name="Normal 10 3 2 2 3 2 2 2 4" xfId="34097"/>
    <cellStyle name="Normal 10 3 2 2 3 2 2 3" xfId="13992"/>
    <cellStyle name="Normal 10 3 2 2 3 2 2 3 2" xfId="37413"/>
    <cellStyle name="Normal 10 3 2 2 3 2 2 4" xfId="20194"/>
    <cellStyle name="Normal 10 3 2 2 3 2 2 4 2" xfId="42729"/>
    <cellStyle name="Normal 10 3 2 2 3 2 2 5" xfId="30781"/>
    <cellStyle name="Normal 10 3 2 2 3 2 3" xfId="8946"/>
    <cellStyle name="Normal 10 3 2 2 3 2 3 2" xfId="15650"/>
    <cellStyle name="Normal 10 3 2 2 3 2 3 2 2" xfId="39071"/>
    <cellStyle name="Normal 10 3 2 2 3 2 3 3" xfId="21132"/>
    <cellStyle name="Normal 10 3 2 2 3 2 3 3 2" xfId="43583"/>
    <cellStyle name="Normal 10 3 2 2 3 2 3 4" xfId="32439"/>
    <cellStyle name="Normal 10 3 2 2 3 2 4" xfId="12334"/>
    <cellStyle name="Normal 10 3 2 2 3 2 4 2" xfId="22207"/>
    <cellStyle name="Normal 10 3 2 2 3 2 4 2 2" xfId="44629"/>
    <cellStyle name="Normal 10 3 2 2 3 2 4 3" xfId="35755"/>
    <cellStyle name="Normal 10 3 2 2 3 2 5" xfId="19355"/>
    <cellStyle name="Normal 10 3 2 2 3 2 5 2" xfId="41897"/>
    <cellStyle name="Normal 10 3 2 2 3 2 6" xfId="25771"/>
    <cellStyle name="Normal 10 3 2 2 3 2 6 2" xfId="48016"/>
    <cellStyle name="Normal 10 3 2 2 3 2 7" xfId="29123"/>
    <cellStyle name="Normal 10 3 2 2 3 3" xfId="6366"/>
    <cellStyle name="Normal 10 3 2 2 3 3 2" xfId="9700"/>
    <cellStyle name="Normal 10 3 2 2 3 3 2 2" xfId="16404"/>
    <cellStyle name="Normal 10 3 2 2 3 3 2 2 2" xfId="39825"/>
    <cellStyle name="Normal 10 3 2 2 3 3 2 3" xfId="22615"/>
    <cellStyle name="Normal 10 3 2 2 3 3 2 3 2" xfId="45037"/>
    <cellStyle name="Normal 10 3 2 2 3 3 2 4" xfId="33193"/>
    <cellStyle name="Normal 10 3 2 2 3 3 3" xfId="13088"/>
    <cellStyle name="Normal 10 3 2 2 3 3 3 2" xfId="36509"/>
    <cellStyle name="Normal 10 3 2 2 3 3 4" xfId="19778"/>
    <cellStyle name="Normal 10 3 2 2 3 3 4 2" xfId="42313"/>
    <cellStyle name="Normal 10 3 2 2 3 3 5" xfId="29877"/>
    <cellStyle name="Normal 10 3 2 2 3 4" xfId="8033"/>
    <cellStyle name="Normal 10 3 2 2 3 4 2" xfId="14746"/>
    <cellStyle name="Normal 10 3 2 2 3 4 2 2" xfId="38167"/>
    <cellStyle name="Normal 10 3 2 2 3 4 3" xfId="20673"/>
    <cellStyle name="Normal 10 3 2 2 3 4 3 2" xfId="43124"/>
    <cellStyle name="Normal 10 3 2 2 3 4 4" xfId="31535"/>
    <cellStyle name="Normal 10 3 2 2 3 5" xfId="11428"/>
    <cellStyle name="Normal 10 3 2 2 3 5 2" xfId="21773"/>
    <cellStyle name="Normal 10 3 2 2 3 5 2 2" xfId="44215"/>
    <cellStyle name="Normal 10 3 2 2 3 5 3" xfId="34851"/>
    <cellStyle name="Normal 10 3 2 2 3 6" xfId="18528"/>
    <cellStyle name="Normal 10 3 2 2 3 6 2" xfId="41472"/>
    <cellStyle name="Normal 10 3 2 2 3 7" xfId="23427"/>
    <cellStyle name="Normal 10 3 2 2 3 7 2" xfId="45771"/>
    <cellStyle name="Normal 10 3 2 2 3 8" xfId="28219"/>
    <cellStyle name="Normal 10 3 2 2 4" xfId="2660"/>
    <cellStyle name="Normal 10 3 2 2 4 2" xfId="5753"/>
    <cellStyle name="Normal 10 3 2 2 4 2 2" xfId="7535"/>
    <cellStyle name="Normal 10 3 2 2 4 2 2 2" xfId="10864"/>
    <cellStyle name="Normal 10 3 2 2 4 2 2 2 2" xfId="17568"/>
    <cellStyle name="Normal 10 3 2 2 4 2 2 2 2 2" xfId="40989"/>
    <cellStyle name="Normal 10 3 2 2 4 2 2 2 3" xfId="34357"/>
    <cellStyle name="Normal 10 3 2 2 4 2 2 3" xfId="14252"/>
    <cellStyle name="Normal 10 3 2 2 4 2 2 3 2" xfId="37673"/>
    <cellStyle name="Normal 10 3 2 2 4 2 2 4" xfId="22822"/>
    <cellStyle name="Normal 10 3 2 2 4 2 2 4 2" xfId="45244"/>
    <cellStyle name="Normal 10 3 2 2 4 2 2 5" xfId="31041"/>
    <cellStyle name="Normal 10 3 2 2 4 2 3" xfId="9206"/>
    <cellStyle name="Normal 10 3 2 2 4 2 3 2" xfId="15910"/>
    <cellStyle name="Normal 10 3 2 2 4 2 3 2 2" xfId="39331"/>
    <cellStyle name="Normal 10 3 2 2 4 2 3 3" xfId="32699"/>
    <cellStyle name="Normal 10 3 2 2 4 2 4" xfId="12594"/>
    <cellStyle name="Normal 10 3 2 2 4 2 4 2" xfId="36015"/>
    <cellStyle name="Normal 10 3 2 2 4 2 5" xfId="19986"/>
    <cellStyle name="Normal 10 3 2 2 4 2 5 2" xfId="42521"/>
    <cellStyle name="Normal 10 3 2 2 4 2 6" xfId="27914"/>
    <cellStyle name="Normal 10 3 2 2 4 2 6 2" xfId="50159"/>
    <cellStyle name="Normal 10 3 2 2 4 2 7" xfId="29383"/>
    <cellStyle name="Normal 10 3 2 2 4 3" xfId="6636"/>
    <cellStyle name="Normal 10 3 2 2 4 3 2" xfId="9968"/>
    <cellStyle name="Normal 10 3 2 2 4 3 2 2" xfId="16672"/>
    <cellStyle name="Normal 10 3 2 2 4 3 2 2 2" xfId="40093"/>
    <cellStyle name="Normal 10 3 2 2 4 3 2 3" xfId="33461"/>
    <cellStyle name="Normal 10 3 2 2 4 3 3" xfId="13356"/>
    <cellStyle name="Normal 10 3 2 2 4 3 3 2" xfId="36777"/>
    <cellStyle name="Normal 10 3 2 2 4 3 4" xfId="21129"/>
    <cellStyle name="Normal 10 3 2 2 4 3 4 2" xfId="43580"/>
    <cellStyle name="Normal 10 3 2 2 4 3 5" xfId="30145"/>
    <cellStyle name="Normal 10 3 2 2 4 4" xfId="8302"/>
    <cellStyle name="Normal 10 3 2 2 4 4 2" xfId="15014"/>
    <cellStyle name="Normal 10 3 2 2 4 4 2 2" xfId="38435"/>
    <cellStyle name="Normal 10 3 2 2 4 4 3" xfId="21994"/>
    <cellStyle name="Normal 10 3 2 2 4 4 3 2" xfId="44422"/>
    <cellStyle name="Normal 10 3 2 2 4 4 4" xfId="31803"/>
    <cellStyle name="Normal 10 3 2 2 4 5" xfId="11696"/>
    <cellStyle name="Normal 10 3 2 2 4 5 2" xfId="35119"/>
    <cellStyle name="Normal 10 3 2 2 4 6" xfId="19132"/>
    <cellStyle name="Normal 10 3 2 2 4 6 2" xfId="41689"/>
    <cellStyle name="Normal 10 3 2 2 4 7" xfId="25609"/>
    <cellStyle name="Normal 10 3 2 2 4 7 2" xfId="47854"/>
    <cellStyle name="Normal 10 3 2 2 4 8" xfId="28487"/>
    <cellStyle name="Normal 10 3 2 2 5" xfId="3783"/>
    <cellStyle name="Normal 10 3 2 2 5 2" xfId="6920"/>
    <cellStyle name="Normal 10 3 2 2 5 2 2" xfId="10252"/>
    <cellStyle name="Normal 10 3 2 2 5 2 2 2" xfId="16956"/>
    <cellStyle name="Normal 10 3 2 2 5 2 2 2 2" xfId="40377"/>
    <cellStyle name="Normal 10 3 2 2 5 2 2 3" xfId="33745"/>
    <cellStyle name="Normal 10 3 2 2 5 2 3" xfId="13640"/>
    <cellStyle name="Normal 10 3 2 2 5 2 3 2" xfId="37061"/>
    <cellStyle name="Normal 10 3 2 2 5 2 4" xfId="22415"/>
    <cellStyle name="Normal 10 3 2 2 5 2 4 2" xfId="44837"/>
    <cellStyle name="Normal 10 3 2 2 5 2 5" xfId="30429"/>
    <cellStyle name="Normal 10 3 2 2 5 3" xfId="8587"/>
    <cellStyle name="Normal 10 3 2 2 5 3 2" xfId="15298"/>
    <cellStyle name="Normal 10 3 2 2 5 3 2 2" xfId="38719"/>
    <cellStyle name="Normal 10 3 2 2 5 3 3" xfId="32087"/>
    <cellStyle name="Normal 10 3 2 2 5 4" xfId="11980"/>
    <cellStyle name="Normal 10 3 2 2 5 4 2" xfId="35403"/>
    <cellStyle name="Normal 10 3 2 2 5 5" xfId="19568"/>
    <cellStyle name="Normal 10 3 2 2 5 5 2" xfId="42105"/>
    <cellStyle name="Normal 10 3 2 2 5 6" xfId="25646"/>
    <cellStyle name="Normal 10 3 2 2 5 6 2" xfId="47891"/>
    <cellStyle name="Normal 10 3 2 2 5 7" xfId="28771"/>
    <cellStyle name="Normal 10 3 2 2 6" xfId="6163"/>
    <cellStyle name="Normal 10 3 2 2 6 2" xfId="9497"/>
    <cellStyle name="Normal 10 3 2 2 6 2 2" xfId="16201"/>
    <cellStyle name="Normal 10 3 2 2 6 2 2 2" xfId="39622"/>
    <cellStyle name="Normal 10 3 2 2 6 2 3" xfId="32990"/>
    <cellStyle name="Normal 10 3 2 2 6 3" xfId="12885"/>
    <cellStyle name="Normal 10 3 2 2 6 3 2" xfId="36306"/>
    <cellStyle name="Normal 10 3 2 2 6 4" xfId="20670"/>
    <cellStyle name="Normal 10 3 2 2 6 4 2" xfId="43121"/>
    <cellStyle name="Normal 10 3 2 2 6 5" xfId="29674"/>
    <cellStyle name="Normal 10 3 2 2 7" xfId="7829"/>
    <cellStyle name="Normal 10 3 2 2 7 2" xfId="14543"/>
    <cellStyle name="Normal 10 3 2 2 7 2 2" xfId="37964"/>
    <cellStyle name="Normal 10 3 2 2 7 3" xfId="21564"/>
    <cellStyle name="Normal 10 3 2 2 7 3 2" xfId="44013"/>
    <cellStyle name="Normal 10 3 2 2 7 4" xfId="31332"/>
    <cellStyle name="Normal 10 3 2 2 8" xfId="11225"/>
    <cellStyle name="Normal 10 3 2 2 8 2" xfId="34648"/>
    <cellStyle name="Normal 10 3 2 2 9" xfId="17927"/>
    <cellStyle name="Normal 10 3 2 2 9 2" xfId="41236"/>
    <cellStyle name="Normal 10 3 2 3" xfId="1764"/>
    <cellStyle name="Normal 10 3 2 3 10" xfId="28116"/>
    <cellStyle name="Normal 10 3 2 3 2" xfId="2176"/>
    <cellStyle name="Normal 10 3 2 3 2 2" xfId="5449"/>
    <cellStyle name="Normal 10 3 2 3 2 2 2" xfId="7275"/>
    <cellStyle name="Normal 10 3 2 3 2 2 2 2" xfId="10606"/>
    <cellStyle name="Normal 10 3 2 3 2 2 2 2 2" xfId="17310"/>
    <cellStyle name="Normal 10 3 2 3 2 2 2 2 2 2" xfId="40731"/>
    <cellStyle name="Normal 10 3 2 3 2 2 2 2 3" xfId="23024"/>
    <cellStyle name="Normal 10 3 2 3 2 2 2 2 3 2" xfId="45446"/>
    <cellStyle name="Normal 10 3 2 3 2 2 2 2 4" xfId="34099"/>
    <cellStyle name="Normal 10 3 2 3 2 2 2 3" xfId="13994"/>
    <cellStyle name="Normal 10 3 2 3 2 2 2 3 2" xfId="37415"/>
    <cellStyle name="Normal 10 3 2 3 2 2 2 4" xfId="20196"/>
    <cellStyle name="Normal 10 3 2 3 2 2 2 4 2" xfId="42731"/>
    <cellStyle name="Normal 10 3 2 3 2 2 2 5" xfId="30783"/>
    <cellStyle name="Normal 10 3 2 3 2 2 3" xfId="8948"/>
    <cellStyle name="Normal 10 3 2 3 2 2 3 2" xfId="15652"/>
    <cellStyle name="Normal 10 3 2 3 2 2 3 2 2" xfId="39073"/>
    <cellStyle name="Normal 10 3 2 3 2 2 3 3" xfId="21134"/>
    <cellStyle name="Normal 10 3 2 3 2 2 3 3 2" xfId="43585"/>
    <cellStyle name="Normal 10 3 2 3 2 2 3 4" xfId="32441"/>
    <cellStyle name="Normal 10 3 2 3 2 2 4" xfId="12336"/>
    <cellStyle name="Normal 10 3 2 3 2 2 4 2" xfId="22209"/>
    <cellStyle name="Normal 10 3 2 3 2 2 4 2 2" xfId="44631"/>
    <cellStyle name="Normal 10 3 2 3 2 2 4 3" xfId="35757"/>
    <cellStyle name="Normal 10 3 2 3 2 2 5" xfId="19357"/>
    <cellStyle name="Normal 10 3 2 3 2 2 5 2" xfId="41899"/>
    <cellStyle name="Normal 10 3 2 3 2 2 6" xfId="29125"/>
    <cellStyle name="Normal 10 3 2 3 2 3" xfId="6368"/>
    <cellStyle name="Normal 10 3 2 3 2 3 2" xfId="9702"/>
    <cellStyle name="Normal 10 3 2 3 2 3 2 2" xfId="16406"/>
    <cellStyle name="Normal 10 3 2 3 2 3 2 2 2" xfId="39827"/>
    <cellStyle name="Normal 10 3 2 3 2 3 2 3" xfId="22617"/>
    <cellStyle name="Normal 10 3 2 3 2 3 2 3 2" xfId="45039"/>
    <cellStyle name="Normal 10 3 2 3 2 3 2 4" xfId="33195"/>
    <cellStyle name="Normal 10 3 2 3 2 3 3" xfId="13090"/>
    <cellStyle name="Normal 10 3 2 3 2 3 3 2" xfId="36511"/>
    <cellStyle name="Normal 10 3 2 3 2 3 4" xfId="19780"/>
    <cellStyle name="Normal 10 3 2 3 2 3 4 2" xfId="42315"/>
    <cellStyle name="Normal 10 3 2 3 2 3 5" xfId="29879"/>
    <cellStyle name="Normal 10 3 2 3 2 4" xfId="8035"/>
    <cellStyle name="Normal 10 3 2 3 2 4 2" xfId="14748"/>
    <cellStyle name="Normal 10 3 2 3 2 4 2 2" xfId="38169"/>
    <cellStyle name="Normal 10 3 2 3 2 4 3" xfId="20675"/>
    <cellStyle name="Normal 10 3 2 3 2 4 3 2" xfId="43126"/>
    <cellStyle name="Normal 10 3 2 3 2 4 4" xfId="31537"/>
    <cellStyle name="Normal 10 3 2 3 2 5" xfId="11430"/>
    <cellStyle name="Normal 10 3 2 3 2 5 2" xfId="21775"/>
    <cellStyle name="Normal 10 3 2 3 2 5 2 2" xfId="44217"/>
    <cellStyle name="Normal 10 3 2 3 2 5 3" xfId="34853"/>
    <cellStyle name="Normal 10 3 2 3 2 6" xfId="18530"/>
    <cellStyle name="Normal 10 3 2 3 2 6 2" xfId="41474"/>
    <cellStyle name="Normal 10 3 2 3 2 7" xfId="25773"/>
    <cellStyle name="Normal 10 3 2 3 2 7 2" xfId="48018"/>
    <cellStyle name="Normal 10 3 2 3 2 8" xfId="28221"/>
    <cellStyle name="Normal 10 3 2 3 3" xfId="2761"/>
    <cellStyle name="Normal 10 3 2 3 3 2" xfId="5853"/>
    <cellStyle name="Normal 10 3 2 3 3 2 2" xfId="7635"/>
    <cellStyle name="Normal 10 3 2 3 3 2 2 2" xfId="10964"/>
    <cellStyle name="Normal 10 3 2 3 3 2 2 2 2" xfId="17668"/>
    <cellStyle name="Normal 10 3 2 3 3 2 2 2 2 2" xfId="41089"/>
    <cellStyle name="Normal 10 3 2 3 3 2 2 2 3" xfId="34457"/>
    <cellStyle name="Normal 10 3 2 3 3 2 2 3" xfId="14352"/>
    <cellStyle name="Normal 10 3 2 3 3 2 2 3 2" xfId="37773"/>
    <cellStyle name="Normal 10 3 2 3 3 2 2 4" xfId="22824"/>
    <cellStyle name="Normal 10 3 2 3 3 2 2 4 2" xfId="45246"/>
    <cellStyle name="Normal 10 3 2 3 3 2 2 5" xfId="31141"/>
    <cellStyle name="Normal 10 3 2 3 3 2 3" xfId="9306"/>
    <cellStyle name="Normal 10 3 2 3 3 2 3 2" xfId="16010"/>
    <cellStyle name="Normal 10 3 2 3 3 2 3 2 2" xfId="39431"/>
    <cellStyle name="Normal 10 3 2 3 3 2 3 3" xfId="32799"/>
    <cellStyle name="Normal 10 3 2 3 3 2 4" xfId="12694"/>
    <cellStyle name="Normal 10 3 2 3 3 2 4 2" xfId="36115"/>
    <cellStyle name="Normal 10 3 2 3 3 2 5" xfId="19988"/>
    <cellStyle name="Normal 10 3 2 3 3 2 5 2" xfId="42523"/>
    <cellStyle name="Normal 10 3 2 3 3 2 6" xfId="29483"/>
    <cellStyle name="Normal 10 3 2 3 3 3" xfId="6736"/>
    <cellStyle name="Normal 10 3 2 3 3 3 2" xfId="10068"/>
    <cellStyle name="Normal 10 3 2 3 3 3 2 2" xfId="16772"/>
    <cellStyle name="Normal 10 3 2 3 3 3 2 2 2" xfId="40193"/>
    <cellStyle name="Normal 10 3 2 3 3 3 2 3" xfId="33561"/>
    <cellStyle name="Normal 10 3 2 3 3 3 3" xfId="13456"/>
    <cellStyle name="Normal 10 3 2 3 3 3 3 2" xfId="36877"/>
    <cellStyle name="Normal 10 3 2 3 3 3 4" xfId="21133"/>
    <cellStyle name="Normal 10 3 2 3 3 3 4 2" xfId="43584"/>
    <cellStyle name="Normal 10 3 2 3 3 3 5" xfId="30245"/>
    <cellStyle name="Normal 10 3 2 3 3 4" xfId="8402"/>
    <cellStyle name="Normal 10 3 2 3 3 4 2" xfId="15114"/>
    <cellStyle name="Normal 10 3 2 3 3 4 2 2" xfId="38535"/>
    <cellStyle name="Normal 10 3 2 3 3 4 3" xfId="21996"/>
    <cellStyle name="Normal 10 3 2 3 3 4 3 2" xfId="44424"/>
    <cellStyle name="Normal 10 3 2 3 3 4 4" xfId="31903"/>
    <cellStyle name="Normal 10 3 2 3 3 5" xfId="11796"/>
    <cellStyle name="Normal 10 3 2 3 3 5 2" xfId="35219"/>
    <cellStyle name="Normal 10 3 2 3 3 6" xfId="19134"/>
    <cellStyle name="Normal 10 3 2 3 3 6 2" xfId="41691"/>
    <cellStyle name="Normal 10 3 2 3 3 7" xfId="28587"/>
    <cellStyle name="Normal 10 3 2 3 4" xfId="3785"/>
    <cellStyle name="Normal 10 3 2 3 4 2" xfId="6922"/>
    <cellStyle name="Normal 10 3 2 3 4 2 2" xfId="10254"/>
    <cellStyle name="Normal 10 3 2 3 4 2 2 2" xfId="16958"/>
    <cellStyle name="Normal 10 3 2 3 4 2 2 2 2" xfId="40379"/>
    <cellStyle name="Normal 10 3 2 3 4 2 2 3" xfId="33747"/>
    <cellStyle name="Normal 10 3 2 3 4 2 3" xfId="13642"/>
    <cellStyle name="Normal 10 3 2 3 4 2 3 2" xfId="37063"/>
    <cellStyle name="Normal 10 3 2 3 4 2 4" xfId="22417"/>
    <cellStyle name="Normal 10 3 2 3 4 2 4 2" xfId="44839"/>
    <cellStyle name="Normal 10 3 2 3 4 2 5" xfId="30431"/>
    <cellStyle name="Normal 10 3 2 3 4 3" xfId="8589"/>
    <cellStyle name="Normal 10 3 2 3 4 3 2" xfId="15300"/>
    <cellStyle name="Normal 10 3 2 3 4 3 2 2" xfId="38721"/>
    <cellStyle name="Normal 10 3 2 3 4 3 3" xfId="32089"/>
    <cellStyle name="Normal 10 3 2 3 4 4" xfId="11982"/>
    <cellStyle name="Normal 10 3 2 3 4 4 2" xfId="35405"/>
    <cellStyle name="Normal 10 3 2 3 4 5" xfId="19570"/>
    <cellStyle name="Normal 10 3 2 3 4 5 2" xfId="42107"/>
    <cellStyle name="Normal 10 3 2 3 4 6" xfId="28773"/>
    <cellStyle name="Normal 10 3 2 3 5" xfId="6263"/>
    <cellStyle name="Normal 10 3 2 3 5 2" xfId="9597"/>
    <cellStyle name="Normal 10 3 2 3 5 2 2" xfId="16301"/>
    <cellStyle name="Normal 10 3 2 3 5 2 2 2" xfId="39722"/>
    <cellStyle name="Normal 10 3 2 3 5 2 3" xfId="33090"/>
    <cellStyle name="Normal 10 3 2 3 5 3" xfId="12985"/>
    <cellStyle name="Normal 10 3 2 3 5 3 2" xfId="36406"/>
    <cellStyle name="Normal 10 3 2 3 5 4" xfId="20674"/>
    <cellStyle name="Normal 10 3 2 3 5 4 2" xfId="43125"/>
    <cellStyle name="Normal 10 3 2 3 5 5" xfId="29774"/>
    <cellStyle name="Normal 10 3 2 3 6" xfId="7929"/>
    <cellStyle name="Normal 10 3 2 3 6 2" xfId="14643"/>
    <cellStyle name="Normal 10 3 2 3 6 2 2" xfId="38064"/>
    <cellStyle name="Normal 10 3 2 3 6 3" xfId="21566"/>
    <cellStyle name="Normal 10 3 2 3 6 3 2" xfId="44015"/>
    <cellStyle name="Normal 10 3 2 3 6 4" xfId="31432"/>
    <cellStyle name="Normal 10 3 2 3 7" xfId="11325"/>
    <cellStyle name="Normal 10 3 2 3 7 2" xfId="34748"/>
    <cellStyle name="Normal 10 3 2 3 8" xfId="17929"/>
    <cellStyle name="Normal 10 3 2 3 8 2" xfId="41238"/>
    <cellStyle name="Normal 10 3 2 3 9" xfId="23496"/>
    <cellStyle name="Normal 10 3 2 3 9 2" xfId="45829"/>
    <cellStyle name="Normal 10 3 2 4" xfId="2173"/>
    <cellStyle name="Normal 10 3 2 4 2" xfId="3786"/>
    <cellStyle name="Normal 10 3 2 4 2 2" xfId="6923"/>
    <cellStyle name="Normal 10 3 2 4 2 2 2" xfId="10255"/>
    <cellStyle name="Normal 10 3 2 4 2 2 2 2" xfId="16959"/>
    <cellStyle name="Normal 10 3 2 4 2 2 2 2 2" xfId="40380"/>
    <cellStyle name="Normal 10 3 2 4 2 2 2 3" xfId="23021"/>
    <cellStyle name="Normal 10 3 2 4 2 2 2 3 2" xfId="45443"/>
    <cellStyle name="Normal 10 3 2 4 2 2 2 4" xfId="33748"/>
    <cellStyle name="Normal 10 3 2 4 2 2 3" xfId="13643"/>
    <cellStyle name="Normal 10 3 2 4 2 2 3 2" xfId="37064"/>
    <cellStyle name="Normal 10 3 2 4 2 2 4" xfId="20193"/>
    <cellStyle name="Normal 10 3 2 4 2 2 4 2" xfId="42728"/>
    <cellStyle name="Normal 10 3 2 4 2 2 5" xfId="30432"/>
    <cellStyle name="Normal 10 3 2 4 2 3" xfId="8590"/>
    <cellStyle name="Normal 10 3 2 4 2 3 2" xfId="15301"/>
    <cellStyle name="Normal 10 3 2 4 2 3 2 2" xfId="38722"/>
    <cellStyle name="Normal 10 3 2 4 2 3 3" xfId="21135"/>
    <cellStyle name="Normal 10 3 2 4 2 3 3 2" xfId="43586"/>
    <cellStyle name="Normal 10 3 2 4 2 3 4" xfId="32090"/>
    <cellStyle name="Normal 10 3 2 4 2 4" xfId="11983"/>
    <cellStyle name="Normal 10 3 2 4 2 4 2" xfId="22206"/>
    <cellStyle name="Normal 10 3 2 4 2 4 2 2" xfId="44628"/>
    <cellStyle name="Normal 10 3 2 4 2 4 3" xfId="35406"/>
    <cellStyle name="Normal 10 3 2 4 2 5" xfId="19354"/>
    <cellStyle name="Normal 10 3 2 4 2 5 2" xfId="41896"/>
    <cellStyle name="Normal 10 3 2 4 2 6" xfId="25774"/>
    <cellStyle name="Normal 10 3 2 4 2 6 2" xfId="48019"/>
    <cellStyle name="Normal 10 3 2 4 2 7" xfId="28774"/>
    <cellStyle name="Normal 10 3 2 4 3" xfId="6365"/>
    <cellStyle name="Normal 10 3 2 4 3 2" xfId="9699"/>
    <cellStyle name="Normal 10 3 2 4 3 2 2" xfId="16403"/>
    <cellStyle name="Normal 10 3 2 4 3 2 2 2" xfId="39824"/>
    <cellStyle name="Normal 10 3 2 4 3 2 3" xfId="22614"/>
    <cellStyle name="Normal 10 3 2 4 3 2 3 2" xfId="45036"/>
    <cellStyle name="Normal 10 3 2 4 3 2 4" xfId="33192"/>
    <cellStyle name="Normal 10 3 2 4 3 3" xfId="13087"/>
    <cellStyle name="Normal 10 3 2 4 3 3 2" xfId="36508"/>
    <cellStyle name="Normal 10 3 2 4 3 4" xfId="19777"/>
    <cellStyle name="Normal 10 3 2 4 3 4 2" xfId="42312"/>
    <cellStyle name="Normal 10 3 2 4 3 5" xfId="29876"/>
    <cellStyle name="Normal 10 3 2 4 4" xfId="8032"/>
    <cellStyle name="Normal 10 3 2 4 4 2" xfId="14745"/>
    <cellStyle name="Normal 10 3 2 4 4 2 2" xfId="38166"/>
    <cellStyle name="Normal 10 3 2 4 4 3" xfId="20676"/>
    <cellStyle name="Normal 10 3 2 4 4 3 2" xfId="43127"/>
    <cellStyle name="Normal 10 3 2 4 4 4" xfId="31534"/>
    <cellStyle name="Normal 10 3 2 4 5" xfId="11427"/>
    <cellStyle name="Normal 10 3 2 4 5 2" xfId="21772"/>
    <cellStyle name="Normal 10 3 2 4 5 2 2" xfId="44214"/>
    <cellStyle name="Normal 10 3 2 4 5 3" xfId="34850"/>
    <cellStyle name="Normal 10 3 2 4 6" xfId="18527"/>
    <cellStyle name="Normal 10 3 2 4 6 2" xfId="41471"/>
    <cellStyle name="Normal 10 3 2 4 7" xfId="23497"/>
    <cellStyle name="Normal 10 3 2 4 7 2" xfId="45830"/>
    <cellStyle name="Normal 10 3 2 4 8" xfId="28218"/>
    <cellStyle name="Normal 10 3 2 5" xfId="2629"/>
    <cellStyle name="Normal 10 3 2 5 2" xfId="5722"/>
    <cellStyle name="Normal 10 3 2 5 2 2" xfId="7504"/>
    <cellStyle name="Normal 10 3 2 5 2 2 2" xfId="10833"/>
    <cellStyle name="Normal 10 3 2 5 2 2 2 2" xfId="17537"/>
    <cellStyle name="Normal 10 3 2 5 2 2 2 2 2" xfId="40958"/>
    <cellStyle name="Normal 10 3 2 5 2 2 2 3" xfId="34326"/>
    <cellStyle name="Normal 10 3 2 5 2 2 3" xfId="14221"/>
    <cellStyle name="Normal 10 3 2 5 2 2 3 2" xfId="37642"/>
    <cellStyle name="Normal 10 3 2 5 2 2 4" xfId="20574"/>
    <cellStyle name="Normal 10 3 2 5 2 2 4 2" xfId="43025"/>
    <cellStyle name="Normal 10 3 2 5 2 2 5" xfId="31010"/>
    <cellStyle name="Normal 10 3 2 5 2 3" xfId="9175"/>
    <cellStyle name="Normal 10 3 2 5 2 3 2" xfId="15879"/>
    <cellStyle name="Normal 10 3 2 5 2 3 2 2" xfId="39300"/>
    <cellStyle name="Normal 10 3 2 5 2 3 3" xfId="21492"/>
    <cellStyle name="Normal 10 3 2 5 2 3 3 2" xfId="43943"/>
    <cellStyle name="Normal 10 3 2 5 2 3 4" xfId="32668"/>
    <cellStyle name="Normal 10 3 2 5 2 4" xfId="12563"/>
    <cellStyle name="Normal 10 3 2 5 2 4 2" xfId="22821"/>
    <cellStyle name="Normal 10 3 2 5 2 4 2 2" xfId="45243"/>
    <cellStyle name="Normal 10 3 2 5 2 4 3" xfId="35984"/>
    <cellStyle name="Normal 10 3 2 5 2 5" xfId="19985"/>
    <cellStyle name="Normal 10 3 2 5 2 5 2" xfId="42520"/>
    <cellStyle name="Normal 10 3 2 5 2 6" xfId="29352"/>
    <cellStyle name="Normal 10 3 2 5 3" xfId="6605"/>
    <cellStyle name="Normal 10 3 2 5 3 2" xfId="9937"/>
    <cellStyle name="Normal 10 3 2 5 3 2 2" xfId="16641"/>
    <cellStyle name="Normal 10 3 2 5 3 2 2 2" xfId="40062"/>
    <cellStyle name="Normal 10 3 2 5 3 2 3" xfId="33430"/>
    <cellStyle name="Normal 10 3 2 5 3 3" xfId="13325"/>
    <cellStyle name="Normal 10 3 2 5 3 3 2" xfId="36746"/>
    <cellStyle name="Normal 10 3 2 5 3 4" xfId="20476"/>
    <cellStyle name="Normal 10 3 2 5 3 4 2" xfId="42929"/>
    <cellStyle name="Normal 10 3 2 5 3 5" xfId="30114"/>
    <cellStyle name="Normal 10 3 2 5 4" xfId="8271"/>
    <cellStyle name="Normal 10 3 2 5 4 2" xfId="14983"/>
    <cellStyle name="Normal 10 3 2 5 4 2 2" xfId="38404"/>
    <cellStyle name="Normal 10 3 2 5 4 3" xfId="21033"/>
    <cellStyle name="Normal 10 3 2 5 4 3 2" xfId="43484"/>
    <cellStyle name="Normal 10 3 2 5 4 4" xfId="31772"/>
    <cellStyle name="Normal 10 3 2 5 5" xfId="11665"/>
    <cellStyle name="Normal 10 3 2 5 5 2" xfId="21993"/>
    <cellStyle name="Normal 10 3 2 5 5 2 2" xfId="44421"/>
    <cellStyle name="Normal 10 3 2 5 5 3" xfId="35088"/>
    <cellStyle name="Normal 10 3 2 5 6" xfId="19131"/>
    <cellStyle name="Normal 10 3 2 5 6 2" xfId="41688"/>
    <cellStyle name="Normal 10 3 2 5 7" xfId="23426"/>
    <cellStyle name="Normal 10 3 2 5 8" xfId="28456"/>
    <cellStyle name="Normal 10 3 2 6" xfId="3782"/>
    <cellStyle name="Normal 10 3 2 6 2" xfId="19567"/>
    <cellStyle name="Normal 10 3 2 6 2 2" xfId="27895"/>
    <cellStyle name="Normal 10 3 2 6 2 2 2" xfId="50140"/>
    <cellStyle name="Normal 10 3 2 6 2 3" xfId="42104"/>
    <cellStyle name="Normal 10 3 2 6 3" xfId="21128"/>
    <cellStyle name="Normal 10 3 2 6 3 2" xfId="43579"/>
    <cellStyle name="Normal 10 3 2 6 4" xfId="22414"/>
    <cellStyle name="Normal 10 3 2 6 4 2" xfId="44836"/>
    <cellStyle name="Normal 10 3 2 6 5" xfId="25590"/>
    <cellStyle name="Normal 10 3 2 6 5 2" xfId="47835"/>
    <cellStyle name="Normal 10 3 2 7" xfId="6132"/>
    <cellStyle name="Normal 10 3 2 7 2" xfId="9466"/>
    <cellStyle name="Normal 10 3 2 7 2 2" xfId="16170"/>
    <cellStyle name="Normal 10 3 2 7 2 2 2" xfId="39591"/>
    <cellStyle name="Normal 10 3 2 7 2 3" xfId="32959"/>
    <cellStyle name="Normal 10 3 2 7 3" xfId="12854"/>
    <cellStyle name="Normal 10 3 2 7 3 2" xfId="36275"/>
    <cellStyle name="Normal 10 3 2 7 4" xfId="18293"/>
    <cellStyle name="Normal 10 3 2 7 4 2" xfId="41426"/>
    <cellStyle name="Normal 10 3 2 7 5" xfId="25628"/>
    <cellStyle name="Normal 10 3 2 7 5 2" xfId="47873"/>
    <cellStyle name="Normal 10 3 2 7 6" xfId="29643"/>
    <cellStyle name="Normal 10 3 2 8" xfId="7798"/>
    <cellStyle name="Normal 10 3 2 8 2" xfId="14512"/>
    <cellStyle name="Normal 10 3 2 8 2 2" xfId="37933"/>
    <cellStyle name="Normal 10 3 2 8 3" xfId="20669"/>
    <cellStyle name="Normal 10 3 2 8 3 2" xfId="43120"/>
    <cellStyle name="Normal 10 3 2 8 4" xfId="31301"/>
    <cellStyle name="Normal 10 3 2 9" xfId="11194"/>
    <cellStyle name="Normal 10 3 2 9 2" xfId="21563"/>
    <cellStyle name="Normal 10 3 2 9 2 2" xfId="44012"/>
    <cellStyle name="Normal 10 3 2 9 3" xfId="34617"/>
    <cellStyle name="Normal 10 3 3" xfId="1572"/>
    <cellStyle name="Normal 10 3 3 10" xfId="23498"/>
    <cellStyle name="Normal 10 3 3 10 2" xfId="45831"/>
    <cellStyle name="Normal 10 3 3 11" xfId="28015"/>
    <cellStyle name="Normal 10 3 3 2" xfId="1794"/>
    <cellStyle name="Normal 10 3 3 2 10" xfId="28146"/>
    <cellStyle name="Normal 10 3 3 2 2" xfId="2178"/>
    <cellStyle name="Normal 10 3 3 2 2 2" xfId="5451"/>
    <cellStyle name="Normal 10 3 3 2 2 2 2" xfId="7277"/>
    <cellStyle name="Normal 10 3 3 2 2 2 2 2" xfId="10608"/>
    <cellStyle name="Normal 10 3 3 2 2 2 2 2 2" xfId="17312"/>
    <cellStyle name="Normal 10 3 3 2 2 2 2 2 2 2" xfId="40733"/>
    <cellStyle name="Normal 10 3 3 2 2 2 2 2 3" xfId="23026"/>
    <cellStyle name="Normal 10 3 3 2 2 2 2 2 3 2" xfId="45448"/>
    <cellStyle name="Normal 10 3 3 2 2 2 2 2 4" xfId="34101"/>
    <cellStyle name="Normal 10 3 3 2 2 2 2 3" xfId="13996"/>
    <cellStyle name="Normal 10 3 3 2 2 2 2 3 2" xfId="37417"/>
    <cellStyle name="Normal 10 3 3 2 2 2 2 4" xfId="20198"/>
    <cellStyle name="Normal 10 3 3 2 2 2 2 4 2" xfId="42733"/>
    <cellStyle name="Normal 10 3 3 2 2 2 2 5" xfId="30785"/>
    <cellStyle name="Normal 10 3 3 2 2 2 3" xfId="8950"/>
    <cellStyle name="Normal 10 3 3 2 2 2 3 2" xfId="15654"/>
    <cellStyle name="Normal 10 3 3 2 2 2 3 2 2" xfId="39075"/>
    <cellStyle name="Normal 10 3 3 2 2 2 3 3" xfId="21138"/>
    <cellStyle name="Normal 10 3 3 2 2 2 3 3 2" xfId="43589"/>
    <cellStyle name="Normal 10 3 3 2 2 2 3 4" xfId="32443"/>
    <cellStyle name="Normal 10 3 3 2 2 2 4" xfId="12338"/>
    <cellStyle name="Normal 10 3 3 2 2 2 4 2" xfId="22211"/>
    <cellStyle name="Normal 10 3 3 2 2 2 4 2 2" xfId="44633"/>
    <cellStyle name="Normal 10 3 3 2 2 2 4 3" xfId="35759"/>
    <cellStyle name="Normal 10 3 3 2 2 2 5" xfId="19359"/>
    <cellStyle name="Normal 10 3 3 2 2 2 5 2" xfId="41901"/>
    <cellStyle name="Normal 10 3 3 2 2 2 6" xfId="25776"/>
    <cellStyle name="Normal 10 3 3 2 2 2 6 2" xfId="48021"/>
    <cellStyle name="Normal 10 3 3 2 2 2 7" xfId="29127"/>
    <cellStyle name="Normal 10 3 3 2 2 3" xfId="6370"/>
    <cellStyle name="Normal 10 3 3 2 2 3 2" xfId="9704"/>
    <cellStyle name="Normal 10 3 3 2 2 3 2 2" xfId="16408"/>
    <cellStyle name="Normal 10 3 3 2 2 3 2 2 2" xfId="39829"/>
    <cellStyle name="Normal 10 3 3 2 2 3 2 3" xfId="22619"/>
    <cellStyle name="Normal 10 3 3 2 2 3 2 3 2" xfId="45041"/>
    <cellStyle name="Normal 10 3 3 2 2 3 2 4" xfId="33197"/>
    <cellStyle name="Normal 10 3 3 2 2 3 3" xfId="13092"/>
    <cellStyle name="Normal 10 3 3 2 2 3 3 2" xfId="36513"/>
    <cellStyle name="Normal 10 3 3 2 2 3 4" xfId="19782"/>
    <cellStyle name="Normal 10 3 3 2 2 3 4 2" xfId="42317"/>
    <cellStyle name="Normal 10 3 3 2 2 3 5" xfId="29881"/>
    <cellStyle name="Normal 10 3 3 2 2 4" xfId="8037"/>
    <cellStyle name="Normal 10 3 3 2 2 4 2" xfId="14750"/>
    <cellStyle name="Normal 10 3 3 2 2 4 2 2" xfId="38171"/>
    <cellStyle name="Normal 10 3 3 2 2 4 3" xfId="20679"/>
    <cellStyle name="Normal 10 3 3 2 2 4 3 2" xfId="43130"/>
    <cellStyle name="Normal 10 3 3 2 2 4 4" xfId="31539"/>
    <cellStyle name="Normal 10 3 3 2 2 5" xfId="11432"/>
    <cellStyle name="Normal 10 3 3 2 2 5 2" xfId="21777"/>
    <cellStyle name="Normal 10 3 3 2 2 5 2 2" xfId="44219"/>
    <cellStyle name="Normal 10 3 3 2 2 5 3" xfId="34855"/>
    <cellStyle name="Normal 10 3 3 2 2 6" xfId="18532"/>
    <cellStyle name="Normal 10 3 3 2 2 6 2" xfId="41476"/>
    <cellStyle name="Normal 10 3 3 2 2 7" xfId="23428"/>
    <cellStyle name="Normal 10 3 3 2 2 7 2" xfId="45772"/>
    <cellStyle name="Normal 10 3 3 2 2 8" xfId="28223"/>
    <cellStyle name="Normal 10 3 3 2 3" xfId="2791"/>
    <cellStyle name="Normal 10 3 3 2 3 2" xfId="5883"/>
    <cellStyle name="Normal 10 3 3 2 3 2 2" xfId="7665"/>
    <cellStyle name="Normal 10 3 3 2 3 2 2 2" xfId="10994"/>
    <cellStyle name="Normal 10 3 3 2 3 2 2 2 2" xfId="17698"/>
    <cellStyle name="Normal 10 3 3 2 3 2 2 2 2 2" xfId="41119"/>
    <cellStyle name="Normal 10 3 3 2 3 2 2 2 3" xfId="34487"/>
    <cellStyle name="Normal 10 3 3 2 3 2 2 3" xfId="14382"/>
    <cellStyle name="Normal 10 3 3 2 3 2 2 3 2" xfId="37803"/>
    <cellStyle name="Normal 10 3 3 2 3 2 2 4" xfId="22826"/>
    <cellStyle name="Normal 10 3 3 2 3 2 2 4 2" xfId="45248"/>
    <cellStyle name="Normal 10 3 3 2 3 2 2 5" xfId="31171"/>
    <cellStyle name="Normal 10 3 3 2 3 2 3" xfId="9336"/>
    <cellStyle name="Normal 10 3 3 2 3 2 3 2" xfId="16040"/>
    <cellStyle name="Normal 10 3 3 2 3 2 3 2 2" xfId="39461"/>
    <cellStyle name="Normal 10 3 3 2 3 2 3 3" xfId="32829"/>
    <cellStyle name="Normal 10 3 3 2 3 2 4" xfId="12724"/>
    <cellStyle name="Normal 10 3 3 2 3 2 4 2" xfId="36145"/>
    <cellStyle name="Normal 10 3 3 2 3 2 5" xfId="19990"/>
    <cellStyle name="Normal 10 3 3 2 3 2 5 2" xfId="42525"/>
    <cellStyle name="Normal 10 3 3 2 3 2 6" xfId="27918"/>
    <cellStyle name="Normal 10 3 3 2 3 2 6 2" xfId="50163"/>
    <cellStyle name="Normal 10 3 3 2 3 2 7" xfId="29513"/>
    <cellStyle name="Normal 10 3 3 2 3 3" xfId="6766"/>
    <cellStyle name="Normal 10 3 3 2 3 3 2" xfId="10098"/>
    <cellStyle name="Normal 10 3 3 2 3 3 2 2" xfId="16802"/>
    <cellStyle name="Normal 10 3 3 2 3 3 2 2 2" xfId="40223"/>
    <cellStyle name="Normal 10 3 3 2 3 3 2 3" xfId="33591"/>
    <cellStyle name="Normal 10 3 3 2 3 3 3" xfId="13486"/>
    <cellStyle name="Normal 10 3 3 2 3 3 3 2" xfId="36907"/>
    <cellStyle name="Normal 10 3 3 2 3 3 4" xfId="21137"/>
    <cellStyle name="Normal 10 3 3 2 3 3 4 2" xfId="43588"/>
    <cellStyle name="Normal 10 3 3 2 3 3 5" xfId="30275"/>
    <cellStyle name="Normal 10 3 3 2 3 4" xfId="8432"/>
    <cellStyle name="Normal 10 3 3 2 3 4 2" xfId="15144"/>
    <cellStyle name="Normal 10 3 3 2 3 4 2 2" xfId="38565"/>
    <cellStyle name="Normal 10 3 3 2 3 4 3" xfId="21998"/>
    <cellStyle name="Normal 10 3 3 2 3 4 3 2" xfId="44426"/>
    <cellStyle name="Normal 10 3 3 2 3 4 4" xfId="31933"/>
    <cellStyle name="Normal 10 3 3 2 3 5" xfId="11826"/>
    <cellStyle name="Normal 10 3 3 2 3 5 2" xfId="35249"/>
    <cellStyle name="Normal 10 3 3 2 3 6" xfId="19136"/>
    <cellStyle name="Normal 10 3 3 2 3 6 2" xfId="41693"/>
    <cellStyle name="Normal 10 3 3 2 3 7" xfId="25613"/>
    <cellStyle name="Normal 10 3 3 2 3 7 2" xfId="47858"/>
    <cellStyle name="Normal 10 3 3 2 3 8" xfId="28617"/>
    <cellStyle name="Normal 10 3 3 2 4" xfId="3788"/>
    <cellStyle name="Normal 10 3 3 2 4 2" xfId="6925"/>
    <cellStyle name="Normal 10 3 3 2 4 2 2" xfId="10257"/>
    <cellStyle name="Normal 10 3 3 2 4 2 2 2" xfId="16961"/>
    <cellStyle name="Normal 10 3 3 2 4 2 2 2 2" xfId="40382"/>
    <cellStyle name="Normal 10 3 3 2 4 2 2 3" xfId="33750"/>
    <cellStyle name="Normal 10 3 3 2 4 2 3" xfId="13645"/>
    <cellStyle name="Normal 10 3 3 2 4 2 3 2" xfId="37066"/>
    <cellStyle name="Normal 10 3 3 2 4 2 4" xfId="22419"/>
    <cellStyle name="Normal 10 3 3 2 4 2 4 2" xfId="44841"/>
    <cellStyle name="Normal 10 3 3 2 4 2 5" xfId="30434"/>
    <cellStyle name="Normal 10 3 3 2 4 3" xfId="8592"/>
    <cellStyle name="Normal 10 3 3 2 4 3 2" xfId="15303"/>
    <cellStyle name="Normal 10 3 3 2 4 3 2 2" xfId="38724"/>
    <cellStyle name="Normal 10 3 3 2 4 3 3" xfId="32092"/>
    <cellStyle name="Normal 10 3 3 2 4 4" xfId="11985"/>
    <cellStyle name="Normal 10 3 3 2 4 4 2" xfId="35408"/>
    <cellStyle name="Normal 10 3 3 2 4 5" xfId="19572"/>
    <cellStyle name="Normal 10 3 3 2 4 5 2" xfId="42109"/>
    <cellStyle name="Normal 10 3 3 2 4 6" xfId="25650"/>
    <cellStyle name="Normal 10 3 3 2 4 6 2" xfId="47895"/>
    <cellStyle name="Normal 10 3 3 2 4 7" xfId="28776"/>
    <cellStyle name="Normal 10 3 3 2 5" xfId="6293"/>
    <cellStyle name="Normal 10 3 3 2 5 2" xfId="9627"/>
    <cellStyle name="Normal 10 3 3 2 5 2 2" xfId="16331"/>
    <cellStyle name="Normal 10 3 3 2 5 2 2 2" xfId="39752"/>
    <cellStyle name="Normal 10 3 3 2 5 2 3" xfId="33120"/>
    <cellStyle name="Normal 10 3 3 2 5 3" xfId="13015"/>
    <cellStyle name="Normal 10 3 3 2 5 3 2" xfId="36436"/>
    <cellStyle name="Normal 10 3 3 2 5 4" xfId="20678"/>
    <cellStyle name="Normal 10 3 3 2 5 4 2" xfId="43129"/>
    <cellStyle name="Normal 10 3 3 2 5 5" xfId="29804"/>
    <cellStyle name="Normal 10 3 3 2 6" xfId="7959"/>
    <cellStyle name="Normal 10 3 3 2 6 2" xfId="14673"/>
    <cellStyle name="Normal 10 3 3 2 6 2 2" xfId="38094"/>
    <cellStyle name="Normal 10 3 3 2 6 3" xfId="21568"/>
    <cellStyle name="Normal 10 3 3 2 6 3 2" xfId="44017"/>
    <cellStyle name="Normal 10 3 3 2 6 4" xfId="31462"/>
    <cellStyle name="Normal 10 3 3 2 7" xfId="11355"/>
    <cellStyle name="Normal 10 3 3 2 7 2" xfId="34778"/>
    <cellStyle name="Normal 10 3 3 2 8" xfId="17931"/>
    <cellStyle name="Normal 10 3 3 2 8 2" xfId="41240"/>
    <cellStyle name="Normal 10 3 3 2 9" xfId="23499"/>
    <cellStyle name="Normal 10 3 3 2 9 2" xfId="45832"/>
    <cellStyle name="Normal 10 3 3 3" xfId="2177"/>
    <cellStyle name="Normal 10 3 3 3 2" xfId="5450"/>
    <cellStyle name="Normal 10 3 3 3 2 2" xfId="7276"/>
    <cellStyle name="Normal 10 3 3 3 2 2 2" xfId="10607"/>
    <cellStyle name="Normal 10 3 3 3 2 2 2 2" xfId="17311"/>
    <cellStyle name="Normal 10 3 3 3 2 2 2 2 2" xfId="40732"/>
    <cellStyle name="Normal 10 3 3 3 2 2 2 3" xfId="23025"/>
    <cellStyle name="Normal 10 3 3 3 2 2 2 3 2" xfId="45447"/>
    <cellStyle name="Normal 10 3 3 3 2 2 2 4" xfId="34100"/>
    <cellStyle name="Normal 10 3 3 3 2 2 3" xfId="13995"/>
    <cellStyle name="Normal 10 3 3 3 2 2 3 2" xfId="37416"/>
    <cellStyle name="Normal 10 3 3 3 2 2 4" xfId="20197"/>
    <cellStyle name="Normal 10 3 3 3 2 2 4 2" xfId="42732"/>
    <cellStyle name="Normal 10 3 3 3 2 2 5" xfId="30784"/>
    <cellStyle name="Normal 10 3 3 3 2 3" xfId="8949"/>
    <cellStyle name="Normal 10 3 3 3 2 3 2" xfId="15653"/>
    <cellStyle name="Normal 10 3 3 3 2 3 2 2" xfId="39074"/>
    <cellStyle name="Normal 10 3 3 3 2 3 3" xfId="21139"/>
    <cellStyle name="Normal 10 3 3 3 2 3 3 2" xfId="43590"/>
    <cellStyle name="Normal 10 3 3 3 2 3 4" xfId="32442"/>
    <cellStyle name="Normal 10 3 3 3 2 4" xfId="12337"/>
    <cellStyle name="Normal 10 3 3 3 2 4 2" xfId="22210"/>
    <cellStyle name="Normal 10 3 3 3 2 4 2 2" xfId="44632"/>
    <cellStyle name="Normal 10 3 3 3 2 4 3" xfId="35758"/>
    <cellStyle name="Normal 10 3 3 3 2 5" xfId="19358"/>
    <cellStyle name="Normal 10 3 3 3 2 5 2" xfId="41900"/>
    <cellStyle name="Normal 10 3 3 3 2 6" xfId="25775"/>
    <cellStyle name="Normal 10 3 3 3 2 6 2" xfId="48020"/>
    <cellStyle name="Normal 10 3 3 3 2 7" xfId="29126"/>
    <cellStyle name="Normal 10 3 3 3 3" xfId="6369"/>
    <cellStyle name="Normal 10 3 3 3 3 2" xfId="9703"/>
    <cellStyle name="Normal 10 3 3 3 3 2 2" xfId="16407"/>
    <cellStyle name="Normal 10 3 3 3 3 2 2 2" xfId="39828"/>
    <cellStyle name="Normal 10 3 3 3 3 2 3" xfId="22618"/>
    <cellStyle name="Normal 10 3 3 3 3 2 3 2" xfId="45040"/>
    <cellStyle name="Normal 10 3 3 3 3 2 4" xfId="33196"/>
    <cellStyle name="Normal 10 3 3 3 3 3" xfId="13091"/>
    <cellStyle name="Normal 10 3 3 3 3 3 2" xfId="36512"/>
    <cellStyle name="Normal 10 3 3 3 3 4" xfId="19781"/>
    <cellStyle name="Normal 10 3 3 3 3 4 2" xfId="42316"/>
    <cellStyle name="Normal 10 3 3 3 3 5" xfId="29880"/>
    <cellStyle name="Normal 10 3 3 3 4" xfId="8036"/>
    <cellStyle name="Normal 10 3 3 3 4 2" xfId="14749"/>
    <cellStyle name="Normal 10 3 3 3 4 2 2" xfId="38170"/>
    <cellStyle name="Normal 10 3 3 3 4 3" xfId="20680"/>
    <cellStyle name="Normal 10 3 3 3 4 3 2" xfId="43131"/>
    <cellStyle name="Normal 10 3 3 3 4 4" xfId="31538"/>
    <cellStyle name="Normal 10 3 3 3 5" xfId="11431"/>
    <cellStyle name="Normal 10 3 3 3 5 2" xfId="21776"/>
    <cellStyle name="Normal 10 3 3 3 5 2 2" xfId="44218"/>
    <cellStyle name="Normal 10 3 3 3 5 3" xfId="34854"/>
    <cellStyle name="Normal 10 3 3 3 6" xfId="18531"/>
    <cellStyle name="Normal 10 3 3 3 6 2" xfId="41475"/>
    <cellStyle name="Normal 10 3 3 3 7" xfId="23238"/>
    <cellStyle name="Normal 10 3 3 3 7 2" xfId="45638"/>
    <cellStyle name="Normal 10 3 3 3 8" xfId="28222"/>
    <cellStyle name="Normal 10 3 3 4" xfId="2659"/>
    <cellStyle name="Normal 10 3 3 4 2" xfId="5752"/>
    <cellStyle name="Normal 10 3 3 4 2 2" xfId="7534"/>
    <cellStyle name="Normal 10 3 3 4 2 2 2" xfId="10863"/>
    <cellStyle name="Normal 10 3 3 4 2 2 2 2" xfId="17567"/>
    <cellStyle name="Normal 10 3 3 4 2 2 2 2 2" xfId="40988"/>
    <cellStyle name="Normal 10 3 3 4 2 2 2 3" xfId="34356"/>
    <cellStyle name="Normal 10 3 3 4 2 2 3" xfId="14251"/>
    <cellStyle name="Normal 10 3 3 4 2 2 3 2" xfId="37672"/>
    <cellStyle name="Normal 10 3 3 4 2 2 4" xfId="22825"/>
    <cellStyle name="Normal 10 3 3 4 2 2 4 2" xfId="45247"/>
    <cellStyle name="Normal 10 3 3 4 2 2 5" xfId="31040"/>
    <cellStyle name="Normal 10 3 3 4 2 3" xfId="9205"/>
    <cellStyle name="Normal 10 3 3 4 2 3 2" xfId="15909"/>
    <cellStyle name="Normal 10 3 3 4 2 3 2 2" xfId="39330"/>
    <cellStyle name="Normal 10 3 3 4 2 3 3" xfId="32698"/>
    <cellStyle name="Normal 10 3 3 4 2 4" xfId="12593"/>
    <cellStyle name="Normal 10 3 3 4 2 4 2" xfId="36014"/>
    <cellStyle name="Normal 10 3 3 4 2 5" xfId="19989"/>
    <cellStyle name="Normal 10 3 3 4 2 5 2" xfId="42524"/>
    <cellStyle name="Normal 10 3 3 4 2 6" xfId="27899"/>
    <cellStyle name="Normal 10 3 3 4 2 6 2" xfId="50144"/>
    <cellStyle name="Normal 10 3 3 4 2 7" xfId="29382"/>
    <cellStyle name="Normal 10 3 3 4 3" xfId="6635"/>
    <cellStyle name="Normal 10 3 3 4 3 2" xfId="9967"/>
    <cellStyle name="Normal 10 3 3 4 3 2 2" xfId="16671"/>
    <cellStyle name="Normal 10 3 3 4 3 2 2 2" xfId="40092"/>
    <cellStyle name="Normal 10 3 3 4 3 2 3" xfId="33460"/>
    <cellStyle name="Normal 10 3 3 4 3 3" xfId="13355"/>
    <cellStyle name="Normal 10 3 3 4 3 3 2" xfId="36776"/>
    <cellStyle name="Normal 10 3 3 4 3 4" xfId="21136"/>
    <cellStyle name="Normal 10 3 3 4 3 4 2" xfId="43587"/>
    <cellStyle name="Normal 10 3 3 4 3 5" xfId="30144"/>
    <cellStyle name="Normal 10 3 3 4 4" xfId="8301"/>
    <cellStyle name="Normal 10 3 3 4 4 2" xfId="15013"/>
    <cellStyle name="Normal 10 3 3 4 4 2 2" xfId="38434"/>
    <cellStyle name="Normal 10 3 3 4 4 3" xfId="21997"/>
    <cellStyle name="Normal 10 3 3 4 4 3 2" xfId="44425"/>
    <cellStyle name="Normal 10 3 3 4 4 4" xfId="31802"/>
    <cellStyle name="Normal 10 3 3 4 5" xfId="11695"/>
    <cellStyle name="Normal 10 3 3 4 5 2" xfId="35118"/>
    <cellStyle name="Normal 10 3 3 4 6" xfId="19135"/>
    <cellStyle name="Normal 10 3 3 4 6 2" xfId="41692"/>
    <cellStyle name="Normal 10 3 3 4 7" xfId="25594"/>
    <cellStyle name="Normal 10 3 3 4 7 2" xfId="47839"/>
    <cellStyle name="Normal 10 3 3 4 8" xfId="28486"/>
    <cellStyle name="Normal 10 3 3 5" xfId="3787"/>
    <cellStyle name="Normal 10 3 3 5 2" xfId="6924"/>
    <cellStyle name="Normal 10 3 3 5 2 2" xfId="10256"/>
    <cellStyle name="Normal 10 3 3 5 2 2 2" xfId="16960"/>
    <cellStyle name="Normal 10 3 3 5 2 2 2 2" xfId="40381"/>
    <cellStyle name="Normal 10 3 3 5 2 2 3" xfId="33749"/>
    <cellStyle name="Normal 10 3 3 5 2 3" xfId="13644"/>
    <cellStyle name="Normal 10 3 3 5 2 3 2" xfId="37065"/>
    <cellStyle name="Normal 10 3 3 5 2 4" xfId="22418"/>
    <cellStyle name="Normal 10 3 3 5 2 4 2" xfId="44840"/>
    <cellStyle name="Normal 10 3 3 5 2 5" xfId="30433"/>
    <cellStyle name="Normal 10 3 3 5 3" xfId="8591"/>
    <cellStyle name="Normal 10 3 3 5 3 2" xfId="15302"/>
    <cellStyle name="Normal 10 3 3 5 3 2 2" xfId="38723"/>
    <cellStyle name="Normal 10 3 3 5 3 3" xfId="32091"/>
    <cellStyle name="Normal 10 3 3 5 4" xfId="11984"/>
    <cellStyle name="Normal 10 3 3 5 4 2" xfId="35407"/>
    <cellStyle name="Normal 10 3 3 5 5" xfId="19571"/>
    <cellStyle name="Normal 10 3 3 5 5 2" xfId="42108"/>
    <cellStyle name="Normal 10 3 3 5 6" xfId="25632"/>
    <cellStyle name="Normal 10 3 3 5 6 2" xfId="47877"/>
    <cellStyle name="Normal 10 3 3 5 7" xfId="28775"/>
    <cellStyle name="Normal 10 3 3 6" xfId="6162"/>
    <cellStyle name="Normal 10 3 3 6 2" xfId="9496"/>
    <cellStyle name="Normal 10 3 3 6 2 2" xfId="16200"/>
    <cellStyle name="Normal 10 3 3 6 2 2 2" xfId="39621"/>
    <cellStyle name="Normal 10 3 3 6 2 3" xfId="32989"/>
    <cellStyle name="Normal 10 3 3 6 3" xfId="12884"/>
    <cellStyle name="Normal 10 3 3 6 3 2" xfId="36305"/>
    <cellStyle name="Normal 10 3 3 6 4" xfId="20677"/>
    <cellStyle name="Normal 10 3 3 6 4 2" xfId="43128"/>
    <cellStyle name="Normal 10 3 3 6 5" xfId="29673"/>
    <cellStyle name="Normal 10 3 3 7" xfId="7828"/>
    <cellStyle name="Normal 10 3 3 7 2" xfId="14542"/>
    <cellStyle name="Normal 10 3 3 7 2 2" xfId="37963"/>
    <cellStyle name="Normal 10 3 3 7 3" xfId="21567"/>
    <cellStyle name="Normal 10 3 3 7 3 2" xfId="44016"/>
    <cellStyle name="Normal 10 3 3 7 4" xfId="31331"/>
    <cellStyle name="Normal 10 3 3 8" xfId="11224"/>
    <cellStyle name="Normal 10 3 3 8 2" xfId="34647"/>
    <cellStyle name="Normal 10 3 3 9" xfId="17930"/>
    <cellStyle name="Normal 10 3 3 9 2" xfId="41239"/>
    <cellStyle name="Normal 10 3 4" xfId="1728"/>
    <cellStyle name="Normal 10 3 4 10" xfId="28080"/>
    <cellStyle name="Normal 10 3 4 2" xfId="2179"/>
    <cellStyle name="Normal 10 3 4 2 2" xfId="5452"/>
    <cellStyle name="Normal 10 3 4 2 2 2" xfId="7278"/>
    <cellStyle name="Normal 10 3 4 2 2 2 2" xfId="10609"/>
    <cellStyle name="Normal 10 3 4 2 2 2 2 2" xfId="17313"/>
    <cellStyle name="Normal 10 3 4 2 2 2 2 2 2" xfId="40734"/>
    <cellStyle name="Normal 10 3 4 2 2 2 2 3" xfId="23027"/>
    <cellStyle name="Normal 10 3 4 2 2 2 2 3 2" xfId="45449"/>
    <cellStyle name="Normal 10 3 4 2 2 2 2 4" xfId="34102"/>
    <cellStyle name="Normal 10 3 4 2 2 2 3" xfId="13997"/>
    <cellStyle name="Normal 10 3 4 2 2 2 3 2" xfId="37418"/>
    <cellStyle name="Normal 10 3 4 2 2 2 4" xfId="20199"/>
    <cellStyle name="Normal 10 3 4 2 2 2 4 2" xfId="42734"/>
    <cellStyle name="Normal 10 3 4 2 2 2 5" xfId="27922"/>
    <cellStyle name="Normal 10 3 4 2 2 2 5 2" xfId="50167"/>
    <cellStyle name="Normal 10 3 4 2 2 2 6" xfId="30786"/>
    <cellStyle name="Normal 10 3 4 2 2 3" xfId="8951"/>
    <cellStyle name="Normal 10 3 4 2 2 3 2" xfId="15655"/>
    <cellStyle name="Normal 10 3 4 2 2 3 2 2" xfId="39076"/>
    <cellStyle name="Normal 10 3 4 2 2 3 3" xfId="21141"/>
    <cellStyle name="Normal 10 3 4 2 2 3 3 2" xfId="43592"/>
    <cellStyle name="Normal 10 3 4 2 2 3 4" xfId="32444"/>
    <cellStyle name="Normal 10 3 4 2 2 4" xfId="12339"/>
    <cellStyle name="Normal 10 3 4 2 2 4 2" xfId="22212"/>
    <cellStyle name="Normal 10 3 4 2 2 4 2 2" xfId="44634"/>
    <cellStyle name="Normal 10 3 4 2 2 4 3" xfId="35760"/>
    <cellStyle name="Normal 10 3 4 2 2 5" xfId="19360"/>
    <cellStyle name="Normal 10 3 4 2 2 5 2" xfId="41902"/>
    <cellStyle name="Normal 10 3 4 2 2 6" xfId="25617"/>
    <cellStyle name="Normal 10 3 4 2 2 6 2" xfId="47862"/>
    <cellStyle name="Normal 10 3 4 2 2 7" xfId="29128"/>
    <cellStyle name="Normal 10 3 4 2 3" xfId="6371"/>
    <cellStyle name="Normal 10 3 4 2 3 2" xfId="9705"/>
    <cellStyle name="Normal 10 3 4 2 3 2 2" xfId="16409"/>
    <cellStyle name="Normal 10 3 4 2 3 2 2 2" xfId="39830"/>
    <cellStyle name="Normal 10 3 4 2 3 2 3" xfId="22620"/>
    <cellStyle name="Normal 10 3 4 2 3 2 3 2" xfId="45042"/>
    <cellStyle name="Normal 10 3 4 2 3 2 4" xfId="33198"/>
    <cellStyle name="Normal 10 3 4 2 3 3" xfId="13093"/>
    <cellStyle name="Normal 10 3 4 2 3 3 2" xfId="36514"/>
    <cellStyle name="Normal 10 3 4 2 3 4" xfId="19783"/>
    <cellStyle name="Normal 10 3 4 2 3 4 2" xfId="42318"/>
    <cellStyle name="Normal 10 3 4 2 3 5" xfId="25654"/>
    <cellStyle name="Normal 10 3 4 2 3 5 2" xfId="47899"/>
    <cellStyle name="Normal 10 3 4 2 3 6" xfId="29882"/>
    <cellStyle name="Normal 10 3 4 2 4" xfId="8038"/>
    <cellStyle name="Normal 10 3 4 2 4 2" xfId="14751"/>
    <cellStyle name="Normal 10 3 4 2 4 2 2" xfId="38172"/>
    <cellStyle name="Normal 10 3 4 2 4 3" xfId="20682"/>
    <cellStyle name="Normal 10 3 4 2 4 3 2" xfId="43133"/>
    <cellStyle name="Normal 10 3 4 2 4 4" xfId="31540"/>
    <cellStyle name="Normal 10 3 4 2 5" xfId="11433"/>
    <cellStyle name="Normal 10 3 4 2 5 2" xfId="21778"/>
    <cellStyle name="Normal 10 3 4 2 5 2 2" xfId="44220"/>
    <cellStyle name="Normal 10 3 4 2 5 3" xfId="34856"/>
    <cellStyle name="Normal 10 3 4 2 6" xfId="18533"/>
    <cellStyle name="Normal 10 3 4 2 6 2" xfId="41477"/>
    <cellStyle name="Normal 10 3 4 2 7" xfId="23347"/>
    <cellStyle name="Normal 10 3 4 2 7 2" xfId="45694"/>
    <cellStyle name="Normal 10 3 4 2 8" xfId="28224"/>
    <cellStyle name="Normal 10 3 4 3" xfId="2725"/>
    <cellStyle name="Normal 10 3 4 3 2" xfId="5817"/>
    <cellStyle name="Normal 10 3 4 3 2 2" xfId="7599"/>
    <cellStyle name="Normal 10 3 4 3 2 2 2" xfId="10928"/>
    <cellStyle name="Normal 10 3 4 3 2 2 2 2" xfId="17632"/>
    <cellStyle name="Normal 10 3 4 3 2 2 2 2 2" xfId="41053"/>
    <cellStyle name="Normal 10 3 4 3 2 2 2 3" xfId="34421"/>
    <cellStyle name="Normal 10 3 4 3 2 2 3" xfId="14316"/>
    <cellStyle name="Normal 10 3 4 3 2 2 3 2" xfId="37737"/>
    <cellStyle name="Normal 10 3 4 3 2 2 4" xfId="22827"/>
    <cellStyle name="Normal 10 3 4 3 2 2 4 2" xfId="45249"/>
    <cellStyle name="Normal 10 3 4 3 2 2 5" xfId="31105"/>
    <cellStyle name="Normal 10 3 4 3 2 3" xfId="9270"/>
    <cellStyle name="Normal 10 3 4 3 2 3 2" xfId="15974"/>
    <cellStyle name="Normal 10 3 4 3 2 3 2 2" xfId="39395"/>
    <cellStyle name="Normal 10 3 4 3 2 3 3" xfId="32763"/>
    <cellStyle name="Normal 10 3 4 3 2 4" xfId="12658"/>
    <cellStyle name="Normal 10 3 4 3 2 4 2" xfId="36079"/>
    <cellStyle name="Normal 10 3 4 3 2 5" xfId="19991"/>
    <cellStyle name="Normal 10 3 4 3 2 5 2" xfId="42526"/>
    <cellStyle name="Normal 10 3 4 3 2 6" xfId="25777"/>
    <cellStyle name="Normal 10 3 4 3 2 6 2" xfId="48022"/>
    <cellStyle name="Normal 10 3 4 3 2 7" xfId="29447"/>
    <cellStyle name="Normal 10 3 4 3 3" xfId="6700"/>
    <cellStyle name="Normal 10 3 4 3 3 2" xfId="10032"/>
    <cellStyle name="Normal 10 3 4 3 3 2 2" xfId="16736"/>
    <cellStyle name="Normal 10 3 4 3 3 2 2 2" xfId="40157"/>
    <cellStyle name="Normal 10 3 4 3 3 2 3" xfId="33525"/>
    <cellStyle name="Normal 10 3 4 3 3 3" xfId="13420"/>
    <cellStyle name="Normal 10 3 4 3 3 3 2" xfId="36841"/>
    <cellStyle name="Normal 10 3 4 3 3 4" xfId="21140"/>
    <cellStyle name="Normal 10 3 4 3 3 4 2" xfId="43591"/>
    <cellStyle name="Normal 10 3 4 3 3 5" xfId="30209"/>
    <cellStyle name="Normal 10 3 4 3 4" xfId="8366"/>
    <cellStyle name="Normal 10 3 4 3 4 2" xfId="15078"/>
    <cellStyle name="Normal 10 3 4 3 4 2 2" xfId="38499"/>
    <cellStyle name="Normal 10 3 4 3 4 3" xfId="21999"/>
    <cellStyle name="Normal 10 3 4 3 4 3 2" xfId="44427"/>
    <cellStyle name="Normal 10 3 4 3 4 4" xfId="31867"/>
    <cellStyle name="Normal 10 3 4 3 5" xfId="11760"/>
    <cellStyle name="Normal 10 3 4 3 5 2" xfId="35183"/>
    <cellStyle name="Normal 10 3 4 3 6" xfId="19137"/>
    <cellStyle name="Normal 10 3 4 3 6 2" xfId="41694"/>
    <cellStyle name="Normal 10 3 4 3 7" xfId="23429"/>
    <cellStyle name="Normal 10 3 4 3 7 2" xfId="45773"/>
    <cellStyle name="Normal 10 3 4 3 8" xfId="28551"/>
    <cellStyle name="Normal 10 3 4 4" xfId="3789"/>
    <cellStyle name="Normal 10 3 4 4 2" xfId="6926"/>
    <cellStyle name="Normal 10 3 4 4 2 2" xfId="10258"/>
    <cellStyle name="Normal 10 3 4 4 2 2 2" xfId="16962"/>
    <cellStyle name="Normal 10 3 4 4 2 2 2 2" xfId="40383"/>
    <cellStyle name="Normal 10 3 4 4 2 2 3" xfId="33751"/>
    <cellStyle name="Normal 10 3 4 4 2 3" xfId="13646"/>
    <cellStyle name="Normal 10 3 4 4 2 3 2" xfId="37067"/>
    <cellStyle name="Normal 10 3 4 4 2 4" xfId="22420"/>
    <cellStyle name="Normal 10 3 4 4 2 4 2" xfId="44842"/>
    <cellStyle name="Normal 10 3 4 4 2 5" xfId="27903"/>
    <cellStyle name="Normal 10 3 4 4 2 5 2" xfId="50148"/>
    <cellStyle name="Normal 10 3 4 4 2 6" xfId="30435"/>
    <cellStyle name="Normal 10 3 4 4 3" xfId="8593"/>
    <cellStyle name="Normal 10 3 4 4 3 2" xfId="15304"/>
    <cellStyle name="Normal 10 3 4 4 3 2 2" xfId="38725"/>
    <cellStyle name="Normal 10 3 4 4 3 3" xfId="32093"/>
    <cellStyle name="Normal 10 3 4 4 4" xfId="11986"/>
    <cellStyle name="Normal 10 3 4 4 4 2" xfId="35409"/>
    <cellStyle name="Normal 10 3 4 4 5" xfId="19573"/>
    <cellStyle name="Normal 10 3 4 4 5 2" xfId="42110"/>
    <cellStyle name="Normal 10 3 4 4 6" xfId="25598"/>
    <cellStyle name="Normal 10 3 4 4 6 2" xfId="47843"/>
    <cellStyle name="Normal 10 3 4 4 7" xfId="28777"/>
    <cellStyle name="Normal 10 3 4 5" xfId="6227"/>
    <cellStyle name="Normal 10 3 4 5 2" xfId="9561"/>
    <cellStyle name="Normal 10 3 4 5 2 2" xfId="16265"/>
    <cellStyle name="Normal 10 3 4 5 2 2 2" xfId="39686"/>
    <cellStyle name="Normal 10 3 4 5 2 3" xfId="33054"/>
    <cellStyle name="Normal 10 3 4 5 3" xfId="12949"/>
    <cellStyle name="Normal 10 3 4 5 3 2" xfId="36370"/>
    <cellStyle name="Normal 10 3 4 5 4" xfId="20681"/>
    <cellStyle name="Normal 10 3 4 5 4 2" xfId="43132"/>
    <cellStyle name="Normal 10 3 4 5 5" xfId="25635"/>
    <cellStyle name="Normal 10 3 4 5 5 2" xfId="47880"/>
    <cellStyle name="Normal 10 3 4 5 6" xfId="29738"/>
    <cellStyle name="Normal 10 3 4 6" xfId="7893"/>
    <cellStyle name="Normal 10 3 4 6 2" xfId="14607"/>
    <cellStyle name="Normal 10 3 4 6 2 2" xfId="38028"/>
    <cellStyle name="Normal 10 3 4 6 3" xfId="21569"/>
    <cellStyle name="Normal 10 3 4 6 3 2" xfId="44018"/>
    <cellStyle name="Normal 10 3 4 6 4" xfId="31396"/>
    <cellStyle name="Normal 10 3 4 7" xfId="11289"/>
    <cellStyle name="Normal 10 3 4 7 2" xfId="34712"/>
    <cellStyle name="Normal 10 3 4 8" xfId="17932"/>
    <cellStyle name="Normal 10 3 4 8 2" xfId="41241"/>
    <cellStyle name="Normal 10 3 4 9" xfId="23500"/>
    <cellStyle name="Normal 10 3 4 9 2" xfId="45833"/>
    <cellStyle name="Normal 10 3 5" xfId="2172"/>
    <cellStyle name="Normal 10 3 5 2" xfId="5106"/>
    <cellStyle name="Normal 10 3 5 2 2" xfId="7178"/>
    <cellStyle name="Normal 10 3 5 2 2 2" xfId="10509"/>
    <cellStyle name="Normal 10 3 5 2 2 2 2" xfId="17213"/>
    <cellStyle name="Normal 10 3 5 2 2 2 2 2" xfId="40634"/>
    <cellStyle name="Normal 10 3 5 2 2 2 3" xfId="23020"/>
    <cellStyle name="Normal 10 3 5 2 2 2 3 2" xfId="45442"/>
    <cellStyle name="Normal 10 3 5 2 2 2 4" xfId="27924"/>
    <cellStyle name="Normal 10 3 5 2 2 2 4 2" xfId="50169"/>
    <cellStyle name="Normal 10 3 5 2 2 2 5" xfId="34002"/>
    <cellStyle name="Normal 10 3 5 2 2 3" xfId="13897"/>
    <cellStyle name="Normal 10 3 5 2 2 3 2" xfId="37318"/>
    <cellStyle name="Normal 10 3 5 2 2 4" xfId="20192"/>
    <cellStyle name="Normal 10 3 5 2 2 4 2" xfId="42727"/>
    <cellStyle name="Normal 10 3 5 2 2 5" xfId="25619"/>
    <cellStyle name="Normal 10 3 5 2 2 5 2" xfId="47864"/>
    <cellStyle name="Normal 10 3 5 2 2 6" xfId="30686"/>
    <cellStyle name="Normal 10 3 5 2 3" xfId="8849"/>
    <cellStyle name="Normal 10 3 5 2 3 2" xfId="15555"/>
    <cellStyle name="Normal 10 3 5 2 3 2 2" xfId="38976"/>
    <cellStyle name="Normal 10 3 5 2 3 3" xfId="21142"/>
    <cellStyle name="Normal 10 3 5 2 3 3 2" xfId="43593"/>
    <cellStyle name="Normal 10 3 5 2 3 4" xfId="25656"/>
    <cellStyle name="Normal 10 3 5 2 3 4 2" xfId="47901"/>
    <cellStyle name="Normal 10 3 5 2 3 5" xfId="32344"/>
    <cellStyle name="Normal 10 3 5 2 4" xfId="12238"/>
    <cellStyle name="Normal 10 3 5 2 4 2" xfId="22205"/>
    <cellStyle name="Normal 10 3 5 2 4 2 2" xfId="44627"/>
    <cellStyle name="Normal 10 3 5 2 4 3" xfId="35660"/>
    <cellStyle name="Normal 10 3 5 2 5" xfId="19353"/>
    <cellStyle name="Normal 10 3 5 2 5 2" xfId="41895"/>
    <cellStyle name="Normal 10 3 5 2 6" xfId="23349"/>
    <cellStyle name="Normal 10 3 5 2 6 2" xfId="45696"/>
    <cellStyle name="Normal 10 3 5 2 7" xfId="29028"/>
    <cellStyle name="Normal 10 3 5 3" xfId="6364"/>
    <cellStyle name="Normal 10 3 5 3 2" xfId="9698"/>
    <cellStyle name="Normal 10 3 5 3 2 2" xfId="16402"/>
    <cellStyle name="Normal 10 3 5 3 2 2 2" xfId="39823"/>
    <cellStyle name="Normal 10 3 5 3 2 3" xfId="22613"/>
    <cellStyle name="Normal 10 3 5 3 2 3 2" xfId="45035"/>
    <cellStyle name="Normal 10 3 5 3 2 4" xfId="26020"/>
    <cellStyle name="Normal 10 3 5 3 2 4 2" xfId="48265"/>
    <cellStyle name="Normal 10 3 5 3 2 5" xfId="33191"/>
    <cellStyle name="Normal 10 3 5 3 3" xfId="13086"/>
    <cellStyle name="Normal 10 3 5 3 3 2" xfId="36507"/>
    <cellStyle name="Normal 10 3 5 3 4" xfId="19776"/>
    <cellStyle name="Normal 10 3 5 3 4 2" xfId="42311"/>
    <cellStyle name="Normal 10 3 5 3 5" xfId="23833"/>
    <cellStyle name="Normal 10 3 5 3 5 2" xfId="46080"/>
    <cellStyle name="Normal 10 3 5 3 6" xfId="29875"/>
    <cellStyle name="Normal 10 3 5 4" xfId="8031"/>
    <cellStyle name="Normal 10 3 5 4 2" xfId="14744"/>
    <cellStyle name="Normal 10 3 5 4 2 2" xfId="27905"/>
    <cellStyle name="Normal 10 3 5 4 2 2 2" xfId="50150"/>
    <cellStyle name="Normal 10 3 5 4 2 3" xfId="38165"/>
    <cellStyle name="Normal 10 3 5 4 3" xfId="20683"/>
    <cellStyle name="Normal 10 3 5 4 3 2" xfId="43134"/>
    <cellStyle name="Normal 10 3 5 4 4" xfId="25600"/>
    <cellStyle name="Normal 10 3 5 4 4 2" xfId="47845"/>
    <cellStyle name="Normal 10 3 5 4 5" xfId="31533"/>
    <cellStyle name="Normal 10 3 5 5" xfId="11426"/>
    <cellStyle name="Normal 10 3 5 5 2" xfId="21771"/>
    <cellStyle name="Normal 10 3 5 5 2 2" xfId="44213"/>
    <cellStyle name="Normal 10 3 5 5 3" xfId="25637"/>
    <cellStyle name="Normal 10 3 5 5 3 2" xfId="47882"/>
    <cellStyle name="Normal 10 3 5 5 4" xfId="34849"/>
    <cellStyle name="Normal 10 3 5 6" xfId="18526"/>
    <cellStyle name="Normal 10 3 5 6 2" xfId="41470"/>
    <cellStyle name="Normal 10 3 5 7" xfId="23808"/>
    <cellStyle name="Normal 10 3 5 7 2" xfId="46073"/>
    <cellStyle name="Normal 10 3 5 8" xfId="28217"/>
    <cellStyle name="Normal 10 3 6" xfId="2128"/>
    <cellStyle name="Normal 10 3 6 2" xfId="19984"/>
    <cellStyle name="Normal 10 3 6 2 2" xfId="22820"/>
    <cellStyle name="Normal 10 3 6 2 2 2" xfId="27910"/>
    <cellStyle name="Normal 10 3 6 2 2 2 2" xfId="50155"/>
    <cellStyle name="Normal 10 3 6 2 2 3" xfId="45242"/>
    <cellStyle name="Normal 10 3 6 2 3" xfId="18224"/>
    <cellStyle name="Normal 10 3 6 2 4" xfId="25605"/>
    <cellStyle name="Normal 10 3 6 2 4 2" xfId="47850"/>
    <cellStyle name="Normal 10 3 6 2 5" xfId="42519"/>
    <cellStyle name="Normal 10 3 6 3" xfId="19130"/>
    <cellStyle name="Normal 10 3 6 3 2" xfId="25642"/>
    <cellStyle name="Normal 10 3 6 3 2 2" xfId="47887"/>
    <cellStyle name="Normal 10 3 6 3 3" xfId="41687"/>
    <cellStyle name="Normal 10 3 6 4" xfId="23341"/>
    <cellStyle name="Normal 10 3 6 4 2" xfId="45689"/>
    <cellStyle name="Normal 10 3 7" xfId="2592"/>
    <cellStyle name="Normal 10 3 7 2" xfId="5686"/>
    <cellStyle name="Normal 10 3 7 2 2" xfId="7469"/>
    <cellStyle name="Normal 10 3 7 2 2 2" xfId="10798"/>
    <cellStyle name="Normal 10 3 7 2 2 2 2" xfId="17502"/>
    <cellStyle name="Normal 10 3 7 2 2 2 2 2" xfId="40923"/>
    <cellStyle name="Normal 10 3 7 2 2 2 3" xfId="34291"/>
    <cellStyle name="Normal 10 3 7 2 2 3" xfId="14186"/>
    <cellStyle name="Normal 10 3 7 2 2 3 2" xfId="37607"/>
    <cellStyle name="Normal 10 3 7 2 2 4" xfId="20573"/>
    <cellStyle name="Normal 10 3 7 2 2 4 2" xfId="43024"/>
    <cellStyle name="Normal 10 3 7 2 2 5" xfId="30975"/>
    <cellStyle name="Normal 10 3 7 2 3" xfId="9140"/>
    <cellStyle name="Normal 10 3 7 2 3 2" xfId="15844"/>
    <cellStyle name="Normal 10 3 7 2 3 2 2" xfId="39265"/>
    <cellStyle name="Normal 10 3 7 2 3 3" xfId="21491"/>
    <cellStyle name="Normal 10 3 7 2 3 3 2" xfId="43942"/>
    <cellStyle name="Normal 10 3 7 2 3 4" xfId="32633"/>
    <cellStyle name="Normal 10 3 7 2 4" xfId="12528"/>
    <cellStyle name="Normal 10 3 7 2 4 2" xfId="35949"/>
    <cellStyle name="Normal 10 3 7 2 5" xfId="17840"/>
    <cellStyle name="Normal 10 3 7 2 5 2" xfId="41193"/>
    <cellStyle name="Normal 10 3 7 2 6" xfId="25770"/>
    <cellStyle name="Normal 10 3 7 2 6 2" xfId="48015"/>
    <cellStyle name="Normal 10 3 7 2 7" xfId="29317"/>
    <cellStyle name="Normal 10 3 7 3" xfId="6569"/>
    <cellStyle name="Normal 10 3 7 3 2" xfId="9901"/>
    <cellStyle name="Normal 10 3 7 3 2 2" xfId="16605"/>
    <cellStyle name="Normal 10 3 7 3 2 2 2" xfId="40026"/>
    <cellStyle name="Normal 10 3 7 3 2 3" xfId="33394"/>
    <cellStyle name="Normal 10 3 7 3 3" xfId="13289"/>
    <cellStyle name="Normal 10 3 7 3 3 2" xfId="36710"/>
    <cellStyle name="Normal 10 3 7 3 4" xfId="20475"/>
    <cellStyle name="Normal 10 3 7 3 4 2" xfId="42928"/>
    <cellStyle name="Normal 10 3 7 3 5" xfId="30078"/>
    <cellStyle name="Normal 10 3 7 4" xfId="8235"/>
    <cellStyle name="Normal 10 3 7 4 2" xfId="14947"/>
    <cellStyle name="Normal 10 3 7 4 2 2" xfId="38368"/>
    <cellStyle name="Normal 10 3 7 4 3" xfId="21032"/>
    <cellStyle name="Normal 10 3 7 4 3 2" xfId="43483"/>
    <cellStyle name="Normal 10 3 7 4 4" xfId="31736"/>
    <cellStyle name="Normal 10 3 7 5" xfId="11629"/>
    <cellStyle name="Normal 10 3 7 5 2" xfId="22413"/>
    <cellStyle name="Normal 10 3 7 5 2 2" xfId="44835"/>
    <cellStyle name="Normal 10 3 7 5 3" xfId="35052"/>
    <cellStyle name="Normal 10 3 7 6" xfId="19566"/>
    <cellStyle name="Normal 10 3 7 6 2" xfId="42103"/>
    <cellStyle name="Normal 10 3 7 7" xfId="23425"/>
    <cellStyle name="Normal 10 3 7 7 2" xfId="45770"/>
    <cellStyle name="Normal 10 3 7 8" xfId="28420"/>
    <cellStyle name="Normal 10 3 8" xfId="3781"/>
    <cellStyle name="Normal 10 3 8 2" xfId="6919"/>
    <cellStyle name="Normal 10 3 8 2 2" xfId="10251"/>
    <cellStyle name="Normal 10 3 8 2 2 2" xfId="16955"/>
    <cellStyle name="Normal 10 3 8 2 2 2 2" xfId="40376"/>
    <cellStyle name="Normal 10 3 8 2 2 3" xfId="33744"/>
    <cellStyle name="Normal 10 3 8 2 3" xfId="13639"/>
    <cellStyle name="Normal 10 3 8 2 3 2" xfId="37060"/>
    <cellStyle name="Normal 10 3 8 2 4" xfId="20524"/>
    <cellStyle name="Normal 10 3 8 2 4 2" xfId="42977"/>
    <cellStyle name="Normal 10 3 8 2 5" xfId="27891"/>
    <cellStyle name="Normal 10 3 8 2 5 2" xfId="50136"/>
    <cellStyle name="Normal 10 3 8 2 6" xfId="30428"/>
    <cellStyle name="Normal 10 3 8 3" xfId="8586"/>
    <cellStyle name="Normal 10 3 8 3 2" xfId="15297"/>
    <cellStyle name="Normal 10 3 8 3 2 2" xfId="38718"/>
    <cellStyle name="Normal 10 3 8 3 3" xfId="21127"/>
    <cellStyle name="Normal 10 3 8 3 3 2" xfId="43578"/>
    <cellStyle name="Normal 10 3 8 3 4" xfId="32086"/>
    <cellStyle name="Normal 10 3 8 4" xfId="11979"/>
    <cellStyle name="Normal 10 3 8 4 2" xfId="35402"/>
    <cellStyle name="Normal 10 3 8 5" xfId="17828"/>
    <cellStyle name="Normal 10 3 8 5 2" xfId="41192"/>
    <cellStyle name="Normal 10 3 8 6" xfId="25586"/>
    <cellStyle name="Normal 10 3 8 6 2" xfId="47831"/>
    <cellStyle name="Normal 10 3 8 7" xfId="28770"/>
    <cellStyle name="Normal 10 3 9" xfId="6096"/>
    <cellStyle name="Normal 10 3 9 2" xfId="9430"/>
    <cellStyle name="Normal 10 3 9 2 2" xfId="16134"/>
    <cellStyle name="Normal 10 3 9 2 2 2" xfId="39555"/>
    <cellStyle name="Normal 10 3 9 2 3" xfId="32923"/>
    <cellStyle name="Normal 10 3 9 3" xfId="12818"/>
    <cellStyle name="Normal 10 3 9 3 2" xfId="36239"/>
    <cellStyle name="Normal 10 3 9 4" xfId="17846"/>
    <cellStyle name="Normal 10 3 9 4 2" xfId="41196"/>
    <cellStyle name="Normal 10 3 9 5" xfId="25624"/>
    <cellStyle name="Normal 10 3 9 5 2" xfId="47869"/>
    <cellStyle name="Normal 10 3 9 6" xfId="29607"/>
    <cellStyle name="Normal 10 4" xfId="1574"/>
    <cellStyle name="Normal 10 4 2" xfId="3791"/>
    <cellStyle name="Normal 10 4 2 2" xfId="23430"/>
    <cellStyle name="Normal 10 4 2 3" xfId="23321"/>
    <cellStyle name="Normal 10 4 3" xfId="5360"/>
    <cellStyle name="Normal 10 4 3 2" xfId="7215"/>
    <cellStyle name="Normal 10 4 3 2 2" xfId="10546"/>
    <cellStyle name="Normal 10 4 3 2 2 2" xfId="17250"/>
    <cellStyle name="Normal 10 4 3 2 2 2 2" xfId="27920"/>
    <cellStyle name="Normal 10 4 3 2 2 2 2 2" xfId="50165"/>
    <cellStyle name="Normal 10 4 3 2 2 2 3" xfId="40671"/>
    <cellStyle name="Normal 10 4 3 2 2 3" xfId="25615"/>
    <cellStyle name="Normal 10 4 3 2 2 3 2" xfId="47860"/>
    <cellStyle name="Normal 10 4 3 2 2 4" xfId="34039"/>
    <cellStyle name="Normal 10 4 3 2 3" xfId="13934"/>
    <cellStyle name="Normal 10 4 3 2 3 2" xfId="25652"/>
    <cellStyle name="Normal 10 4 3 2 3 2 2" xfId="47897"/>
    <cellStyle name="Normal 10 4 3 2 3 3" xfId="37355"/>
    <cellStyle name="Normal 10 4 3 2 4" xfId="23346"/>
    <cellStyle name="Normal 10 4 3 2 4 2" xfId="45693"/>
    <cellStyle name="Normal 10 4 3 2 5" xfId="30723"/>
    <cellStyle name="Normal 10 4 3 3" xfId="8888"/>
    <cellStyle name="Normal 10 4 3 3 2" xfId="15592"/>
    <cellStyle name="Normal 10 4 3 3 2 2" xfId="27901"/>
    <cellStyle name="Normal 10 4 3 3 2 2 2" xfId="50146"/>
    <cellStyle name="Normal 10 4 3 3 2 3" xfId="39013"/>
    <cellStyle name="Normal 10 4 3 3 3" xfId="25596"/>
    <cellStyle name="Normal 10 4 3 3 3 2" xfId="47841"/>
    <cellStyle name="Normal 10 4 3 3 4" xfId="32381"/>
    <cellStyle name="Normal 10 4 3 4" xfId="12275"/>
    <cellStyle name="Normal 10 4 3 4 2" xfId="25633"/>
    <cellStyle name="Normal 10 4 3 4 2 2" xfId="47878"/>
    <cellStyle name="Normal 10 4 3 4 3" xfId="35697"/>
    <cellStyle name="Normal 10 4 3 5" xfId="23334"/>
    <cellStyle name="Normal 10 4 3 5 2" xfId="45688"/>
    <cellStyle name="Normal 10 4 3 6" xfId="29065"/>
    <cellStyle name="Normal 10 4 4" xfId="3790"/>
    <cellStyle name="Normal 10 4 4 2" xfId="25607"/>
    <cellStyle name="Normal 10 4 4 2 2" xfId="27912"/>
    <cellStyle name="Normal 10 4 4 2 2 2" xfId="50157"/>
    <cellStyle name="Normal 10 4 4 2 3" xfId="47852"/>
    <cellStyle name="Normal 10 4 4 3" xfId="25644"/>
    <cellStyle name="Normal 10 4 4 3 2" xfId="47889"/>
    <cellStyle name="Normal 10 4 4 4" xfId="23793"/>
    <cellStyle name="Normal 10 4 4 4 2" xfId="46059"/>
    <cellStyle name="Normal 10 4 5" xfId="24347"/>
    <cellStyle name="Normal 10 4 5 2" xfId="26550"/>
    <cellStyle name="Normal 10 4 5 2 2" xfId="48795"/>
    <cellStyle name="Normal 10 4 5 3" xfId="46592"/>
    <cellStyle name="Normal 10 4 6" xfId="25588"/>
    <cellStyle name="Normal 10 4 6 2" xfId="27893"/>
    <cellStyle name="Normal 10 4 6 2 2" xfId="50138"/>
    <cellStyle name="Normal 10 4 6 3" xfId="47833"/>
    <cellStyle name="Normal 10 4 7" xfId="25626"/>
    <cellStyle name="Normal 10 4 7 2" xfId="47871"/>
    <cellStyle name="Normal 10 4 8" xfId="23606"/>
    <cellStyle name="Normal 10 4 8 2" xfId="45896"/>
    <cellStyle name="Normal 10 5" xfId="1565"/>
    <cellStyle name="Normal 10 5 2" xfId="3793"/>
    <cellStyle name="Normal 10 5 2 2" xfId="23431"/>
    <cellStyle name="Normal 10 5 2 3" xfId="25611"/>
    <cellStyle name="Normal 10 5 2 3 2" xfId="27916"/>
    <cellStyle name="Normal 10 5 2 3 2 2" xfId="50161"/>
    <cellStyle name="Normal 10 5 2 3 3" xfId="47856"/>
    <cellStyle name="Normal 10 5 2 4" xfId="25648"/>
    <cellStyle name="Normal 10 5 2 4 2" xfId="47893"/>
    <cellStyle name="Normal 10 5 2 5" xfId="23344"/>
    <cellStyle name="Normal 10 5 2 5 2" xfId="45691"/>
    <cellStyle name="Normal 10 5 3" xfId="3792"/>
    <cellStyle name="Normal 10 5 4" xfId="25592"/>
    <cellStyle name="Normal 10 5 4 2" xfId="27897"/>
    <cellStyle name="Normal 10 5 4 2 2" xfId="50142"/>
    <cellStyle name="Normal 10 5 4 3" xfId="47837"/>
    <cellStyle name="Normal 10 5 5" xfId="25630"/>
    <cellStyle name="Normal 10 5 5 2" xfId="47875"/>
    <cellStyle name="Normal 10 5 6" xfId="23333"/>
    <cellStyle name="Normal 10 5 6 2" xfId="45687"/>
    <cellStyle name="Normal 10 6" xfId="6067"/>
    <cellStyle name="Normal 10 6 2" xfId="7733"/>
    <cellStyle name="Normal 10 6 2 2" xfId="11062"/>
    <cellStyle name="Normal 10 6 2 2 2" xfId="17766"/>
    <cellStyle name="Normal 10 6 2 2 2 2" xfId="41187"/>
    <cellStyle name="Normal 10 6 2 2 3" xfId="27908"/>
    <cellStyle name="Normal 10 6 2 2 3 2" xfId="50153"/>
    <cellStyle name="Normal 10 6 2 2 4" xfId="34555"/>
    <cellStyle name="Normal 10 6 2 3" xfId="14450"/>
    <cellStyle name="Normal 10 6 2 3 2" xfId="37871"/>
    <cellStyle name="Normal 10 6 2 4" xfId="21744"/>
    <cellStyle name="Normal 10 6 2 5" xfId="25603"/>
    <cellStyle name="Normal 10 6 2 5 2" xfId="47848"/>
    <cellStyle name="Normal 10 6 2 6" xfId="31239"/>
    <cellStyle name="Normal 10 6 3" xfId="9404"/>
    <cellStyle name="Normal 10 6 3 2" xfId="16108"/>
    <cellStyle name="Normal 10 6 3 2 2" xfId="39529"/>
    <cellStyle name="Normal 10 6 3 3" xfId="25640"/>
    <cellStyle name="Normal 10 6 3 3 2" xfId="47885"/>
    <cellStyle name="Normal 10 6 3 4" xfId="32897"/>
    <cellStyle name="Normal 10 6 4" xfId="12792"/>
    <cellStyle name="Normal 10 6 4 2" xfId="36213"/>
    <cellStyle name="Normal 10 6 5" xfId="18498"/>
    <cellStyle name="Normal 10 6 6" xfId="20415"/>
    <cellStyle name="Normal 10 6 7" xfId="23229"/>
    <cellStyle name="Normal 10 6 7 2" xfId="45631"/>
    <cellStyle name="Normal 10 6 8" xfId="29581"/>
    <cellStyle name="Normal 10 7" xfId="25584"/>
    <cellStyle name="Normal 10 7 2" xfId="27889"/>
    <cellStyle name="Normal 10 7 2 2" xfId="50134"/>
    <cellStyle name="Normal 10 7 3" xfId="47829"/>
    <cellStyle name="Normal 10 8" xfId="25622"/>
    <cellStyle name="Normal 10 8 2" xfId="47867"/>
    <cellStyle name="Normal 10_Exhibits" xfId="990"/>
    <cellStyle name="Normal 100" xfId="1183"/>
    <cellStyle name="Normal 100 2" xfId="3795"/>
    <cellStyle name="Normal 100 3" xfId="3794"/>
    <cellStyle name="Normal 101" xfId="1213"/>
    <cellStyle name="Normal 101 2" xfId="3797"/>
    <cellStyle name="Normal 101 3" xfId="3796"/>
    <cellStyle name="Normal 102" xfId="1215"/>
    <cellStyle name="Normal 102 2" xfId="3799"/>
    <cellStyle name="Normal 102 3" xfId="3798"/>
    <cellStyle name="Normal 103" xfId="1216"/>
    <cellStyle name="Normal 103 2" xfId="3801"/>
    <cellStyle name="Normal 103 3" xfId="3800"/>
    <cellStyle name="Normal 104" xfId="1217"/>
    <cellStyle name="Normal 104 2" xfId="3803"/>
    <cellStyle name="Normal 104 3" xfId="3802"/>
    <cellStyle name="Normal 105" xfId="1218"/>
    <cellStyle name="Normal 105 2" xfId="3805"/>
    <cellStyle name="Normal 105 3" xfId="3804"/>
    <cellStyle name="Normal 106" xfId="1219"/>
    <cellStyle name="Normal 106 2" xfId="3807"/>
    <cellStyle name="Normal 106 3" xfId="3806"/>
    <cellStyle name="Normal 107" xfId="1221"/>
    <cellStyle name="Normal 107 2" xfId="3809"/>
    <cellStyle name="Normal 107 3" xfId="3808"/>
    <cellStyle name="Normal 108" xfId="1222"/>
    <cellStyle name="Normal 108 2" xfId="23433"/>
    <cellStyle name="Normal 108 3" xfId="23326"/>
    <cellStyle name="Normal 109" xfId="1223"/>
    <cellStyle name="Normal 109 2" xfId="23254"/>
    <cellStyle name="Normal 109 3" xfId="23327"/>
    <cellStyle name="Normal 11" xfId="460"/>
    <cellStyle name="Normal 11 10" xfId="25623"/>
    <cellStyle name="Normal 11 10 2" xfId="47868"/>
    <cellStyle name="Normal 11 2" xfId="461"/>
    <cellStyle name="Normal 11 2 2" xfId="3810"/>
    <cellStyle name="Normal 11 3" xfId="1139"/>
    <cellStyle name="Normal 11 3 2" xfId="3812"/>
    <cellStyle name="Normal 11 3 2 2" xfId="23480"/>
    <cellStyle name="Normal 11 3 2 2 2" xfId="25610"/>
    <cellStyle name="Normal 11 3 2 2 2 2" xfId="27915"/>
    <cellStyle name="Normal 11 3 2 2 2 2 2" xfId="50160"/>
    <cellStyle name="Normal 11 3 2 2 2 3" xfId="47855"/>
    <cellStyle name="Normal 11 3 2 2 3" xfId="25647"/>
    <cellStyle name="Normal 11 3 2 2 3 2" xfId="47892"/>
    <cellStyle name="Normal 11 3 2 2 4" xfId="45814"/>
    <cellStyle name="Normal 11 3 2 3" xfId="23435"/>
    <cellStyle name="Normal 11 3 2 4" xfId="25591"/>
    <cellStyle name="Normal 11 3 2 4 2" xfId="27896"/>
    <cellStyle name="Normal 11 3 2 4 2 2" xfId="50141"/>
    <cellStyle name="Normal 11 3 2 4 3" xfId="47836"/>
    <cellStyle name="Normal 11 3 2 5" xfId="25629"/>
    <cellStyle name="Normal 11 3 2 5 2" xfId="47874"/>
    <cellStyle name="Normal 11 3 3" xfId="5108"/>
    <cellStyle name="Normal 11 3 3 2" xfId="7179"/>
    <cellStyle name="Normal 11 3 3 2 2" xfId="10510"/>
    <cellStyle name="Normal 11 3 3 2 2 2" xfId="17214"/>
    <cellStyle name="Normal 11 3 3 2 2 2 2" xfId="27919"/>
    <cellStyle name="Normal 11 3 3 2 2 2 2 2" xfId="50164"/>
    <cellStyle name="Normal 11 3 3 2 2 2 3" xfId="40635"/>
    <cellStyle name="Normal 11 3 3 2 2 3" xfId="25614"/>
    <cellStyle name="Normal 11 3 3 2 2 3 2" xfId="47859"/>
    <cellStyle name="Normal 11 3 3 2 2 4" xfId="34003"/>
    <cellStyle name="Normal 11 3 3 2 3" xfId="13898"/>
    <cellStyle name="Normal 11 3 3 2 3 2" xfId="25651"/>
    <cellStyle name="Normal 11 3 3 2 3 2 2" xfId="47896"/>
    <cellStyle name="Normal 11 3 3 2 3 3" xfId="37319"/>
    <cellStyle name="Normal 11 3 3 2 4" xfId="23345"/>
    <cellStyle name="Normal 11 3 3 2 4 2" xfId="45692"/>
    <cellStyle name="Normal 11 3 3 2 5" xfId="30687"/>
    <cellStyle name="Normal 11 3 3 3" xfId="8850"/>
    <cellStyle name="Normal 11 3 3 3 2" xfId="15556"/>
    <cellStyle name="Normal 11 3 3 3 2 2" xfId="26021"/>
    <cellStyle name="Normal 11 3 3 3 2 2 2" xfId="48266"/>
    <cellStyle name="Normal 11 3 3 3 2 3" xfId="38977"/>
    <cellStyle name="Normal 11 3 3 3 3" xfId="23834"/>
    <cellStyle name="Normal 11 3 3 3 3 2" xfId="46081"/>
    <cellStyle name="Normal 11 3 3 3 4" xfId="32345"/>
    <cellStyle name="Normal 11 3 3 4" xfId="12239"/>
    <cellStyle name="Normal 11 3 3 4 2" xfId="27900"/>
    <cellStyle name="Normal 11 3 3 4 2 2" xfId="50145"/>
    <cellStyle name="Normal 11 3 3 4 3" xfId="25595"/>
    <cellStyle name="Normal 11 3 3 4 3 2" xfId="47840"/>
    <cellStyle name="Normal 11 3 3 4 4" xfId="35661"/>
    <cellStyle name="Normal 11 3 3 5" xfId="23810"/>
    <cellStyle name="Normal 11 3 3 5 2" xfId="46074"/>
    <cellStyle name="Normal 11 3 3 6" xfId="29029"/>
    <cellStyle name="Normal 11 3 4" xfId="3811"/>
    <cellStyle name="Normal 11 3 4 2" xfId="6927"/>
    <cellStyle name="Normal 11 3 4 2 2" xfId="10259"/>
    <cellStyle name="Normal 11 3 4 2 2 2" xfId="16963"/>
    <cellStyle name="Normal 11 3 4 2 2 2 2" xfId="27923"/>
    <cellStyle name="Normal 11 3 4 2 2 2 2 2" xfId="50168"/>
    <cellStyle name="Normal 11 3 4 2 2 2 3" xfId="40384"/>
    <cellStyle name="Normal 11 3 4 2 2 3" xfId="25618"/>
    <cellStyle name="Normal 11 3 4 2 2 3 2" xfId="47863"/>
    <cellStyle name="Normal 11 3 4 2 2 4" xfId="33752"/>
    <cellStyle name="Normal 11 3 4 2 3" xfId="13647"/>
    <cellStyle name="Normal 11 3 4 2 3 2" xfId="25655"/>
    <cellStyle name="Normal 11 3 4 2 3 2 2" xfId="47900"/>
    <cellStyle name="Normal 11 3 4 2 3 3" xfId="37068"/>
    <cellStyle name="Normal 11 3 4 2 4" xfId="23348"/>
    <cellStyle name="Normal 11 3 4 2 4 2" xfId="45695"/>
    <cellStyle name="Normal 11 3 4 2 5" xfId="30436"/>
    <cellStyle name="Normal 11 3 4 3" xfId="8594"/>
    <cellStyle name="Normal 11 3 4 3 2" xfId="15305"/>
    <cellStyle name="Normal 11 3 4 3 2 2" xfId="27904"/>
    <cellStyle name="Normal 11 3 4 3 2 2 2" xfId="50149"/>
    <cellStyle name="Normal 11 3 4 3 2 3" xfId="38726"/>
    <cellStyle name="Normal 11 3 4 3 3" xfId="25599"/>
    <cellStyle name="Normal 11 3 4 3 3 2" xfId="47844"/>
    <cellStyle name="Normal 11 3 4 3 4" xfId="32094"/>
    <cellStyle name="Normal 11 3 4 4" xfId="11987"/>
    <cellStyle name="Normal 11 3 4 4 2" xfId="25636"/>
    <cellStyle name="Normal 11 3 4 4 2 2" xfId="47881"/>
    <cellStyle name="Normal 11 3 4 4 3" xfId="35410"/>
    <cellStyle name="Normal 11 3 4 5" xfId="23267"/>
    <cellStyle name="Normal 11 3 4 5 2" xfId="45659"/>
    <cellStyle name="Normal 11 3 4 6" xfId="28778"/>
    <cellStyle name="Normal 11 3 5" xfId="23366"/>
    <cellStyle name="Normal 11 3 5 2" xfId="23350"/>
    <cellStyle name="Normal 11 3 5 2 2" xfId="25620"/>
    <cellStyle name="Normal 11 3 5 2 2 2" xfId="27925"/>
    <cellStyle name="Normal 11 3 5 2 2 2 2" xfId="50170"/>
    <cellStyle name="Normal 11 3 5 2 2 3" xfId="47865"/>
    <cellStyle name="Normal 11 3 5 2 3" xfId="25657"/>
    <cellStyle name="Normal 11 3 5 2 3 2" xfId="47902"/>
    <cellStyle name="Normal 11 3 5 2 4" xfId="45697"/>
    <cellStyle name="Normal 11 3 5 3" xfId="25601"/>
    <cellStyle name="Normal 11 3 5 3 2" xfId="27906"/>
    <cellStyle name="Normal 11 3 5 3 2 2" xfId="50151"/>
    <cellStyle name="Normal 11 3 5 3 3" xfId="47846"/>
    <cellStyle name="Normal 11 3 5 4" xfId="25638"/>
    <cellStyle name="Normal 11 3 5 4 2" xfId="47883"/>
    <cellStyle name="Normal 11 3 5 5" xfId="45711"/>
    <cellStyle name="Normal 11 3 6" xfId="23342"/>
    <cellStyle name="Normal 11 3 6 2" xfId="25606"/>
    <cellStyle name="Normal 11 3 6 2 2" xfId="27911"/>
    <cellStyle name="Normal 11 3 6 2 2 2" xfId="50156"/>
    <cellStyle name="Normal 11 3 6 2 3" xfId="47851"/>
    <cellStyle name="Normal 11 3 6 3" xfId="25643"/>
    <cellStyle name="Normal 11 3 6 3 2" xfId="47888"/>
    <cellStyle name="Normal 11 3 6 4" xfId="45690"/>
    <cellStyle name="Normal 11 3 7" xfId="23434"/>
    <cellStyle name="Normal 11 3 7 2" xfId="25778"/>
    <cellStyle name="Normal 11 3 7 2 2" xfId="48023"/>
    <cellStyle name="Normal 11 3 7 3" xfId="45775"/>
    <cellStyle name="Normal 11 3 8" xfId="25587"/>
    <cellStyle name="Normal 11 3 8 2" xfId="27892"/>
    <cellStyle name="Normal 11 3 8 2 2" xfId="50137"/>
    <cellStyle name="Normal 11 3 8 3" xfId="47832"/>
    <cellStyle name="Normal 11 3 9" xfId="25625"/>
    <cellStyle name="Normal 11 3 9 2" xfId="47870"/>
    <cellStyle name="Normal 11 4" xfId="1073"/>
    <cellStyle name="Normal 11 4 10" xfId="7743"/>
    <cellStyle name="Normal 11 4 10 2" xfId="14458"/>
    <cellStyle name="Normal 11 4 10 2 2" xfId="37879"/>
    <cellStyle name="Normal 11 4 10 3" xfId="20684"/>
    <cellStyle name="Normal 11 4 10 3 2" xfId="43135"/>
    <cellStyle name="Normal 11 4 10 4" xfId="31247"/>
    <cellStyle name="Normal 11 4 11" xfId="11140"/>
    <cellStyle name="Normal 11 4 11 2" xfId="21570"/>
    <cellStyle name="Normal 11 4 11 2 2" xfId="44019"/>
    <cellStyle name="Normal 11 4 11 3" xfId="34563"/>
    <cellStyle name="Normal 11 4 12" xfId="17934"/>
    <cellStyle name="Normal 11 4 12 2" xfId="41242"/>
    <cellStyle name="Normal 11 4 13" xfId="27931"/>
    <cellStyle name="Normal 11 4 2" xfId="1419"/>
    <cellStyle name="Normal 11 4 2 10" xfId="11168"/>
    <cellStyle name="Normal 11 4 2 10 2" xfId="21571"/>
    <cellStyle name="Normal 11 4 2 10 2 2" xfId="44020"/>
    <cellStyle name="Normal 11 4 2 10 3" xfId="34591"/>
    <cellStyle name="Normal 11 4 2 11" xfId="17935"/>
    <cellStyle name="Normal 11 4 2 11 2" xfId="41243"/>
    <cellStyle name="Normal 11 4 2 12" xfId="27959"/>
    <cellStyle name="Normal 11 4 2 2" xfId="1459"/>
    <cellStyle name="Normal 11 4 2 2 10" xfId="17936"/>
    <cellStyle name="Normal 11 4 2 2 10 2" xfId="41244"/>
    <cellStyle name="Normal 11 4 2 2 11" xfId="23514"/>
    <cellStyle name="Normal 11 4 2 2 11 2" xfId="45834"/>
    <cellStyle name="Normal 11 4 2 2 12" xfId="27995"/>
    <cellStyle name="Normal 11 4 2 2 2" xfId="1578"/>
    <cellStyle name="Normal 11 4 2 2 2 10" xfId="23515"/>
    <cellStyle name="Normal 11 4 2 2 2 10 2" xfId="45835"/>
    <cellStyle name="Normal 11 4 2 2 2 11" xfId="28019"/>
    <cellStyle name="Normal 11 4 2 2 2 2" xfId="1798"/>
    <cellStyle name="Normal 11 4 2 2 2 2 10" xfId="28150"/>
    <cellStyle name="Normal 11 4 2 2 2 2 2" xfId="2184"/>
    <cellStyle name="Normal 11 4 2 2 2 2 2 2" xfId="5455"/>
    <cellStyle name="Normal 11 4 2 2 2 2 2 2 2" xfId="7281"/>
    <cellStyle name="Normal 11 4 2 2 2 2 2 2 2 2" xfId="10612"/>
    <cellStyle name="Normal 11 4 2 2 2 2 2 2 2 2 2" xfId="17316"/>
    <cellStyle name="Normal 11 4 2 2 2 2 2 2 2 2 2 2" xfId="40737"/>
    <cellStyle name="Normal 11 4 2 2 2 2 2 2 2 2 3" xfId="23032"/>
    <cellStyle name="Normal 11 4 2 2 2 2 2 2 2 2 3 2" xfId="45454"/>
    <cellStyle name="Normal 11 4 2 2 2 2 2 2 2 2 4" xfId="34105"/>
    <cellStyle name="Normal 11 4 2 2 2 2 2 2 2 3" xfId="14000"/>
    <cellStyle name="Normal 11 4 2 2 2 2 2 2 2 3 2" xfId="37421"/>
    <cellStyle name="Normal 11 4 2 2 2 2 2 2 2 4" xfId="20204"/>
    <cellStyle name="Normal 11 4 2 2 2 2 2 2 2 4 2" xfId="42739"/>
    <cellStyle name="Normal 11 4 2 2 2 2 2 2 2 5" xfId="30789"/>
    <cellStyle name="Normal 11 4 2 2 2 2 2 2 3" xfId="8954"/>
    <cellStyle name="Normal 11 4 2 2 2 2 2 2 3 2" xfId="15658"/>
    <cellStyle name="Normal 11 4 2 2 2 2 2 2 3 2 2" xfId="39079"/>
    <cellStyle name="Normal 11 4 2 2 2 2 2 2 3 3" xfId="21148"/>
    <cellStyle name="Normal 11 4 2 2 2 2 2 2 3 3 2" xfId="43599"/>
    <cellStyle name="Normal 11 4 2 2 2 2 2 2 3 4" xfId="32447"/>
    <cellStyle name="Normal 11 4 2 2 2 2 2 2 4" xfId="12342"/>
    <cellStyle name="Normal 11 4 2 2 2 2 2 2 4 2" xfId="22217"/>
    <cellStyle name="Normal 11 4 2 2 2 2 2 2 4 2 2" xfId="44639"/>
    <cellStyle name="Normal 11 4 2 2 2 2 2 2 4 3" xfId="35763"/>
    <cellStyle name="Normal 11 4 2 2 2 2 2 2 5" xfId="19365"/>
    <cellStyle name="Normal 11 4 2 2 2 2 2 2 5 2" xfId="41907"/>
    <cellStyle name="Normal 11 4 2 2 2 2 2 2 6" xfId="29131"/>
    <cellStyle name="Normal 11 4 2 2 2 2 2 3" xfId="6376"/>
    <cellStyle name="Normal 11 4 2 2 2 2 2 3 2" xfId="9710"/>
    <cellStyle name="Normal 11 4 2 2 2 2 2 3 2 2" xfId="16414"/>
    <cellStyle name="Normal 11 4 2 2 2 2 2 3 2 2 2" xfId="39835"/>
    <cellStyle name="Normal 11 4 2 2 2 2 2 3 2 3" xfId="22625"/>
    <cellStyle name="Normal 11 4 2 2 2 2 2 3 2 3 2" xfId="45047"/>
    <cellStyle name="Normal 11 4 2 2 2 2 2 3 2 4" xfId="33203"/>
    <cellStyle name="Normal 11 4 2 2 2 2 2 3 3" xfId="13098"/>
    <cellStyle name="Normal 11 4 2 2 2 2 2 3 3 2" xfId="36519"/>
    <cellStyle name="Normal 11 4 2 2 2 2 2 3 4" xfId="19788"/>
    <cellStyle name="Normal 11 4 2 2 2 2 2 3 4 2" xfId="42323"/>
    <cellStyle name="Normal 11 4 2 2 2 2 2 3 5" xfId="29887"/>
    <cellStyle name="Normal 11 4 2 2 2 2 2 4" xfId="8043"/>
    <cellStyle name="Normal 11 4 2 2 2 2 2 4 2" xfId="14756"/>
    <cellStyle name="Normal 11 4 2 2 2 2 2 4 2 2" xfId="38177"/>
    <cellStyle name="Normal 11 4 2 2 2 2 2 4 3" xfId="20689"/>
    <cellStyle name="Normal 11 4 2 2 2 2 2 4 3 2" xfId="43140"/>
    <cellStyle name="Normal 11 4 2 2 2 2 2 4 4" xfId="31545"/>
    <cellStyle name="Normal 11 4 2 2 2 2 2 5" xfId="11438"/>
    <cellStyle name="Normal 11 4 2 2 2 2 2 5 2" xfId="21783"/>
    <cellStyle name="Normal 11 4 2 2 2 2 2 5 2 2" xfId="44225"/>
    <cellStyle name="Normal 11 4 2 2 2 2 2 5 3" xfId="34861"/>
    <cellStyle name="Normal 11 4 2 2 2 2 2 6" xfId="18538"/>
    <cellStyle name="Normal 11 4 2 2 2 2 2 6 2" xfId="41482"/>
    <cellStyle name="Normal 11 4 2 2 2 2 2 7" xfId="25781"/>
    <cellStyle name="Normal 11 4 2 2 2 2 2 7 2" xfId="48026"/>
    <cellStyle name="Normal 11 4 2 2 2 2 2 8" xfId="28229"/>
    <cellStyle name="Normal 11 4 2 2 2 2 3" xfId="2795"/>
    <cellStyle name="Normal 11 4 2 2 2 2 3 2" xfId="5887"/>
    <cellStyle name="Normal 11 4 2 2 2 2 3 2 2" xfId="7669"/>
    <cellStyle name="Normal 11 4 2 2 2 2 3 2 2 2" xfId="10998"/>
    <cellStyle name="Normal 11 4 2 2 2 2 3 2 2 2 2" xfId="17702"/>
    <cellStyle name="Normal 11 4 2 2 2 2 3 2 2 2 2 2" xfId="41123"/>
    <cellStyle name="Normal 11 4 2 2 2 2 3 2 2 2 3" xfId="34491"/>
    <cellStyle name="Normal 11 4 2 2 2 2 3 2 2 3" xfId="14386"/>
    <cellStyle name="Normal 11 4 2 2 2 2 3 2 2 3 2" xfId="37807"/>
    <cellStyle name="Normal 11 4 2 2 2 2 3 2 2 4" xfId="22832"/>
    <cellStyle name="Normal 11 4 2 2 2 2 3 2 2 4 2" xfId="45254"/>
    <cellStyle name="Normal 11 4 2 2 2 2 3 2 2 5" xfId="31175"/>
    <cellStyle name="Normal 11 4 2 2 2 2 3 2 3" xfId="9340"/>
    <cellStyle name="Normal 11 4 2 2 2 2 3 2 3 2" xfId="16044"/>
    <cellStyle name="Normal 11 4 2 2 2 2 3 2 3 2 2" xfId="39465"/>
    <cellStyle name="Normal 11 4 2 2 2 2 3 2 3 3" xfId="32833"/>
    <cellStyle name="Normal 11 4 2 2 2 2 3 2 4" xfId="12728"/>
    <cellStyle name="Normal 11 4 2 2 2 2 3 2 4 2" xfId="36149"/>
    <cellStyle name="Normal 11 4 2 2 2 2 3 2 5" xfId="19996"/>
    <cellStyle name="Normal 11 4 2 2 2 2 3 2 5 2" xfId="42531"/>
    <cellStyle name="Normal 11 4 2 2 2 2 3 2 6" xfId="29517"/>
    <cellStyle name="Normal 11 4 2 2 2 2 3 3" xfId="6770"/>
    <cellStyle name="Normal 11 4 2 2 2 2 3 3 2" xfId="10102"/>
    <cellStyle name="Normal 11 4 2 2 2 2 3 3 2 2" xfId="16806"/>
    <cellStyle name="Normal 11 4 2 2 2 2 3 3 2 2 2" xfId="40227"/>
    <cellStyle name="Normal 11 4 2 2 2 2 3 3 2 3" xfId="33595"/>
    <cellStyle name="Normal 11 4 2 2 2 2 3 3 3" xfId="13490"/>
    <cellStyle name="Normal 11 4 2 2 2 2 3 3 3 2" xfId="36911"/>
    <cellStyle name="Normal 11 4 2 2 2 2 3 3 4" xfId="21147"/>
    <cellStyle name="Normal 11 4 2 2 2 2 3 3 4 2" xfId="43598"/>
    <cellStyle name="Normal 11 4 2 2 2 2 3 3 5" xfId="30279"/>
    <cellStyle name="Normal 11 4 2 2 2 2 3 4" xfId="8436"/>
    <cellStyle name="Normal 11 4 2 2 2 2 3 4 2" xfId="15148"/>
    <cellStyle name="Normal 11 4 2 2 2 2 3 4 2 2" xfId="38569"/>
    <cellStyle name="Normal 11 4 2 2 2 2 3 4 3" xfId="22004"/>
    <cellStyle name="Normal 11 4 2 2 2 2 3 4 3 2" xfId="44432"/>
    <cellStyle name="Normal 11 4 2 2 2 2 3 4 4" xfId="31937"/>
    <cellStyle name="Normal 11 4 2 2 2 2 3 5" xfId="11830"/>
    <cellStyle name="Normal 11 4 2 2 2 2 3 5 2" xfId="35253"/>
    <cellStyle name="Normal 11 4 2 2 2 2 3 6" xfId="19142"/>
    <cellStyle name="Normal 11 4 2 2 2 2 3 6 2" xfId="41699"/>
    <cellStyle name="Normal 11 4 2 2 2 2 3 7" xfId="28621"/>
    <cellStyle name="Normal 11 4 2 2 2 2 4" xfId="3817"/>
    <cellStyle name="Normal 11 4 2 2 2 2 4 2" xfId="6930"/>
    <cellStyle name="Normal 11 4 2 2 2 2 4 2 2" xfId="10262"/>
    <cellStyle name="Normal 11 4 2 2 2 2 4 2 2 2" xfId="16966"/>
    <cellStyle name="Normal 11 4 2 2 2 2 4 2 2 2 2" xfId="40387"/>
    <cellStyle name="Normal 11 4 2 2 2 2 4 2 2 3" xfId="33755"/>
    <cellStyle name="Normal 11 4 2 2 2 2 4 2 3" xfId="13650"/>
    <cellStyle name="Normal 11 4 2 2 2 2 4 2 3 2" xfId="37071"/>
    <cellStyle name="Normal 11 4 2 2 2 2 4 2 4" xfId="22425"/>
    <cellStyle name="Normal 11 4 2 2 2 2 4 2 4 2" xfId="44847"/>
    <cellStyle name="Normal 11 4 2 2 2 2 4 2 5" xfId="30439"/>
    <cellStyle name="Normal 11 4 2 2 2 2 4 3" xfId="8597"/>
    <cellStyle name="Normal 11 4 2 2 2 2 4 3 2" xfId="15308"/>
    <cellStyle name="Normal 11 4 2 2 2 2 4 3 2 2" xfId="38729"/>
    <cellStyle name="Normal 11 4 2 2 2 2 4 3 3" xfId="32097"/>
    <cellStyle name="Normal 11 4 2 2 2 2 4 4" xfId="11990"/>
    <cellStyle name="Normal 11 4 2 2 2 2 4 4 2" xfId="35413"/>
    <cellStyle name="Normal 11 4 2 2 2 2 4 5" xfId="19578"/>
    <cellStyle name="Normal 11 4 2 2 2 2 4 5 2" xfId="42115"/>
    <cellStyle name="Normal 11 4 2 2 2 2 4 6" xfId="28781"/>
    <cellStyle name="Normal 11 4 2 2 2 2 5" xfId="6297"/>
    <cellStyle name="Normal 11 4 2 2 2 2 5 2" xfId="9631"/>
    <cellStyle name="Normal 11 4 2 2 2 2 5 2 2" xfId="16335"/>
    <cellStyle name="Normal 11 4 2 2 2 2 5 2 2 2" xfId="39756"/>
    <cellStyle name="Normal 11 4 2 2 2 2 5 2 3" xfId="33124"/>
    <cellStyle name="Normal 11 4 2 2 2 2 5 3" xfId="13019"/>
    <cellStyle name="Normal 11 4 2 2 2 2 5 3 2" xfId="36440"/>
    <cellStyle name="Normal 11 4 2 2 2 2 5 4" xfId="20688"/>
    <cellStyle name="Normal 11 4 2 2 2 2 5 4 2" xfId="43139"/>
    <cellStyle name="Normal 11 4 2 2 2 2 5 5" xfId="29808"/>
    <cellStyle name="Normal 11 4 2 2 2 2 6" xfId="7963"/>
    <cellStyle name="Normal 11 4 2 2 2 2 6 2" xfId="14677"/>
    <cellStyle name="Normal 11 4 2 2 2 2 6 2 2" xfId="38098"/>
    <cellStyle name="Normal 11 4 2 2 2 2 6 3" xfId="21574"/>
    <cellStyle name="Normal 11 4 2 2 2 2 6 3 2" xfId="44023"/>
    <cellStyle name="Normal 11 4 2 2 2 2 6 4" xfId="31466"/>
    <cellStyle name="Normal 11 4 2 2 2 2 7" xfId="11359"/>
    <cellStyle name="Normal 11 4 2 2 2 2 7 2" xfId="34782"/>
    <cellStyle name="Normal 11 4 2 2 2 2 8" xfId="17938"/>
    <cellStyle name="Normal 11 4 2 2 2 2 8 2" xfId="41246"/>
    <cellStyle name="Normal 11 4 2 2 2 2 9" xfId="23516"/>
    <cellStyle name="Normal 11 4 2 2 2 2 9 2" xfId="45836"/>
    <cellStyle name="Normal 11 4 2 2 2 3" xfId="2183"/>
    <cellStyle name="Normal 11 4 2 2 2 3 2" xfId="5454"/>
    <cellStyle name="Normal 11 4 2 2 2 3 2 2" xfId="7280"/>
    <cellStyle name="Normal 11 4 2 2 2 3 2 2 2" xfId="10611"/>
    <cellStyle name="Normal 11 4 2 2 2 3 2 2 2 2" xfId="17315"/>
    <cellStyle name="Normal 11 4 2 2 2 3 2 2 2 2 2" xfId="40736"/>
    <cellStyle name="Normal 11 4 2 2 2 3 2 2 2 3" xfId="23031"/>
    <cellStyle name="Normal 11 4 2 2 2 3 2 2 2 3 2" xfId="45453"/>
    <cellStyle name="Normal 11 4 2 2 2 3 2 2 2 4" xfId="34104"/>
    <cellStyle name="Normal 11 4 2 2 2 3 2 2 3" xfId="13999"/>
    <cellStyle name="Normal 11 4 2 2 2 3 2 2 3 2" xfId="37420"/>
    <cellStyle name="Normal 11 4 2 2 2 3 2 2 4" xfId="20203"/>
    <cellStyle name="Normal 11 4 2 2 2 3 2 2 4 2" xfId="42738"/>
    <cellStyle name="Normal 11 4 2 2 2 3 2 2 5" xfId="30788"/>
    <cellStyle name="Normal 11 4 2 2 2 3 2 3" xfId="8953"/>
    <cellStyle name="Normal 11 4 2 2 2 3 2 3 2" xfId="15657"/>
    <cellStyle name="Normal 11 4 2 2 2 3 2 3 2 2" xfId="39078"/>
    <cellStyle name="Normal 11 4 2 2 2 3 2 3 3" xfId="21149"/>
    <cellStyle name="Normal 11 4 2 2 2 3 2 3 3 2" xfId="43600"/>
    <cellStyle name="Normal 11 4 2 2 2 3 2 3 4" xfId="32446"/>
    <cellStyle name="Normal 11 4 2 2 2 3 2 4" xfId="12341"/>
    <cellStyle name="Normal 11 4 2 2 2 3 2 4 2" xfId="22216"/>
    <cellStyle name="Normal 11 4 2 2 2 3 2 4 2 2" xfId="44638"/>
    <cellStyle name="Normal 11 4 2 2 2 3 2 4 3" xfId="35762"/>
    <cellStyle name="Normal 11 4 2 2 2 3 2 5" xfId="19364"/>
    <cellStyle name="Normal 11 4 2 2 2 3 2 5 2" xfId="41906"/>
    <cellStyle name="Normal 11 4 2 2 2 3 2 6" xfId="29130"/>
    <cellStyle name="Normal 11 4 2 2 2 3 3" xfId="6375"/>
    <cellStyle name="Normal 11 4 2 2 2 3 3 2" xfId="9709"/>
    <cellStyle name="Normal 11 4 2 2 2 3 3 2 2" xfId="16413"/>
    <cellStyle name="Normal 11 4 2 2 2 3 3 2 2 2" xfId="39834"/>
    <cellStyle name="Normal 11 4 2 2 2 3 3 2 3" xfId="22624"/>
    <cellStyle name="Normal 11 4 2 2 2 3 3 2 3 2" xfId="45046"/>
    <cellStyle name="Normal 11 4 2 2 2 3 3 2 4" xfId="33202"/>
    <cellStyle name="Normal 11 4 2 2 2 3 3 3" xfId="13097"/>
    <cellStyle name="Normal 11 4 2 2 2 3 3 3 2" xfId="36518"/>
    <cellStyle name="Normal 11 4 2 2 2 3 3 4" xfId="19787"/>
    <cellStyle name="Normal 11 4 2 2 2 3 3 4 2" xfId="42322"/>
    <cellStyle name="Normal 11 4 2 2 2 3 3 5" xfId="29886"/>
    <cellStyle name="Normal 11 4 2 2 2 3 4" xfId="8042"/>
    <cellStyle name="Normal 11 4 2 2 2 3 4 2" xfId="14755"/>
    <cellStyle name="Normal 11 4 2 2 2 3 4 2 2" xfId="38176"/>
    <cellStyle name="Normal 11 4 2 2 2 3 4 3" xfId="20690"/>
    <cellStyle name="Normal 11 4 2 2 2 3 4 3 2" xfId="43141"/>
    <cellStyle name="Normal 11 4 2 2 2 3 4 4" xfId="31544"/>
    <cellStyle name="Normal 11 4 2 2 2 3 5" xfId="11437"/>
    <cellStyle name="Normal 11 4 2 2 2 3 5 2" xfId="21782"/>
    <cellStyle name="Normal 11 4 2 2 2 3 5 2 2" xfId="44224"/>
    <cellStyle name="Normal 11 4 2 2 2 3 5 3" xfId="34860"/>
    <cellStyle name="Normal 11 4 2 2 2 3 6" xfId="18537"/>
    <cellStyle name="Normal 11 4 2 2 2 3 6 2" xfId="41481"/>
    <cellStyle name="Normal 11 4 2 2 2 3 7" xfId="25780"/>
    <cellStyle name="Normal 11 4 2 2 2 3 7 2" xfId="48025"/>
    <cellStyle name="Normal 11 4 2 2 2 3 8" xfId="28228"/>
    <cellStyle name="Normal 11 4 2 2 2 4" xfId="2663"/>
    <cellStyle name="Normal 11 4 2 2 2 4 2" xfId="5756"/>
    <cellStyle name="Normal 11 4 2 2 2 4 2 2" xfId="7538"/>
    <cellStyle name="Normal 11 4 2 2 2 4 2 2 2" xfId="10867"/>
    <cellStyle name="Normal 11 4 2 2 2 4 2 2 2 2" xfId="17571"/>
    <cellStyle name="Normal 11 4 2 2 2 4 2 2 2 2 2" xfId="40992"/>
    <cellStyle name="Normal 11 4 2 2 2 4 2 2 2 3" xfId="34360"/>
    <cellStyle name="Normal 11 4 2 2 2 4 2 2 3" xfId="14255"/>
    <cellStyle name="Normal 11 4 2 2 2 4 2 2 3 2" xfId="37676"/>
    <cellStyle name="Normal 11 4 2 2 2 4 2 2 4" xfId="22831"/>
    <cellStyle name="Normal 11 4 2 2 2 4 2 2 4 2" xfId="45253"/>
    <cellStyle name="Normal 11 4 2 2 2 4 2 2 5" xfId="31044"/>
    <cellStyle name="Normal 11 4 2 2 2 4 2 3" xfId="9209"/>
    <cellStyle name="Normal 11 4 2 2 2 4 2 3 2" xfId="15913"/>
    <cellStyle name="Normal 11 4 2 2 2 4 2 3 2 2" xfId="39334"/>
    <cellStyle name="Normal 11 4 2 2 2 4 2 3 3" xfId="32702"/>
    <cellStyle name="Normal 11 4 2 2 2 4 2 4" xfId="12597"/>
    <cellStyle name="Normal 11 4 2 2 2 4 2 4 2" xfId="36018"/>
    <cellStyle name="Normal 11 4 2 2 2 4 2 5" xfId="19995"/>
    <cellStyle name="Normal 11 4 2 2 2 4 2 5 2" xfId="42530"/>
    <cellStyle name="Normal 11 4 2 2 2 4 2 6" xfId="29386"/>
    <cellStyle name="Normal 11 4 2 2 2 4 3" xfId="6639"/>
    <cellStyle name="Normal 11 4 2 2 2 4 3 2" xfId="9971"/>
    <cellStyle name="Normal 11 4 2 2 2 4 3 2 2" xfId="16675"/>
    <cellStyle name="Normal 11 4 2 2 2 4 3 2 2 2" xfId="40096"/>
    <cellStyle name="Normal 11 4 2 2 2 4 3 2 3" xfId="33464"/>
    <cellStyle name="Normal 11 4 2 2 2 4 3 3" xfId="13359"/>
    <cellStyle name="Normal 11 4 2 2 2 4 3 3 2" xfId="36780"/>
    <cellStyle name="Normal 11 4 2 2 2 4 3 4" xfId="21146"/>
    <cellStyle name="Normal 11 4 2 2 2 4 3 4 2" xfId="43597"/>
    <cellStyle name="Normal 11 4 2 2 2 4 3 5" xfId="30148"/>
    <cellStyle name="Normal 11 4 2 2 2 4 4" xfId="8305"/>
    <cellStyle name="Normal 11 4 2 2 2 4 4 2" xfId="15017"/>
    <cellStyle name="Normal 11 4 2 2 2 4 4 2 2" xfId="38438"/>
    <cellStyle name="Normal 11 4 2 2 2 4 4 3" xfId="22003"/>
    <cellStyle name="Normal 11 4 2 2 2 4 4 3 2" xfId="44431"/>
    <cellStyle name="Normal 11 4 2 2 2 4 4 4" xfId="31806"/>
    <cellStyle name="Normal 11 4 2 2 2 4 5" xfId="11699"/>
    <cellStyle name="Normal 11 4 2 2 2 4 5 2" xfId="35122"/>
    <cellStyle name="Normal 11 4 2 2 2 4 6" xfId="19141"/>
    <cellStyle name="Normal 11 4 2 2 2 4 6 2" xfId="41698"/>
    <cellStyle name="Normal 11 4 2 2 2 4 7" xfId="28490"/>
    <cellStyle name="Normal 11 4 2 2 2 5" xfId="3816"/>
    <cellStyle name="Normal 11 4 2 2 2 5 2" xfId="6929"/>
    <cellStyle name="Normal 11 4 2 2 2 5 2 2" xfId="10261"/>
    <cellStyle name="Normal 11 4 2 2 2 5 2 2 2" xfId="16965"/>
    <cellStyle name="Normal 11 4 2 2 2 5 2 2 2 2" xfId="40386"/>
    <cellStyle name="Normal 11 4 2 2 2 5 2 2 3" xfId="33754"/>
    <cellStyle name="Normal 11 4 2 2 2 5 2 3" xfId="13649"/>
    <cellStyle name="Normal 11 4 2 2 2 5 2 3 2" xfId="37070"/>
    <cellStyle name="Normal 11 4 2 2 2 5 2 4" xfId="22424"/>
    <cellStyle name="Normal 11 4 2 2 2 5 2 4 2" xfId="44846"/>
    <cellStyle name="Normal 11 4 2 2 2 5 2 5" xfId="30438"/>
    <cellStyle name="Normal 11 4 2 2 2 5 3" xfId="8596"/>
    <cellStyle name="Normal 11 4 2 2 2 5 3 2" xfId="15307"/>
    <cellStyle name="Normal 11 4 2 2 2 5 3 2 2" xfId="38728"/>
    <cellStyle name="Normal 11 4 2 2 2 5 3 3" xfId="32096"/>
    <cellStyle name="Normal 11 4 2 2 2 5 4" xfId="11989"/>
    <cellStyle name="Normal 11 4 2 2 2 5 4 2" xfId="35412"/>
    <cellStyle name="Normal 11 4 2 2 2 5 5" xfId="19577"/>
    <cellStyle name="Normal 11 4 2 2 2 5 5 2" xfId="42114"/>
    <cellStyle name="Normal 11 4 2 2 2 5 6" xfId="28780"/>
    <cellStyle name="Normal 11 4 2 2 2 6" xfId="6166"/>
    <cellStyle name="Normal 11 4 2 2 2 6 2" xfId="9500"/>
    <cellStyle name="Normal 11 4 2 2 2 6 2 2" xfId="16204"/>
    <cellStyle name="Normal 11 4 2 2 2 6 2 2 2" xfId="39625"/>
    <cellStyle name="Normal 11 4 2 2 2 6 2 3" xfId="32993"/>
    <cellStyle name="Normal 11 4 2 2 2 6 3" xfId="12888"/>
    <cellStyle name="Normal 11 4 2 2 2 6 3 2" xfId="36309"/>
    <cellStyle name="Normal 11 4 2 2 2 6 4" xfId="20687"/>
    <cellStyle name="Normal 11 4 2 2 2 6 4 2" xfId="43138"/>
    <cellStyle name="Normal 11 4 2 2 2 6 5" xfId="29677"/>
    <cellStyle name="Normal 11 4 2 2 2 7" xfId="7832"/>
    <cellStyle name="Normal 11 4 2 2 2 7 2" xfId="14546"/>
    <cellStyle name="Normal 11 4 2 2 2 7 2 2" xfId="37967"/>
    <cellStyle name="Normal 11 4 2 2 2 7 3" xfId="21573"/>
    <cellStyle name="Normal 11 4 2 2 2 7 3 2" xfId="44022"/>
    <cellStyle name="Normal 11 4 2 2 2 7 4" xfId="31335"/>
    <cellStyle name="Normal 11 4 2 2 2 8" xfId="11228"/>
    <cellStyle name="Normal 11 4 2 2 2 8 2" xfId="34651"/>
    <cellStyle name="Normal 11 4 2 2 2 9" xfId="17937"/>
    <cellStyle name="Normal 11 4 2 2 2 9 2" xfId="41245"/>
    <cellStyle name="Normal 11 4 2 2 3" xfId="1774"/>
    <cellStyle name="Normal 11 4 2 2 3 10" xfId="28126"/>
    <cellStyle name="Normal 11 4 2 2 3 2" xfId="2185"/>
    <cellStyle name="Normal 11 4 2 2 3 2 2" xfId="5456"/>
    <cellStyle name="Normal 11 4 2 2 3 2 2 2" xfId="7282"/>
    <cellStyle name="Normal 11 4 2 2 3 2 2 2 2" xfId="10613"/>
    <cellStyle name="Normal 11 4 2 2 3 2 2 2 2 2" xfId="17317"/>
    <cellStyle name="Normal 11 4 2 2 3 2 2 2 2 2 2" xfId="40738"/>
    <cellStyle name="Normal 11 4 2 2 3 2 2 2 2 3" xfId="23033"/>
    <cellStyle name="Normal 11 4 2 2 3 2 2 2 2 3 2" xfId="45455"/>
    <cellStyle name="Normal 11 4 2 2 3 2 2 2 2 4" xfId="34106"/>
    <cellStyle name="Normal 11 4 2 2 3 2 2 2 3" xfId="14001"/>
    <cellStyle name="Normal 11 4 2 2 3 2 2 2 3 2" xfId="37422"/>
    <cellStyle name="Normal 11 4 2 2 3 2 2 2 4" xfId="20205"/>
    <cellStyle name="Normal 11 4 2 2 3 2 2 2 4 2" xfId="42740"/>
    <cellStyle name="Normal 11 4 2 2 3 2 2 2 5" xfId="30790"/>
    <cellStyle name="Normal 11 4 2 2 3 2 2 3" xfId="8955"/>
    <cellStyle name="Normal 11 4 2 2 3 2 2 3 2" xfId="15659"/>
    <cellStyle name="Normal 11 4 2 2 3 2 2 3 2 2" xfId="39080"/>
    <cellStyle name="Normal 11 4 2 2 3 2 2 3 3" xfId="21151"/>
    <cellStyle name="Normal 11 4 2 2 3 2 2 3 3 2" xfId="43602"/>
    <cellStyle name="Normal 11 4 2 2 3 2 2 3 4" xfId="32448"/>
    <cellStyle name="Normal 11 4 2 2 3 2 2 4" xfId="12343"/>
    <cellStyle name="Normal 11 4 2 2 3 2 2 4 2" xfId="22218"/>
    <cellStyle name="Normal 11 4 2 2 3 2 2 4 2 2" xfId="44640"/>
    <cellStyle name="Normal 11 4 2 2 3 2 2 4 3" xfId="35764"/>
    <cellStyle name="Normal 11 4 2 2 3 2 2 5" xfId="19366"/>
    <cellStyle name="Normal 11 4 2 2 3 2 2 5 2" xfId="41908"/>
    <cellStyle name="Normal 11 4 2 2 3 2 2 6" xfId="29132"/>
    <cellStyle name="Normal 11 4 2 2 3 2 3" xfId="6377"/>
    <cellStyle name="Normal 11 4 2 2 3 2 3 2" xfId="9711"/>
    <cellStyle name="Normal 11 4 2 2 3 2 3 2 2" xfId="16415"/>
    <cellStyle name="Normal 11 4 2 2 3 2 3 2 2 2" xfId="39836"/>
    <cellStyle name="Normal 11 4 2 2 3 2 3 2 3" xfId="22626"/>
    <cellStyle name="Normal 11 4 2 2 3 2 3 2 3 2" xfId="45048"/>
    <cellStyle name="Normal 11 4 2 2 3 2 3 2 4" xfId="33204"/>
    <cellStyle name="Normal 11 4 2 2 3 2 3 3" xfId="13099"/>
    <cellStyle name="Normal 11 4 2 2 3 2 3 3 2" xfId="36520"/>
    <cellStyle name="Normal 11 4 2 2 3 2 3 4" xfId="19789"/>
    <cellStyle name="Normal 11 4 2 2 3 2 3 4 2" xfId="42324"/>
    <cellStyle name="Normal 11 4 2 2 3 2 3 5" xfId="29888"/>
    <cellStyle name="Normal 11 4 2 2 3 2 4" xfId="8044"/>
    <cellStyle name="Normal 11 4 2 2 3 2 4 2" xfId="14757"/>
    <cellStyle name="Normal 11 4 2 2 3 2 4 2 2" xfId="38178"/>
    <cellStyle name="Normal 11 4 2 2 3 2 4 3" xfId="20692"/>
    <cellStyle name="Normal 11 4 2 2 3 2 4 3 2" xfId="43143"/>
    <cellStyle name="Normal 11 4 2 2 3 2 4 4" xfId="31546"/>
    <cellStyle name="Normal 11 4 2 2 3 2 5" xfId="11439"/>
    <cellStyle name="Normal 11 4 2 2 3 2 5 2" xfId="21784"/>
    <cellStyle name="Normal 11 4 2 2 3 2 5 2 2" xfId="44226"/>
    <cellStyle name="Normal 11 4 2 2 3 2 5 3" xfId="34862"/>
    <cellStyle name="Normal 11 4 2 2 3 2 6" xfId="18539"/>
    <cellStyle name="Normal 11 4 2 2 3 2 6 2" xfId="41483"/>
    <cellStyle name="Normal 11 4 2 2 3 2 7" xfId="25782"/>
    <cellStyle name="Normal 11 4 2 2 3 2 7 2" xfId="48027"/>
    <cellStyle name="Normal 11 4 2 2 3 2 8" xfId="28230"/>
    <cellStyle name="Normal 11 4 2 2 3 3" xfId="2771"/>
    <cellStyle name="Normal 11 4 2 2 3 3 2" xfId="5863"/>
    <cellStyle name="Normal 11 4 2 2 3 3 2 2" xfId="7645"/>
    <cellStyle name="Normal 11 4 2 2 3 3 2 2 2" xfId="10974"/>
    <cellStyle name="Normal 11 4 2 2 3 3 2 2 2 2" xfId="17678"/>
    <cellStyle name="Normal 11 4 2 2 3 3 2 2 2 2 2" xfId="41099"/>
    <cellStyle name="Normal 11 4 2 2 3 3 2 2 2 3" xfId="34467"/>
    <cellStyle name="Normal 11 4 2 2 3 3 2 2 3" xfId="14362"/>
    <cellStyle name="Normal 11 4 2 2 3 3 2 2 3 2" xfId="37783"/>
    <cellStyle name="Normal 11 4 2 2 3 3 2 2 4" xfId="22833"/>
    <cellStyle name="Normal 11 4 2 2 3 3 2 2 4 2" xfId="45255"/>
    <cellStyle name="Normal 11 4 2 2 3 3 2 2 5" xfId="31151"/>
    <cellStyle name="Normal 11 4 2 2 3 3 2 3" xfId="9316"/>
    <cellStyle name="Normal 11 4 2 2 3 3 2 3 2" xfId="16020"/>
    <cellStyle name="Normal 11 4 2 2 3 3 2 3 2 2" xfId="39441"/>
    <cellStyle name="Normal 11 4 2 2 3 3 2 3 3" xfId="32809"/>
    <cellStyle name="Normal 11 4 2 2 3 3 2 4" xfId="12704"/>
    <cellStyle name="Normal 11 4 2 2 3 3 2 4 2" xfId="36125"/>
    <cellStyle name="Normal 11 4 2 2 3 3 2 5" xfId="19997"/>
    <cellStyle name="Normal 11 4 2 2 3 3 2 5 2" xfId="42532"/>
    <cellStyle name="Normal 11 4 2 2 3 3 2 6" xfId="29493"/>
    <cellStyle name="Normal 11 4 2 2 3 3 3" xfId="6746"/>
    <cellStyle name="Normal 11 4 2 2 3 3 3 2" xfId="10078"/>
    <cellStyle name="Normal 11 4 2 2 3 3 3 2 2" xfId="16782"/>
    <cellStyle name="Normal 11 4 2 2 3 3 3 2 2 2" xfId="40203"/>
    <cellStyle name="Normal 11 4 2 2 3 3 3 2 3" xfId="33571"/>
    <cellStyle name="Normal 11 4 2 2 3 3 3 3" xfId="13466"/>
    <cellStyle name="Normal 11 4 2 2 3 3 3 3 2" xfId="36887"/>
    <cellStyle name="Normal 11 4 2 2 3 3 3 4" xfId="21150"/>
    <cellStyle name="Normal 11 4 2 2 3 3 3 4 2" xfId="43601"/>
    <cellStyle name="Normal 11 4 2 2 3 3 3 5" xfId="30255"/>
    <cellStyle name="Normal 11 4 2 2 3 3 4" xfId="8412"/>
    <cellStyle name="Normal 11 4 2 2 3 3 4 2" xfId="15124"/>
    <cellStyle name="Normal 11 4 2 2 3 3 4 2 2" xfId="38545"/>
    <cellStyle name="Normal 11 4 2 2 3 3 4 3" xfId="22005"/>
    <cellStyle name="Normal 11 4 2 2 3 3 4 3 2" xfId="44433"/>
    <cellStyle name="Normal 11 4 2 2 3 3 4 4" xfId="31913"/>
    <cellStyle name="Normal 11 4 2 2 3 3 5" xfId="11806"/>
    <cellStyle name="Normal 11 4 2 2 3 3 5 2" xfId="35229"/>
    <cellStyle name="Normal 11 4 2 2 3 3 6" xfId="19143"/>
    <cellStyle name="Normal 11 4 2 2 3 3 6 2" xfId="41700"/>
    <cellStyle name="Normal 11 4 2 2 3 3 7" xfId="28597"/>
    <cellStyle name="Normal 11 4 2 2 3 4" xfId="3818"/>
    <cellStyle name="Normal 11 4 2 2 3 4 2" xfId="6931"/>
    <cellStyle name="Normal 11 4 2 2 3 4 2 2" xfId="10263"/>
    <cellStyle name="Normal 11 4 2 2 3 4 2 2 2" xfId="16967"/>
    <cellStyle name="Normal 11 4 2 2 3 4 2 2 2 2" xfId="40388"/>
    <cellStyle name="Normal 11 4 2 2 3 4 2 2 3" xfId="33756"/>
    <cellStyle name="Normal 11 4 2 2 3 4 2 3" xfId="13651"/>
    <cellStyle name="Normal 11 4 2 2 3 4 2 3 2" xfId="37072"/>
    <cellStyle name="Normal 11 4 2 2 3 4 2 4" xfId="22426"/>
    <cellStyle name="Normal 11 4 2 2 3 4 2 4 2" xfId="44848"/>
    <cellStyle name="Normal 11 4 2 2 3 4 2 5" xfId="30440"/>
    <cellStyle name="Normal 11 4 2 2 3 4 3" xfId="8598"/>
    <cellStyle name="Normal 11 4 2 2 3 4 3 2" xfId="15309"/>
    <cellStyle name="Normal 11 4 2 2 3 4 3 2 2" xfId="38730"/>
    <cellStyle name="Normal 11 4 2 2 3 4 3 3" xfId="32098"/>
    <cellStyle name="Normal 11 4 2 2 3 4 4" xfId="11991"/>
    <cellStyle name="Normal 11 4 2 2 3 4 4 2" xfId="35414"/>
    <cellStyle name="Normal 11 4 2 2 3 4 5" xfId="19579"/>
    <cellStyle name="Normal 11 4 2 2 3 4 5 2" xfId="42116"/>
    <cellStyle name="Normal 11 4 2 2 3 4 6" xfId="28782"/>
    <cellStyle name="Normal 11 4 2 2 3 5" xfId="6273"/>
    <cellStyle name="Normal 11 4 2 2 3 5 2" xfId="9607"/>
    <cellStyle name="Normal 11 4 2 2 3 5 2 2" xfId="16311"/>
    <cellStyle name="Normal 11 4 2 2 3 5 2 2 2" xfId="39732"/>
    <cellStyle name="Normal 11 4 2 2 3 5 2 3" xfId="33100"/>
    <cellStyle name="Normal 11 4 2 2 3 5 3" xfId="12995"/>
    <cellStyle name="Normal 11 4 2 2 3 5 3 2" xfId="36416"/>
    <cellStyle name="Normal 11 4 2 2 3 5 4" xfId="20691"/>
    <cellStyle name="Normal 11 4 2 2 3 5 4 2" xfId="43142"/>
    <cellStyle name="Normal 11 4 2 2 3 5 5" xfId="29784"/>
    <cellStyle name="Normal 11 4 2 2 3 6" xfId="7939"/>
    <cellStyle name="Normal 11 4 2 2 3 6 2" xfId="14653"/>
    <cellStyle name="Normal 11 4 2 2 3 6 2 2" xfId="38074"/>
    <cellStyle name="Normal 11 4 2 2 3 6 3" xfId="21575"/>
    <cellStyle name="Normal 11 4 2 2 3 6 3 2" xfId="44024"/>
    <cellStyle name="Normal 11 4 2 2 3 6 4" xfId="31442"/>
    <cellStyle name="Normal 11 4 2 2 3 7" xfId="11335"/>
    <cellStyle name="Normal 11 4 2 2 3 7 2" xfId="34758"/>
    <cellStyle name="Normal 11 4 2 2 3 8" xfId="17939"/>
    <cellStyle name="Normal 11 4 2 2 3 8 2" xfId="41247"/>
    <cellStyle name="Normal 11 4 2 2 3 9" xfId="23517"/>
    <cellStyle name="Normal 11 4 2 2 3 9 2" xfId="45837"/>
    <cellStyle name="Normal 11 4 2 2 4" xfId="2182"/>
    <cellStyle name="Normal 11 4 2 2 4 2" xfId="5453"/>
    <cellStyle name="Normal 11 4 2 2 4 2 2" xfId="7279"/>
    <cellStyle name="Normal 11 4 2 2 4 2 2 2" xfId="10610"/>
    <cellStyle name="Normal 11 4 2 2 4 2 2 2 2" xfId="17314"/>
    <cellStyle name="Normal 11 4 2 2 4 2 2 2 2 2" xfId="40735"/>
    <cellStyle name="Normal 11 4 2 2 4 2 2 2 3" xfId="23030"/>
    <cellStyle name="Normal 11 4 2 2 4 2 2 2 3 2" xfId="45452"/>
    <cellStyle name="Normal 11 4 2 2 4 2 2 2 4" xfId="34103"/>
    <cellStyle name="Normal 11 4 2 2 4 2 2 3" xfId="13998"/>
    <cellStyle name="Normal 11 4 2 2 4 2 2 3 2" xfId="37419"/>
    <cellStyle name="Normal 11 4 2 2 4 2 2 4" xfId="20202"/>
    <cellStyle name="Normal 11 4 2 2 4 2 2 4 2" xfId="42737"/>
    <cellStyle name="Normal 11 4 2 2 4 2 2 5" xfId="30787"/>
    <cellStyle name="Normal 11 4 2 2 4 2 3" xfId="8952"/>
    <cellStyle name="Normal 11 4 2 2 4 2 3 2" xfId="15656"/>
    <cellStyle name="Normal 11 4 2 2 4 2 3 2 2" xfId="39077"/>
    <cellStyle name="Normal 11 4 2 2 4 2 3 3" xfId="21152"/>
    <cellStyle name="Normal 11 4 2 2 4 2 3 3 2" xfId="43603"/>
    <cellStyle name="Normal 11 4 2 2 4 2 3 4" xfId="32445"/>
    <cellStyle name="Normal 11 4 2 2 4 2 4" xfId="12340"/>
    <cellStyle name="Normal 11 4 2 2 4 2 4 2" xfId="22215"/>
    <cellStyle name="Normal 11 4 2 2 4 2 4 2 2" xfId="44637"/>
    <cellStyle name="Normal 11 4 2 2 4 2 4 3" xfId="35761"/>
    <cellStyle name="Normal 11 4 2 2 4 2 5" xfId="19363"/>
    <cellStyle name="Normal 11 4 2 2 4 2 5 2" xfId="41905"/>
    <cellStyle name="Normal 11 4 2 2 4 2 6" xfId="29129"/>
    <cellStyle name="Normal 11 4 2 2 4 3" xfId="6374"/>
    <cellStyle name="Normal 11 4 2 2 4 3 2" xfId="9708"/>
    <cellStyle name="Normal 11 4 2 2 4 3 2 2" xfId="16412"/>
    <cellStyle name="Normal 11 4 2 2 4 3 2 2 2" xfId="39833"/>
    <cellStyle name="Normal 11 4 2 2 4 3 2 3" xfId="22623"/>
    <cellStyle name="Normal 11 4 2 2 4 3 2 3 2" xfId="45045"/>
    <cellStyle name="Normal 11 4 2 2 4 3 2 4" xfId="33201"/>
    <cellStyle name="Normal 11 4 2 2 4 3 3" xfId="13096"/>
    <cellStyle name="Normal 11 4 2 2 4 3 3 2" xfId="36517"/>
    <cellStyle name="Normal 11 4 2 2 4 3 4" xfId="19786"/>
    <cellStyle name="Normal 11 4 2 2 4 3 4 2" xfId="42321"/>
    <cellStyle name="Normal 11 4 2 2 4 3 5" xfId="29885"/>
    <cellStyle name="Normal 11 4 2 2 4 4" xfId="8041"/>
    <cellStyle name="Normal 11 4 2 2 4 4 2" xfId="14754"/>
    <cellStyle name="Normal 11 4 2 2 4 4 2 2" xfId="38175"/>
    <cellStyle name="Normal 11 4 2 2 4 4 3" xfId="20693"/>
    <cellStyle name="Normal 11 4 2 2 4 4 3 2" xfId="43144"/>
    <cellStyle name="Normal 11 4 2 2 4 4 4" xfId="31543"/>
    <cellStyle name="Normal 11 4 2 2 4 5" xfId="11436"/>
    <cellStyle name="Normal 11 4 2 2 4 5 2" xfId="21781"/>
    <cellStyle name="Normal 11 4 2 2 4 5 2 2" xfId="44223"/>
    <cellStyle name="Normal 11 4 2 2 4 5 3" xfId="34859"/>
    <cellStyle name="Normal 11 4 2 2 4 6" xfId="18536"/>
    <cellStyle name="Normal 11 4 2 2 4 6 2" xfId="41480"/>
    <cellStyle name="Normal 11 4 2 2 4 7" xfId="25779"/>
    <cellStyle name="Normal 11 4 2 2 4 7 2" xfId="48024"/>
    <cellStyle name="Normal 11 4 2 2 4 8" xfId="28227"/>
    <cellStyle name="Normal 11 4 2 2 5" xfId="2639"/>
    <cellStyle name="Normal 11 4 2 2 5 2" xfId="5732"/>
    <cellStyle name="Normal 11 4 2 2 5 2 2" xfId="7514"/>
    <cellStyle name="Normal 11 4 2 2 5 2 2 2" xfId="10843"/>
    <cellStyle name="Normal 11 4 2 2 5 2 2 2 2" xfId="17547"/>
    <cellStyle name="Normal 11 4 2 2 5 2 2 2 2 2" xfId="40968"/>
    <cellStyle name="Normal 11 4 2 2 5 2 2 2 3" xfId="34336"/>
    <cellStyle name="Normal 11 4 2 2 5 2 2 3" xfId="14231"/>
    <cellStyle name="Normal 11 4 2 2 5 2 2 3 2" xfId="37652"/>
    <cellStyle name="Normal 11 4 2 2 5 2 2 4" xfId="20577"/>
    <cellStyle name="Normal 11 4 2 2 5 2 2 4 2" xfId="43028"/>
    <cellStyle name="Normal 11 4 2 2 5 2 2 5" xfId="31020"/>
    <cellStyle name="Normal 11 4 2 2 5 2 3" xfId="9185"/>
    <cellStyle name="Normal 11 4 2 2 5 2 3 2" xfId="15889"/>
    <cellStyle name="Normal 11 4 2 2 5 2 3 2 2" xfId="39310"/>
    <cellStyle name="Normal 11 4 2 2 5 2 3 3" xfId="21495"/>
    <cellStyle name="Normal 11 4 2 2 5 2 3 3 2" xfId="43946"/>
    <cellStyle name="Normal 11 4 2 2 5 2 3 4" xfId="32678"/>
    <cellStyle name="Normal 11 4 2 2 5 2 4" xfId="12573"/>
    <cellStyle name="Normal 11 4 2 2 5 2 4 2" xfId="22830"/>
    <cellStyle name="Normal 11 4 2 2 5 2 4 2 2" xfId="45252"/>
    <cellStyle name="Normal 11 4 2 2 5 2 4 3" xfId="35994"/>
    <cellStyle name="Normal 11 4 2 2 5 2 5" xfId="19994"/>
    <cellStyle name="Normal 11 4 2 2 5 2 5 2" xfId="42529"/>
    <cellStyle name="Normal 11 4 2 2 5 2 6" xfId="29362"/>
    <cellStyle name="Normal 11 4 2 2 5 3" xfId="6615"/>
    <cellStyle name="Normal 11 4 2 2 5 3 2" xfId="9947"/>
    <cellStyle name="Normal 11 4 2 2 5 3 2 2" xfId="16651"/>
    <cellStyle name="Normal 11 4 2 2 5 3 2 2 2" xfId="40072"/>
    <cellStyle name="Normal 11 4 2 2 5 3 2 3" xfId="33440"/>
    <cellStyle name="Normal 11 4 2 2 5 3 3" xfId="13335"/>
    <cellStyle name="Normal 11 4 2 2 5 3 3 2" xfId="36756"/>
    <cellStyle name="Normal 11 4 2 2 5 3 4" xfId="20479"/>
    <cellStyle name="Normal 11 4 2 2 5 3 4 2" xfId="42932"/>
    <cellStyle name="Normal 11 4 2 2 5 3 5" xfId="30124"/>
    <cellStyle name="Normal 11 4 2 2 5 4" xfId="8281"/>
    <cellStyle name="Normal 11 4 2 2 5 4 2" xfId="14993"/>
    <cellStyle name="Normal 11 4 2 2 5 4 2 2" xfId="38414"/>
    <cellStyle name="Normal 11 4 2 2 5 4 3" xfId="21036"/>
    <cellStyle name="Normal 11 4 2 2 5 4 3 2" xfId="43487"/>
    <cellStyle name="Normal 11 4 2 2 5 4 4" xfId="31782"/>
    <cellStyle name="Normal 11 4 2 2 5 5" xfId="11675"/>
    <cellStyle name="Normal 11 4 2 2 5 5 2" xfId="22002"/>
    <cellStyle name="Normal 11 4 2 2 5 5 2 2" xfId="44430"/>
    <cellStyle name="Normal 11 4 2 2 5 5 3" xfId="35098"/>
    <cellStyle name="Normal 11 4 2 2 5 6" xfId="19140"/>
    <cellStyle name="Normal 11 4 2 2 5 6 2" xfId="41697"/>
    <cellStyle name="Normal 11 4 2 2 5 7" xfId="28466"/>
    <cellStyle name="Normal 11 4 2 2 6" xfId="3815"/>
    <cellStyle name="Normal 11 4 2 2 6 2" xfId="6928"/>
    <cellStyle name="Normal 11 4 2 2 6 2 2" xfId="10260"/>
    <cellStyle name="Normal 11 4 2 2 6 2 2 2" xfId="16964"/>
    <cellStyle name="Normal 11 4 2 2 6 2 2 2 2" xfId="40385"/>
    <cellStyle name="Normal 11 4 2 2 6 2 2 3" xfId="33753"/>
    <cellStyle name="Normal 11 4 2 2 6 2 3" xfId="13648"/>
    <cellStyle name="Normal 11 4 2 2 6 2 3 2" xfId="37069"/>
    <cellStyle name="Normal 11 4 2 2 6 2 4" xfId="20525"/>
    <cellStyle name="Normal 11 4 2 2 6 2 4 2" xfId="42978"/>
    <cellStyle name="Normal 11 4 2 2 6 2 5" xfId="30437"/>
    <cellStyle name="Normal 11 4 2 2 6 3" xfId="8595"/>
    <cellStyle name="Normal 11 4 2 2 6 3 2" xfId="15306"/>
    <cellStyle name="Normal 11 4 2 2 6 3 2 2" xfId="38727"/>
    <cellStyle name="Normal 11 4 2 2 6 3 3" xfId="21145"/>
    <cellStyle name="Normal 11 4 2 2 6 3 3 2" xfId="43596"/>
    <cellStyle name="Normal 11 4 2 2 6 3 4" xfId="32095"/>
    <cellStyle name="Normal 11 4 2 2 6 4" xfId="11988"/>
    <cellStyle name="Normal 11 4 2 2 6 4 2" xfId="22423"/>
    <cellStyle name="Normal 11 4 2 2 6 4 2 2" xfId="44845"/>
    <cellStyle name="Normal 11 4 2 2 6 4 3" xfId="35411"/>
    <cellStyle name="Normal 11 4 2 2 6 5" xfId="19576"/>
    <cellStyle name="Normal 11 4 2 2 6 5 2" xfId="42113"/>
    <cellStyle name="Normal 11 4 2 2 6 6" xfId="28779"/>
    <cellStyle name="Normal 11 4 2 2 7" xfId="6142"/>
    <cellStyle name="Normal 11 4 2 2 7 2" xfId="9476"/>
    <cellStyle name="Normal 11 4 2 2 7 2 2" xfId="16180"/>
    <cellStyle name="Normal 11 4 2 2 7 2 2 2" xfId="39601"/>
    <cellStyle name="Normal 11 4 2 2 7 2 3" xfId="32969"/>
    <cellStyle name="Normal 11 4 2 2 7 3" xfId="12864"/>
    <cellStyle name="Normal 11 4 2 2 7 3 2" xfId="36285"/>
    <cellStyle name="Normal 11 4 2 2 7 4" xfId="19075"/>
    <cellStyle name="Normal 11 4 2 2 7 4 2" xfId="41654"/>
    <cellStyle name="Normal 11 4 2 2 7 5" xfId="29653"/>
    <cellStyle name="Normal 11 4 2 2 8" xfId="7808"/>
    <cellStyle name="Normal 11 4 2 2 8 2" xfId="14522"/>
    <cellStyle name="Normal 11 4 2 2 8 2 2" xfId="37943"/>
    <cellStyle name="Normal 11 4 2 2 8 3" xfId="20686"/>
    <cellStyle name="Normal 11 4 2 2 8 3 2" xfId="43137"/>
    <cellStyle name="Normal 11 4 2 2 8 4" xfId="31311"/>
    <cellStyle name="Normal 11 4 2 2 9" xfId="11204"/>
    <cellStyle name="Normal 11 4 2 2 9 2" xfId="21572"/>
    <cellStyle name="Normal 11 4 2 2 9 2 2" xfId="44021"/>
    <cellStyle name="Normal 11 4 2 2 9 3" xfId="34627"/>
    <cellStyle name="Normal 11 4 2 3" xfId="1577"/>
    <cellStyle name="Normal 11 4 2 3 10" xfId="23518"/>
    <cellStyle name="Normal 11 4 2 3 10 2" xfId="45838"/>
    <cellStyle name="Normal 11 4 2 3 11" xfId="28018"/>
    <cellStyle name="Normal 11 4 2 3 2" xfId="1797"/>
    <cellStyle name="Normal 11 4 2 3 2 10" xfId="28149"/>
    <cellStyle name="Normal 11 4 2 3 2 2" xfId="2187"/>
    <cellStyle name="Normal 11 4 2 3 2 2 2" xfId="5458"/>
    <cellStyle name="Normal 11 4 2 3 2 2 2 2" xfId="7284"/>
    <cellStyle name="Normal 11 4 2 3 2 2 2 2 2" xfId="10615"/>
    <cellStyle name="Normal 11 4 2 3 2 2 2 2 2 2" xfId="17319"/>
    <cellStyle name="Normal 11 4 2 3 2 2 2 2 2 2 2" xfId="40740"/>
    <cellStyle name="Normal 11 4 2 3 2 2 2 2 2 3" xfId="23035"/>
    <cellStyle name="Normal 11 4 2 3 2 2 2 2 2 3 2" xfId="45457"/>
    <cellStyle name="Normal 11 4 2 3 2 2 2 2 2 4" xfId="34108"/>
    <cellStyle name="Normal 11 4 2 3 2 2 2 2 3" xfId="14003"/>
    <cellStyle name="Normal 11 4 2 3 2 2 2 2 3 2" xfId="37424"/>
    <cellStyle name="Normal 11 4 2 3 2 2 2 2 4" xfId="20207"/>
    <cellStyle name="Normal 11 4 2 3 2 2 2 2 4 2" xfId="42742"/>
    <cellStyle name="Normal 11 4 2 3 2 2 2 2 5" xfId="30792"/>
    <cellStyle name="Normal 11 4 2 3 2 2 2 3" xfId="8957"/>
    <cellStyle name="Normal 11 4 2 3 2 2 2 3 2" xfId="15661"/>
    <cellStyle name="Normal 11 4 2 3 2 2 2 3 2 2" xfId="39082"/>
    <cellStyle name="Normal 11 4 2 3 2 2 2 3 3" xfId="21155"/>
    <cellStyle name="Normal 11 4 2 3 2 2 2 3 3 2" xfId="43606"/>
    <cellStyle name="Normal 11 4 2 3 2 2 2 3 4" xfId="32450"/>
    <cellStyle name="Normal 11 4 2 3 2 2 2 4" xfId="12345"/>
    <cellStyle name="Normal 11 4 2 3 2 2 2 4 2" xfId="22220"/>
    <cellStyle name="Normal 11 4 2 3 2 2 2 4 2 2" xfId="44642"/>
    <cellStyle name="Normal 11 4 2 3 2 2 2 4 3" xfId="35766"/>
    <cellStyle name="Normal 11 4 2 3 2 2 2 5" xfId="19368"/>
    <cellStyle name="Normal 11 4 2 3 2 2 2 5 2" xfId="41910"/>
    <cellStyle name="Normal 11 4 2 3 2 2 2 6" xfId="29134"/>
    <cellStyle name="Normal 11 4 2 3 2 2 3" xfId="6379"/>
    <cellStyle name="Normal 11 4 2 3 2 2 3 2" xfId="9713"/>
    <cellStyle name="Normal 11 4 2 3 2 2 3 2 2" xfId="16417"/>
    <cellStyle name="Normal 11 4 2 3 2 2 3 2 2 2" xfId="39838"/>
    <cellStyle name="Normal 11 4 2 3 2 2 3 2 3" xfId="22628"/>
    <cellStyle name="Normal 11 4 2 3 2 2 3 2 3 2" xfId="45050"/>
    <cellStyle name="Normal 11 4 2 3 2 2 3 2 4" xfId="33206"/>
    <cellStyle name="Normal 11 4 2 3 2 2 3 3" xfId="13101"/>
    <cellStyle name="Normal 11 4 2 3 2 2 3 3 2" xfId="36522"/>
    <cellStyle name="Normal 11 4 2 3 2 2 3 4" xfId="19791"/>
    <cellStyle name="Normal 11 4 2 3 2 2 3 4 2" xfId="42326"/>
    <cellStyle name="Normal 11 4 2 3 2 2 3 5" xfId="29890"/>
    <cellStyle name="Normal 11 4 2 3 2 2 4" xfId="8046"/>
    <cellStyle name="Normal 11 4 2 3 2 2 4 2" xfId="14759"/>
    <cellStyle name="Normal 11 4 2 3 2 2 4 2 2" xfId="38180"/>
    <cellStyle name="Normal 11 4 2 3 2 2 4 3" xfId="20696"/>
    <cellStyle name="Normal 11 4 2 3 2 2 4 3 2" xfId="43147"/>
    <cellStyle name="Normal 11 4 2 3 2 2 4 4" xfId="31548"/>
    <cellStyle name="Normal 11 4 2 3 2 2 5" xfId="11441"/>
    <cellStyle name="Normal 11 4 2 3 2 2 5 2" xfId="21786"/>
    <cellStyle name="Normal 11 4 2 3 2 2 5 2 2" xfId="44228"/>
    <cellStyle name="Normal 11 4 2 3 2 2 5 3" xfId="34864"/>
    <cellStyle name="Normal 11 4 2 3 2 2 6" xfId="18541"/>
    <cellStyle name="Normal 11 4 2 3 2 2 6 2" xfId="41485"/>
    <cellStyle name="Normal 11 4 2 3 2 2 7" xfId="25784"/>
    <cellStyle name="Normal 11 4 2 3 2 2 7 2" xfId="48029"/>
    <cellStyle name="Normal 11 4 2 3 2 2 8" xfId="28232"/>
    <cellStyle name="Normal 11 4 2 3 2 3" xfId="2794"/>
    <cellStyle name="Normal 11 4 2 3 2 3 2" xfId="5886"/>
    <cellStyle name="Normal 11 4 2 3 2 3 2 2" xfId="7668"/>
    <cellStyle name="Normal 11 4 2 3 2 3 2 2 2" xfId="10997"/>
    <cellStyle name="Normal 11 4 2 3 2 3 2 2 2 2" xfId="17701"/>
    <cellStyle name="Normal 11 4 2 3 2 3 2 2 2 2 2" xfId="41122"/>
    <cellStyle name="Normal 11 4 2 3 2 3 2 2 2 3" xfId="34490"/>
    <cellStyle name="Normal 11 4 2 3 2 3 2 2 3" xfId="14385"/>
    <cellStyle name="Normal 11 4 2 3 2 3 2 2 3 2" xfId="37806"/>
    <cellStyle name="Normal 11 4 2 3 2 3 2 2 4" xfId="22835"/>
    <cellStyle name="Normal 11 4 2 3 2 3 2 2 4 2" xfId="45257"/>
    <cellStyle name="Normal 11 4 2 3 2 3 2 2 5" xfId="31174"/>
    <cellStyle name="Normal 11 4 2 3 2 3 2 3" xfId="9339"/>
    <cellStyle name="Normal 11 4 2 3 2 3 2 3 2" xfId="16043"/>
    <cellStyle name="Normal 11 4 2 3 2 3 2 3 2 2" xfId="39464"/>
    <cellStyle name="Normal 11 4 2 3 2 3 2 3 3" xfId="32832"/>
    <cellStyle name="Normal 11 4 2 3 2 3 2 4" xfId="12727"/>
    <cellStyle name="Normal 11 4 2 3 2 3 2 4 2" xfId="36148"/>
    <cellStyle name="Normal 11 4 2 3 2 3 2 5" xfId="19999"/>
    <cellStyle name="Normal 11 4 2 3 2 3 2 5 2" xfId="42534"/>
    <cellStyle name="Normal 11 4 2 3 2 3 2 6" xfId="29516"/>
    <cellStyle name="Normal 11 4 2 3 2 3 3" xfId="6769"/>
    <cellStyle name="Normal 11 4 2 3 2 3 3 2" xfId="10101"/>
    <cellStyle name="Normal 11 4 2 3 2 3 3 2 2" xfId="16805"/>
    <cellStyle name="Normal 11 4 2 3 2 3 3 2 2 2" xfId="40226"/>
    <cellStyle name="Normal 11 4 2 3 2 3 3 2 3" xfId="33594"/>
    <cellStyle name="Normal 11 4 2 3 2 3 3 3" xfId="13489"/>
    <cellStyle name="Normal 11 4 2 3 2 3 3 3 2" xfId="36910"/>
    <cellStyle name="Normal 11 4 2 3 2 3 3 4" xfId="21154"/>
    <cellStyle name="Normal 11 4 2 3 2 3 3 4 2" xfId="43605"/>
    <cellStyle name="Normal 11 4 2 3 2 3 3 5" xfId="30278"/>
    <cellStyle name="Normal 11 4 2 3 2 3 4" xfId="8435"/>
    <cellStyle name="Normal 11 4 2 3 2 3 4 2" xfId="15147"/>
    <cellStyle name="Normal 11 4 2 3 2 3 4 2 2" xfId="38568"/>
    <cellStyle name="Normal 11 4 2 3 2 3 4 3" xfId="22007"/>
    <cellStyle name="Normal 11 4 2 3 2 3 4 3 2" xfId="44435"/>
    <cellStyle name="Normal 11 4 2 3 2 3 4 4" xfId="31936"/>
    <cellStyle name="Normal 11 4 2 3 2 3 5" xfId="11829"/>
    <cellStyle name="Normal 11 4 2 3 2 3 5 2" xfId="35252"/>
    <cellStyle name="Normal 11 4 2 3 2 3 6" xfId="19145"/>
    <cellStyle name="Normal 11 4 2 3 2 3 6 2" xfId="41702"/>
    <cellStyle name="Normal 11 4 2 3 2 3 7" xfId="28620"/>
    <cellStyle name="Normal 11 4 2 3 2 4" xfId="3820"/>
    <cellStyle name="Normal 11 4 2 3 2 4 2" xfId="6933"/>
    <cellStyle name="Normal 11 4 2 3 2 4 2 2" xfId="10265"/>
    <cellStyle name="Normal 11 4 2 3 2 4 2 2 2" xfId="16969"/>
    <cellStyle name="Normal 11 4 2 3 2 4 2 2 2 2" xfId="40390"/>
    <cellStyle name="Normal 11 4 2 3 2 4 2 2 3" xfId="33758"/>
    <cellStyle name="Normal 11 4 2 3 2 4 2 3" xfId="13653"/>
    <cellStyle name="Normal 11 4 2 3 2 4 2 3 2" xfId="37074"/>
    <cellStyle name="Normal 11 4 2 3 2 4 2 4" xfId="22428"/>
    <cellStyle name="Normal 11 4 2 3 2 4 2 4 2" xfId="44850"/>
    <cellStyle name="Normal 11 4 2 3 2 4 2 5" xfId="30442"/>
    <cellStyle name="Normal 11 4 2 3 2 4 3" xfId="8600"/>
    <cellStyle name="Normal 11 4 2 3 2 4 3 2" xfId="15311"/>
    <cellStyle name="Normal 11 4 2 3 2 4 3 2 2" xfId="38732"/>
    <cellStyle name="Normal 11 4 2 3 2 4 3 3" xfId="32100"/>
    <cellStyle name="Normal 11 4 2 3 2 4 4" xfId="11993"/>
    <cellStyle name="Normal 11 4 2 3 2 4 4 2" xfId="35416"/>
    <cellStyle name="Normal 11 4 2 3 2 4 5" xfId="19581"/>
    <cellStyle name="Normal 11 4 2 3 2 4 5 2" xfId="42118"/>
    <cellStyle name="Normal 11 4 2 3 2 4 6" xfId="28784"/>
    <cellStyle name="Normal 11 4 2 3 2 5" xfId="6296"/>
    <cellStyle name="Normal 11 4 2 3 2 5 2" xfId="9630"/>
    <cellStyle name="Normal 11 4 2 3 2 5 2 2" xfId="16334"/>
    <cellStyle name="Normal 11 4 2 3 2 5 2 2 2" xfId="39755"/>
    <cellStyle name="Normal 11 4 2 3 2 5 2 3" xfId="33123"/>
    <cellStyle name="Normal 11 4 2 3 2 5 3" xfId="13018"/>
    <cellStyle name="Normal 11 4 2 3 2 5 3 2" xfId="36439"/>
    <cellStyle name="Normal 11 4 2 3 2 5 4" xfId="20695"/>
    <cellStyle name="Normal 11 4 2 3 2 5 4 2" xfId="43146"/>
    <cellStyle name="Normal 11 4 2 3 2 5 5" xfId="29807"/>
    <cellStyle name="Normal 11 4 2 3 2 6" xfId="7962"/>
    <cellStyle name="Normal 11 4 2 3 2 6 2" xfId="14676"/>
    <cellStyle name="Normal 11 4 2 3 2 6 2 2" xfId="38097"/>
    <cellStyle name="Normal 11 4 2 3 2 6 3" xfId="21577"/>
    <cellStyle name="Normal 11 4 2 3 2 6 3 2" xfId="44026"/>
    <cellStyle name="Normal 11 4 2 3 2 6 4" xfId="31465"/>
    <cellStyle name="Normal 11 4 2 3 2 7" xfId="11358"/>
    <cellStyle name="Normal 11 4 2 3 2 7 2" xfId="34781"/>
    <cellStyle name="Normal 11 4 2 3 2 8" xfId="17941"/>
    <cellStyle name="Normal 11 4 2 3 2 8 2" xfId="41249"/>
    <cellStyle name="Normal 11 4 2 3 2 9" xfId="23519"/>
    <cellStyle name="Normal 11 4 2 3 2 9 2" xfId="45839"/>
    <cellStyle name="Normal 11 4 2 3 3" xfId="2186"/>
    <cellStyle name="Normal 11 4 2 3 3 2" xfId="5457"/>
    <cellStyle name="Normal 11 4 2 3 3 2 2" xfId="7283"/>
    <cellStyle name="Normal 11 4 2 3 3 2 2 2" xfId="10614"/>
    <cellStyle name="Normal 11 4 2 3 3 2 2 2 2" xfId="17318"/>
    <cellStyle name="Normal 11 4 2 3 3 2 2 2 2 2" xfId="40739"/>
    <cellStyle name="Normal 11 4 2 3 3 2 2 2 3" xfId="23034"/>
    <cellStyle name="Normal 11 4 2 3 3 2 2 2 3 2" xfId="45456"/>
    <cellStyle name="Normal 11 4 2 3 3 2 2 2 4" xfId="34107"/>
    <cellStyle name="Normal 11 4 2 3 3 2 2 3" xfId="14002"/>
    <cellStyle name="Normal 11 4 2 3 3 2 2 3 2" xfId="37423"/>
    <cellStyle name="Normal 11 4 2 3 3 2 2 4" xfId="20206"/>
    <cellStyle name="Normal 11 4 2 3 3 2 2 4 2" xfId="42741"/>
    <cellStyle name="Normal 11 4 2 3 3 2 2 5" xfId="30791"/>
    <cellStyle name="Normal 11 4 2 3 3 2 3" xfId="8956"/>
    <cellStyle name="Normal 11 4 2 3 3 2 3 2" xfId="15660"/>
    <cellStyle name="Normal 11 4 2 3 3 2 3 2 2" xfId="39081"/>
    <cellStyle name="Normal 11 4 2 3 3 2 3 3" xfId="21156"/>
    <cellStyle name="Normal 11 4 2 3 3 2 3 3 2" xfId="43607"/>
    <cellStyle name="Normal 11 4 2 3 3 2 3 4" xfId="32449"/>
    <cellStyle name="Normal 11 4 2 3 3 2 4" xfId="12344"/>
    <cellStyle name="Normal 11 4 2 3 3 2 4 2" xfId="22219"/>
    <cellStyle name="Normal 11 4 2 3 3 2 4 2 2" xfId="44641"/>
    <cellStyle name="Normal 11 4 2 3 3 2 4 3" xfId="35765"/>
    <cellStyle name="Normal 11 4 2 3 3 2 5" xfId="19367"/>
    <cellStyle name="Normal 11 4 2 3 3 2 5 2" xfId="41909"/>
    <cellStyle name="Normal 11 4 2 3 3 2 6" xfId="29133"/>
    <cellStyle name="Normal 11 4 2 3 3 3" xfId="6378"/>
    <cellStyle name="Normal 11 4 2 3 3 3 2" xfId="9712"/>
    <cellStyle name="Normal 11 4 2 3 3 3 2 2" xfId="16416"/>
    <cellStyle name="Normal 11 4 2 3 3 3 2 2 2" xfId="39837"/>
    <cellStyle name="Normal 11 4 2 3 3 3 2 3" xfId="22627"/>
    <cellStyle name="Normal 11 4 2 3 3 3 2 3 2" xfId="45049"/>
    <cellStyle name="Normal 11 4 2 3 3 3 2 4" xfId="33205"/>
    <cellStyle name="Normal 11 4 2 3 3 3 3" xfId="13100"/>
    <cellStyle name="Normal 11 4 2 3 3 3 3 2" xfId="36521"/>
    <cellStyle name="Normal 11 4 2 3 3 3 4" xfId="19790"/>
    <cellStyle name="Normal 11 4 2 3 3 3 4 2" xfId="42325"/>
    <cellStyle name="Normal 11 4 2 3 3 3 5" xfId="29889"/>
    <cellStyle name="Normal 11 4 2 3 3 4" xfId="8045"/>
    <cellStyle name="Normal 11 4 2 3 3 4 2" xfId="14758"/>
    <cellStyle name="Normal 11 4 2 3 3 4 2 2" xfId="38179"/>
    <cellStyle name="Normal 11 4 2 3 3 4 3" xfId="20697"/>
    <cellStyle name="Normal 11 4 2 3 3 4 3 2" xfId="43148"/>
    <cellStyle name="Normal 11 4 2 3 3 4 4" xfId="31547"/>
    <cellStyle name="Normal 11 4 2 3 3 5" xfId="11440"/>
    <cellStyle name="Normal 11 4 2 3 3 5 2" xfId="21785"/>
    <cellStyle name="Normal 11 4 2 3 3 5 2 2" xfId="44227"/>
    <cellStyle name="Normal 11 4 2 3 3 5 3" xfId="34863"/>
    <cellStyle name="Normal 11 4 2 3 3 6" xfId="18540"/>
    <cellStyle name="Normal 11 4 2 3 3 6 2" xfId="41484"/>
    <cellStyle name="Normal 11 4 2 3 3 7" xfId="25783"/>
    <cellStyle name="Normal 11 4 2 3 3 7 2" xfId="48028"/>
    <cellStyle name="Normal 11 4 2 3 3 8" xfId="28231"/>
    <cellStyle name="Normal 11 4 2 3 4" xfId="2662"/>
    <cellStyle name="Normal 11 4 2 3 4 2" xfId="5755"/>
    <cellStyle name="Normal 11 4 2 3 4 2 2" xfId="7537"/>
    <cellStyle name="Normal 11 4 2 3 4 2 2 2" xfId="10866"/>
    <cellStyle name="Normal 11 4 2 3 4 2 2 2 2" xfId="17570"/>
    <cellStyle name="Normal 11 4 2 3 4 2 2 2 2 2" xfId="40991"/>
    <cellStyle name="Normal 11 4 2 3 4 2 2 2 3" xfId="34359"/>
    <cellStyle name="Normal 11 4 2 3 4 2 2 3" xfId="14254"/>
    <cellStyle name="Normal 11 4 2 3 4 2 2 3 2" xfId="37675"/>
    <cellStyle name="Normal 11 4 2 3 4 2 2 4" xfId="22834"/>
    <cellStyle name="Normal 11 4 2 3 4 2 2 4 2" xfId="45256"/>
    <cellStyle name="Normal 11 4 2 3 4 2 2 5" xfId="31043"/>
    <cellStyle name="Normal 11 4 2 3 4 2 3" xfId="9208"/>
    <cellStyle name="Normal 11 4 2 3 4 2 3 2" xfId="15912"/>
    <cellStyle name="Normal 11 4 2 3 4 2 3 2 2" xfId="39333"/>
    <cellStyle name="Normal 11 4 2 3 4 2 3 3" xfId="32701"/>
    <cellStyle name="Normal 11 4 2 3 4 2 4" xfId="12596"/>
    <cellStyle name="Normal 11 4 2 3 4 2 4 2" xfId="36017"/>
    <cellStyle name="Normal 11 4 2 3 4 2 5" xfId="19998"/>
    <cellStyle name="Normal 11 4 2 3 4 2 5 2" xfId="42533"/>
    <cellStyle name="Normal 11 4 2 3 4 2 6" xfId="29385"/>
    <cellStyle name="Normal 11 4 2 3 4 3" xfId="6638"/>
    <cellStyle name="Normal 11 4 2 3 4 3 2" xfId="9970"/>
    <cellStyle name="Normal 11 4 2 3 4 3 2 2" xfId="16674"/>
    <cellStyle name="Normal 11 4 2 3 4 3 2 2 2" xfId="40095"/>
    <cellStyle name="Normal 11 4 2 3 4 3 2 3" xfId="33463"/>
    <cellStyle name="Normal 11 4 2 3 4 3 3" xfId="13358"/>
    <cellStyle name="Normal 11 4 2 3 4 3 3 2" xfId="36779"/>
    <cellStyle name="Normal 11 4 2 3 4 3 4" xfId="21153"/>
    <cellStyle name="Normal 11 4 2 3 4 3 4 2" xfId="43604"/>
    <cellStyle name="Normal 11 4 2 3 4 3 5" xfId="30147"/>
    <cellStyle name="Normal 11 4 2 3 4 4" xfId="8304"/>
    <cellStyle name="Normal 11 4 2 3 4 4 2" xfId="15016"/>
    <cellStyle name="Normal 11 4 2 3 4 4 2 2" xfId="38437"/>
    <cellStyle name="Normal 11 4 2 3 4 4 3" xfId="22006"/>
    <cellStyle name="Normal 11 4 2 3 4 4 3 2" xfId="44434"/>
    <cellStyle name="Normal 11 4 2 3 4 4 4" xfId="31805"/>
    <cellStyle name="Normal 11 4 2 3 4 5" xfId="11698"/>
    <cellStyle name="Normal 11 4 2 3 4 5 2" xfId="35121"/>
    <cellStyle name="Normal 11 4 2 3 4 6" xfId="19144"/>
    <cellStyle name="Normal 11 4 2 3 4 6 2" xfId="41701"/>
    <cellStyle name="Normal 11 4 2 3 4 7" xfId="28489"/>
    <cellStyle name="Normal 11 4 2 3 5" xfId="3819"/>
    <cellStyle name="Normal 11 4 2 3 5 2" xfId="6932"/>
    <cellStyle name="Normal 11 4 2 3 5 2 2" xfId="10264"/>
    <cellStyle name="Normal 11 4 2 3 5 2 2 2" xfId="16968"/>
    <cellStyle name="Normal 11 4 2 3 5 2 2 2 2" xfId="40389"/>
    <cellStyle name="Normal 11 4 2 3 5 2 2 3" xfId="33757"/>
    <cellStyle name="Normal 11 4 2 3 5 2 3" xfId="13652"/>
    <cellStyle name="Normal 11 4 2 3 5 2 3 2" xfId="37073"/>
    <cellStyle name="Normal 11 4 2 3 5 2 4" xfId="22427"/>
    <cellStyle name="Normal 11 4 2 3 5 2 4 2" xfId="44849"/>
    <cellStyle name="Normal 11 4 2 3 5 2 5" xfId="30441"/>
    <cellStyle name="Normal 11 4 2 3 5 3" xfId="8599"/>
    <cellStyle name="Normal 11 4 2 3 5 3 2" xfId="15310"/>
    <cellStyle name="Normal 11 4 2 3 5 3 2 2" xfId="38731"/>
    <cellStyle name="Normal 11 4 2 3 5 3 3" xfId="32099"/>
    <cellStyle name="Normal 11 4 2 3 5 4" xfId="11992"/>
    <cellStyle name="Normal 11 4 2 3 5 4 2" xfId="35415"/>
    <cellStyle name="Normal 11 4 2 3 5 5" xfId="19580"/>
    <cellStyle name="Normal 11 4 2 3 5 5 2" xfId="42117"/>
    <cellStyle name="Normal 11 4 2 3 5 6" xfId="28783"/>
    <cellStyle name="Normal 11 4 2 3 6" xfId="6165"/>
    <cellStyle name="Normal 11 4 2 3 6 2" xfId="9499"/>
    <cellStyle name="Normal 11 4 2 3 6 2 2" xfId="16203"/>
    <cellStyle name="Normal 11 4 2 3 6 2 2 2" xfId="39624"/>
    <cellStyle name="Normal 11 4 2 3 6 2 3" xfId="32992"/>
    <cellStyle name="Normal 11 4 2 3 6 3" xfId="12887"/>
    <cellStyle name="Normal 11 4 2 3 6 3 2" xfId="36308"/>
    <cellStyle name="Normal 11 4 2 3 6 4" xfId="20694"/>
    <cellStyle name="Normal 11 4 2 3 6 4 2" xfId="43145"/>
    <cellStyle name="Normal 11 4 2 3 6 5" xfId="29676"/>
    <cellStyle name="Normal 11 4 2 3 7" xfId="7831"/>
    <cellStyle name="Normal 11 4 2 3 7 2" xfId="14545"/>
    <cellStyle name="Normal 11 4 2 3 7 2 2" xfId="37966"/>
    <cellStyle name="Normal 11 4 2 3 7 3" xfId="21576"/>
    <cellStyle name="Normal 11 4 2 3 7 3 2" xfId="44025"/>
    <cellStyle name="Normal 11 4 2 3 7 4" xfId="31334"/>
    <cellStyle name="Normal 11 4 2 3 8" xfId="11227"/>
    <cellStyle name="Normal 11 4 2 3 8 2" xfId="34650"/>
    <cellStyle name="Normal 11 4 2 3 9" xfId="17940"/>
    <cellStyle name="Normal 11 4 2 3 9 2" xfId="41248"/>
    <cellStyle name="Normal 11 4 2 4" xfId="1738"/>
    <cellStyle name="Normal 11 4 2 4 10" xfId="28090"/>
    <cellStyle name="Normal 11 4 2 4 2" xfId="2188"/>
    <cellStyle name="Normal 11 4 2 4 2 2" xfId="5459"/>
    <cellStyle name="Normal 11 4 2 4 2 2 2" xfId="7285"/>
    <cellStyle name="Normal 11 4 2 4 2 2 2 2" xfId="10616"/>
    <cellStyle name="Normal 11 4 2 4 2 2 2 2 2" xfId="17320"/>
    <cellStyle name="Normal 11 4 2 4 2 2 2 2 2 2" xfId="40741"/>
    <cellStyle name="Normal 11 4 2 4 2 2 2 2 3" xfId="23036"/>
    <cellStyle name="Normal 11 4 2 4 2 2 2 2 3 2" xfId="45458"/>
    <cellStyle name="Normal 11 4 2 4 2 2 2 2 4" xfId="34109"/>
    <cellStyle name="Normal 11 4 2 4 2 2 2 3" xfId="14004"/>
    <cellStyle name="Normal 11 4 2 4 2 2 2 3 2" xfId="37425"/>
    <cellStyle name="Normal 11 4 2 4 2 2 2 4" xfId="20208"/>
    <cellStyle name="Normal 11 4 2 4 2 2 2 4 2" xfId="42743"/>
    <cellStyle name="Normal 11 4 2 4 2 2 2 5" xfId="30793"/>
    <cellStyle name="Normal 11 4 2 4 2 2 3" xfId="8958"/>
    <cellStyle name="Normal 11 4 2 4 2 2 3 2" xfId="15662"/>
    <cellStyle name="Normal 11 4 2 4 2 2 3 2 2" xfId="39083"/>
    <cellStyle name="Normal 11 4 2 4 2 2 3 3" xfId="21158"/>
    <cellStyle name="Normal 11 4 2 4 2 2 3 3 2" xfId="43609"/>
    <cellStyle name="Normal 11 4 2 4 2 2 3 4" xfId="32451"/>
    <cellStyle name="Normal 11 4 2 4 2 2 4" xfId="12346"/>
    <cellStyle name="Normal 11 4 2 4 2 2 4 2" xfId="22221"/>
    <cellStyle name="Normal 11 4 2 4 2 2 4 2 2" xfId="44643"/>
    <cellStyle name="Normal 11 4 2 4 2 2 4 3" xfId="35767"/>
    <cellStyle name="Normal 11 4 2 4 2 2 5" xfId="19369"/>
    <cellStyle name="Normal 11 4 2 4 2 2 5 2" xfId="41911"/>
    <cellStyle name="Normal 11 4 2 4 2 2 6" xfId="29135"/>
    <cellStyle name="Normal 11 4 2 4 2 3" xfId="6380"/>
    <cellStyle name="Normal 11 4 2 4 2 3 2" xfId="9714"/>
    <cellStyle name="Normal 11 4 2 4 2 3 2 2" xfId="16418"/>
    <cellStyle name="Normal 11 4 2 4 2 3 2 2 2" xfId="39839"/>
    <cellStyle name="Normal 11 4 2 4 2 3 2 3" xfId="22629"/>
    <cellStyle name="Normal 11 4 2 4 2 3 2 3 2" xfId="45051"/>
    <cellStyle name="Normal 11 4 2 4 2 3 2 4" xfId="33207"/>
    <cellStyle name="Normal 11 4 2 4 2 3 3" xfId="13102"/>
    <cellStyle name="Normal 11 4 2 4 2 3 3 2" xfId="36523"/>
    <cellStyle name="Normal 11 4 2 4 2 3 4" xfId="19792"/>
    <cellStyle name="Normal 11 4 2 4 2 3 4 2" xfId="42327"/>
    <cellStyle name="Normal 11 4 2 4 2 3 5" xfId="29891"/>
    <cellStyle name="Normal 11 4 2 4 2 4" xfId="8047"/>
    <cellStyle name="Normal 11 4 2 4 2 4 2" xfId="14760"/>
    <cellStyle name="Normal 11 4 2 4 2 4 2 2" xfId="38181"/>
    <cellStyle name="Normal 11 4 2 4 2 4 3" xfId="20699"/>
    <cellStyle name="Normal 11 4 2 4 2 4 3 2" xfId="43150"/>
    <cellStyle name="Normal 11 4 2 4 2 4 4" xfId="31549"/>
    <cellStyle name="Normal 11 4 2 4 2 5" xfId="11442"/>
    <cellStyle name="Normal 11 4 2 4 2 5 2" xfId="21787"/>
    <cellStyle name="Normal 11 4 2 4 2 5 2 2" xfId="44229"/>
    <cellStyle name="Normal 11 4 2 4 2 5 3" xfId="34865"/>
    <cellStyle name="Normal 11 4 2 4 2 6" xfId="18542"/>
    <cellStyle name="Normal 11 4 2 4 2 6 2" xfId="41486"/>
    <cellStyle name="Normal 11 4 2 4 2 7" xfId="25785"/>
    <cellStyle name="Normal 11 4 2 4 2 7 2" xfId="48030"/>
    <cellStyle name="Normal 11 4 2 4 2 8" xfId="28233"/>
    <cellStyle name="Normal 11 4 2 4 3" xfId="2735"/>
    <cellStyle name="Normal 11 4 2 4 3 2" xfId="5827"/>
    <cellStyle name="Normal 11 4 2 4 3 2 2" xfId="7609"/>
    <cellStyle name="Normal 11 4 2 4 3 2 2 2" xfId="10938"/>
    <cellStyle name="Normal 11 4 2 4 3 2 2 2 2" xfId="17642"/>
    <cellStyle name="Normal 11 4 2 4 3 2 2 2 2 2" xfId="41063"/>
    <cellStyle name="Normal 11 4 2 4 3 2 2 2 3" xfId="34431"/>
    <cellStyle name="Normal 11 4 2 4 3 2 2 3" xfId="14326"/>
    <cellStyle name="Normal 11 4 2 4 3 2 2 3 2" xfId="37747"/>
    <cellStyle name="Normal 11 4 2 4 3 2 2 4" xfId="22836"/>
    <cellStyle name="Normal 11 4 2 4 3 2 2 4 2" xfId="45258"/>
    <cellStyle name="Normal 11 4 2 4 3 2 2 5" xfId="31115"/>
    <cellStyle name="Normal 11 4 2 4 3 2 3" xfId="9280"/>
    <cellStyle name="Normal 11 4 2 4 3 2 3 2" xfId="15984"/>
    <cellStyle name="Normal 11 4 2 4 3 2 3 2 2" xfId="39405"/>
    <cellStyle name="Normal 11 4 2 4 3 2 3 3" xfId="32773"/>
    <cellStyle name="Normal 11 4 2 4 3 2 4" xfId="12668"/>
    <cellStyle name="Normal 11 4 2 4 3 2 4 2" xfId="36089"/>
    <cellStyle name="Normal 11 4 2 4 3 2 5" xfId="20000"/>
    <cellStyle name="Normal 11 4 2 4 3 2 5 2" xfId="42535"/>
    <cellStyle name="Normal 11 4 2 4 3 2 6" xfId="29457"/>
    <cellStyle name="Normal 11 4 2 4 3 3" xfId="6710"/>
    <cellStyle name="Normal 11 4 2 4 3 3 2" xfId="10042"/>
    <cellStyle name="Normal 11 4 2 4 3 3 2 2" xfId="16746"/>
    <cellStyle name="Normal 11 4 2 4 3 3 2 2 2" xfId="40167"/>
    <cellStyle name="Normal 11 4 2 4 3 3 2 3" xfId="33535"/>
    <cellStyle name="Normal 11 4 2 4 3 3 3" xfId="13430"/>
    <cellStyle name="Normal 11 4 2 4 3 3 3 2" xfId="36851"/>
    <cellStyle name="Normal 11 4 2 4 3 3 4" xfId="21157"/>
    <cellStyle name="Normal 11 4 2 4 3 3 4 2" xfId="43608"/>
    <cellStyle name="Normal 11 4 2 4 3 3 5" xfId="30219"/>
    <cellStyle name="Normal 11 4 2 4 3 4" xfId="8376"/>
    <cellStyle name="Normal 11 4 2 4 3 4 2" xfId="15088"/>
    <cellStyle name="Normal 11 4 2 4 3 4 2 2" xfId="38509"/>
    <cellStyle name="Normal 11 4 2 4 3 4 3" xfId="22008"/>
    <cellStyle name="Normal 11 4 2 4 3 4 3 2" xfId="44436"/>
    <cellStyle name="Normal 11 4 2 4 3 4 4" xfId="31877"/>
    <cellStyle name="Normal 11 4 2 4 3 5" xfId="11770"/>
    <cellStyle name="Normal 11 4 2 4 3 5 2" xfId="35193"/>
    <cellStyle name="Normal 11 4 2 4 3 6" xfId="19146"/>
    <cellStyle name="Normal 11 4 2 4 3 6 2" xfId="41703"/>
    <cellStyle name="Normal 11 4 2 4 3 7" xfId="28561"/>
    <cellStyle name="Normal 11 4 2 4 4" xfId="3821"/>
    <cellStyle name="Normal 11 4 2 4 4 2" xfId="6934"/>
    <cellStyle name="Normal 11 4 2 4 4 2 2" xfId="10266"/>
    <cellStyle name="Normal 11 4 2 4 4 2 2 2" xfId="16970"/>
    <cellStyle name="Normal 11 4 2 4 4 2 2 2 2" xfId="40391"/>
    <cellStyle name="Normal 11 4 2 4 4 2 2 3" xfId="33759"/>
    <cellStyle name="Normal 11 4 2 4 4 2 3" xfId="13654"/>
    <cellStyle name="Normal 11 4 2 4 4 2 3 2" xfId="37075"/>
    <cellStyle name="Normal 11 4 2 4 4 2 4" xfId="22429"/>
    <cellStyle name="Normal 11 4 2 4 4 2 4 2" xfId="44851"/>
    <cellStyle name="Normal 11 4 2 4 4 2 5" xfId="30443"/>
    <cellStyle name="Normal 11 4 2 4 4 3" xfId="8601"/>
    <cellStyle name="Normal 11 4 2 4 4 3 2" xfId="15312"/>
    <cellStyle name="Normal 11 4 2 4 4 3 2 2" xfId="38733"/>
    <cellStyle name="Normal 11 4 2 4 4 3 3" xfId="32101"/>
    <cellStyle name="Normal 11 4 2 4 4 4" xfId="11994"/>
    <cellStyle name="Normal 11 4 2 4 4 4 2" xfId="35417"/>
    <cellStyle name="Normal 11 4 2 4 4 5" xfId="19582"/>
    <cellStyle name="Normal 11 4 2 4 4 5 2" xfId="42119"/>
    <cellStyle name="Normal 11 4 2 4 4 6" xfId="28785"/>
    <cellStyle name="Normal 11 4 2 4 5" xfId="6237"/>
    <cellStyle name="Normal 11 4 2 4 5 2" xfId="9571"/>
    <cellStyle name="Normal 11 4 2 4 5 2 2" xfId="16275"/>
    <cellStyle name="Normal 11 4 2 4 5 2 2 2" xfId="39696"/>
    <cellStyle name="Normal 11 4 2 4 5 2 3" xfId="33064"/>
    <cellStyle name="Normal 11 4 2 4 5 3" xfId="12959"/>
    <cellStyle name="Normal 11 4 2 4 5 3 2" xfId="36380"/>
    <cellStyle name="Normal 11 4 2 4 5 4" xfId="20698"/>
    <cellStyle name="Normal 11 4 2 4 5 4 2" xfId="43149"/>
    <cellStyle name="Normal 11 4 2 4 5 5" xfId="29748"/>
    <cellStyle name="Normal 11 4 2 4 6" xfId="7903"/>
    <cellStyle name="Normal 11 4 2 4 6 2" xfId="14617"/>
    <cellStyle name="Normal 11 4 2 4 6 2 2" xfId="38038"/>
    <cellStyle name="Normal 11 4 2 4 6 3" xfId="21578"/>
    <cellStyle name="Normal 11 4 2 4 6 3 2" xfId="44027"/>
    <cellStyle name="Normal 11 4 2 4 6 4" xfId="31406"/>
    <cellStyle name="Normal 11 4 2 4 7" xfId="11299"/>
    <cellStyle name="Normal 11 4 2 4 7 2" xfId="34722"/>
    <cellStyle name="Normal 11 4 2 4 8" xfId="17942"/>
    <cellStyle name="Normal 11 4 2 4 8 2" xfId="41250"/>
    <cellStyle name="Normal 11 4 2 4 9" xfId="23520"/>
    <cellStyle name="Normal 11 4 2 4 9 2" xfId="45840"/>
    <cellStyle name="Normal 11 4 2 5" xfId="2181"/>
    <cellStyle name="Normal 11 4 2 5 2" xfId="3822"/>
    <cellStyle name="Normal 11 4 2 5 2 2" xfId="6935"/>
    <cellStyle name="Normal 11 4 2 5 2 2 2" xfId="10267"/>
    <cellStyle name="Normal 11 4 2 5 2 2 2 2" xfId="16971"/>
    <cellStyle name="Normal 11 4 2 5 2 2 2 2 2" xfId="40392"/>
    <cellStyle name="Normal 11 4 2 5 2 2 2 3" xfId="23029"/>
    <cellStyle name="Normal 11 4 2 5 2 2 2 3 2" xfId="45451"/>
    <cellStyle name="Normal 11 4 2 5 2 2 2 4" xfId="33760"/>
    <cellStyle name="Normal 11 4 2 5 2 2 3" xfId="13655"/>
    <cellStyle name="Normal 11 4 2 5 2 2 3 2" xfId="37076"/>
    <cellStyle name="Normal 11 4 2 5 2 2 4" xfId="20201"/>
    <cellStyle name="Normal 11 4 2 5 2 2 4 2" xfId="42736"/>
    <cellStyle name="Normal 11 4 2 5 2 2 5" xfId="30444"/>
    <cellStyle name="Normal 11 4 2 5 2 3" xfId="8602"/>
    <cellStyle name="Normal 11 4 2 5 2 3 2" xfId="15313"/>
    <cellStyle name="Normal 11 4 2 5 2 3 2 2" xfId="38734"/>
    <cellStyle name="Normal 11 4 2 5 2 3 3" xfId="21159"/>
    <cellStyle name="Normal 11 4 2 5 2 3 3 2" xfId="43610"/>
    <cellStyle name="Normal 11 4 2 5 2 3 4" xfId="32102"/>
    <cellStyle name="Normal 11 4 2 5 2 4" xfId="11995"/>
    <cellStyle name="Normal 11 4 2 5 2 4 2" xfId="22214"/>
    <cellStyle name="Normal 11 4 2 5 2 4 2 2" xfId="44636"/>
    <cellStyle name="Normal 11 4 2 5 2 4 3" xfId="35418"/>
    <cellStyle name="Normal 11 4 2 5 2 5" xfId="19362"/>
    <cellStyle name="Normal 11 4 2 5 2 5 2" xfId="41904"/>
    <cellStyle name="Normal 11 4 2 5 2 6" xfId="25786"/>
    <cellStyle name="Normal 11 4 2 5 2 6 2" xfId="48031"/>
    <cellStyle name="Normal 11 4 2 5 2 7" xfId="28786"/>
    <cellStyle name="Normal 11 4 2 5 3" xfId="6373"/>
    <cellStyle name="Normal 11 4 2 5 3 2" xfId="9707"/>
    <cellStyle name="Normal 11 4 2 5 3 2 2" xfId="16411"/>
    <cellStyle name="Normal 11 4 2 5 3 2 2 2" xfId="39832"/>
    <cellStyle name="Normal 11 4 2 5 3 2 3" xfId="22622"/>
    <cellStyle name="Normal 11 4 2 5 3 2 3 2" xfId="45044"/>
    <cellStyle name="Normal 11 4 2 5 3 2 4" xfId="33200"/>
    <cellStyle name="Normal 11 4 2 5 3 3" xfId="13095"/>
    <cellStyle name="Normal 11 4 2 5 3 3 2" xfId="36516"/>
    <cellStyle name="Normal 11 4 2 5 3 4" xfId="19785"/>
    <cellStyle name="Normal 11 4 2 5 3 4 2" xfId="42320"/>
    <cellStyle name="Normal 11 4 2 5 3 5" xfId="29884"/>
    <cellStyle name="Normal 11 4 2 5 4" xfId="8040"/>
    <cellStyle name="Normal 11 4 2 5 4 2" xfId="14753"/>
    <cellStyle name="Normal 11 4 2 5 4 2 2" xfId="38174"/>
    <cellStyle name="Normal 11 4 2 5 4 3" xfId="20700"/>
    <cellStyle name="Normal 11 4 2 5 4 3 2" xfId="43151"/>
    <cellStyle name="Normal 11 4 2 5 4 4" xfId="31542"/>
    <cellStyle name="Normal 11 4 2 5 5" xfId="11435"/>
    <cellStyle name="Normal 11 4 2 5 5 2" xfId="21780"/>
    <cellStyle name="Normal 11 4 2 5 5 2 2" xfId="44222"/>
    <cellStyle name="Normal 11 4 2 5 5 3" xfId="34858"/>
    <cellStyle name="Normal 11 4 2 5 6" xfId="18535"/>
    <cellStyle name="Normal 11 4 2 5 6 2" xfId="41479"/>
    <cellStyle name="Normal 11 4 2 5 7" xfId="23521"/>
    <cellStyle name="Normal 11 4 2 5 7 2" xfId="45841"/>
    <cellStyle name="Normal 11 4 2 5 8" xfId="28226"/>
    <cellStyle name="Normal 11 4 2 6" xfId="2603"/>
    <cellStyle name="Normal 11 4 2 6 2" xfId="5696"/>
    <cellStyle name="Normal 11 4 2 6 2 2" xfId="7478"/>
    <cellStyle name="Normal 11 4 2 6 2 2 2" xfId="10807"/>
    <cellStyle name="Normal 11 4 2 6 2 2 2 2" xfId="17511"/>
    <cellStyle name="Normal 11 4 2 6 2 2 2 2 2" xfId="40932"/>
    <cellStyle name="Normal 11 4 2 6 2 2 2 3" xfId="34300"/>
    <cellStyle name="Normal 11 4 2 6 2 2 3" xfId="14195"/>
    <cellStyle name="Normal 11 4 2 6 2 2 3 2" xfId="37616"/>
    <cellStyle name="Normal 11 4 2 6 2 2 4" xfId="20576"/>
    <cellStyle name="Normal 11 4 2 6 2 2 4 2" xfId="43027"/>
    <cellStyle name="Normal 11 4 2 6 2 2 5" xfId="30984"/>
    <cellStyle name="Normal 11 4 2 6 2 3" xfId="9149"/>
    <cellStyle name="Normal 11 4 2 6 2 3 2" xfId="15853"/>
    <cellStyle name="Normal 11 4 2 6 2 3 2 2" xfId="39274"/>
    <cellStyle name="Normal 11 4 2 6 2 3 3" xfId="21494"/>
    <cellStyle name="Normal 11 4 2 6 2 3 3 2" xfId="43945"/>
    <cellStyle name="Normal 11 4 2 6 2 3 4" xfId="32642"/>
    <cellStyle name="Normal 11 4 2 6 2 4" xfId="12537"/>
    <cellStyle name="Normal 11 4 2 6 2 4 2" xfId="22829"/>
    <cellStyle name="Normal 11 4 2 6 2 4 2 2" xfId="45251"/>
    <cellStyle name="Normal 11 4 2 6 2 4 3" xfId="35958"/>
    <cellStyle name="Normal 11 4 2 6 2 5" xfId="19993"/>
    <cellStyle name="Normal 11 4 2 6 2 5 2" xfId="42528"/>
    <cellStyle name="Normal 11 4 2 6 2 6" xfId="29326"/>
    <cellStyle name="Normal 11 4 2 6 3" xfId="6579"/>
    <cellStyle name="Normal 11 4 2 6 3 2" xfId="9911"/>
    <cellStyle name="Normal 11 4 2 6 3 2 2" xfId="16615"/>
    <cellStyle name="Normal 11 4 2 6 3 2 2 2" xfId="40036"/>
    <cellStyle name="Normal 11 4 2 6 3 2 3" xfId="33404"/>
    <cellStyle name="Normal 11 4 2 6 3 3" xfId="13299"/>
    <cellStyle name="Normal 11 4 2 6 3 3 2" xfId="36720"/>
    <cellStyle name="Normal 11 4 2 6 3 4" xfId="20478"/>
    <cellStyle name="Normal 11 4 2 6 3 4 2" xfId="42931"/>
    <cellStyle name="Normal 11 4 2 6 3 5" xfId="30088"/>
    <cellStyle name="Normal 11 4 2 6 4" xfId="8245"/>
    <cellStyle name="Normal 11 4 2 6 4 2" xfId="14957"/>
    <cellStyle name="Normal 11 4 2 6 4 2 2" xfId="38378"/>
    <cellStyle name="Normal 11 4 2 6 4 3" xfId="21035"/>
    <cellStyle name="Normal 11 4 2 6 4 3 2" xfId="43486"/>
    <cellStyle name="Normal 11 4 2 6 4 4" xfId="31746"/>
    <cellStyle name="Normal 11 4 2 6 5" xfId="11639"/>
    <cellStyle name="Normal 11 4 2 6 5 2" xfId="22001"/>
    <cellStyle name="Normal 11 4 2 6 5 2 2" xfId="44429"/>
    <cellStyle name="Normal 11 4 2 6 5 3" xfId="35062"/>
    <cellStyle name="Normal 11 4 2 6 6" xfId="19139"/>
    <cellStyle name="Normal 11 4 2 6 6 2" xfId="41696"/>
    <cellStyle name="Normal 11 4 2 6 7" xfId="28430"/>
    <cellStyle name="Normal 11 4 2 7" xfId="3814"/>
    <cellStyle name="Normal 11 4 2 7 2" xfId="19575"/>
    <cellStyle name="Normal 11 4 2 7 2 2" xfId="42112"/>
    <cellStyle name="Normal 11 4 2 7 3" xfId="21144"/>
    <cellStyle name="Normal 11 4 2 7 3 2" xfId="43595"/>
    <cellStyle name="Normal 11 4 2 7 4" xfId="22422"/>
    <cellStyle name="Normal 11 4 2 7 4 2" xfId="44844"/>
    <cellStyle name="Normal 11 4 2 8" xfId="6106"/>
    <cellStyle name="Normal 11 4 2 8 2" xfId="9440"/>
    <cellStyle name="Normal 11 4 2 8 2 2" xfId="16144"/>
    <cellStyle name="Normal 11 4 2 8 2 2 2" xfId="39565"/>
    <cellStyle name="Normal 11 4 2 8 2 3" xfId="32933"/>
    <cellStyle name="Normal 11 4 2 8 3" xfId="12828"/>
    <cellStyle name="Normal 11 4 2 8 3 2" xfId="36249"/>
    <cellStyle name="Normal 11 4 2 8 4" xfId="17847"/>
    <cellStyle name="Normal 11 4 2 8 4 2" xfId="41197"/>
    <cellStyle name="Normal 11 4 2 8 5" xfId="29617"/>
    <cellStyle name="Normal 11 4 2 9" xfId="7772"/>
    <cellStyle name="Normal 11 4 2 9 2" xfId="14486"/>
    <cellStyle name="Normal 11 4 2 9 2 2" xfId="37907"/>
    <cellStyle name="Normal 11 4 2 9 3" xfId="20685"/>
    <cellStyle name="Normal 11 4 2 9 3 2" xfId="43136"/>
    <cellStyle name="Normal 11 4 2 9 4" xfId="31275"/>
    <cellStyle name="Normal 11 4 3" xfId="1431"/>
    <cellStyle name="Normal 11 4 3 10" xfId="17943"/>
    <cellStyle name="Normal 11 4 3 10 2" xfId="41251"/>
    <cellStyle name="Normal 11 4 3 11" xfId="23522"/>
    <cellStyle name="Normal 11 4 3 11 2" xfId="45842"/>
    <cellStyle name="Normal 11 4 3 12" xfId="27967"/>
    <cellStyle name="Normal 11 4 3 2" xfId="1579"/>
    <cellStyle name="Normal 11 4 3 2 10" xfId="23523"/>
    <cellStyle name="Normal 11 4 3 2 10 2" xfId="45843"/>
    <cellStyle name="Normal 11 4 3 2 11" xfId="28020"/>
    <cellStyle name="Normal 11 4 3 2 2" xfId="1799"/>
    <cellStyle name="Normal 11 4 3 2 2 10" xfId="28151"/>
    <cellStyle name="Normal 11 4 3 2 2 2" xfId="2191"/>
    <cellStyle name="Normal 11 4 3 2 2 2 2" xfId="5462"/>
    <cellStyle name="Normal 11 4 3 2 2 2 2 2" xfId="7288"/>
    <cellStyle name="Normal 11 4 3 2 2 2 2 2 2" xfId="10619"/>
    <cellStyle name="Normal 11 4 3 2 2 2 2 2 2 2" xfId="17323"/>
    <cellStyle name="Normal 11 4 3 2 2 2 2 2 2 2 2" xfId="40744"/>
    <cellStyle name="Normal 11 4 3 2 2 2 2 2 2 3" xfId="23039"/>
    <cellStyle name="Normal 11 4 3 2 2 2 2 2 2 3 2" xfId="45461"/>
    <cellStyle name="Normal 11 4 3 2 2 2 2 2 2 4" xfId="34112"/>
    <cellStyle name="Normal 11 4 3 2 2 2 2 2 3" xfId="14007"/>
    <cellStyle name="Normal 11 4 3 2 2 2 2 2 3 2" xfId="37428"/>
    <cellStyle name="Normal 11 4 3 2 2 2 2 2 4" xfId="20211"/>
    <cellStyle name="Normal 11 4 3 2 2 2 2 2 4 2" xfId="42746"/>
    <cellStyle name="Normal 11 4 3 2 2 2 2 2 5" xfId="30796"/>
    <cellStyle name="Normal 11 4 3 2 2 2 2 3" xfId="8961"/>
    <cellStyle name="Normal 11 4 3 2 2 2 2 3 2" xfId="15665"/>
    <cellStyle name="Normal 11 4 3 2 2 2 2 3 2 2" xfId="39086"/>
    <cellStyle name="Normal 11 4 3 2 2 2 2 3 3" xfId="21163"/>
    <cellStyle name="Normal 11 4 3 2 2 2 2 3 3 2" xfId="43614"/>
    <cellStyle name="Normal 11 4 3 2 2 2 2 3 4" xfId="32454"/>
    <cellStyle name="Normal 11 4 3 2 2 2 2 4" xfId="12349"/>
    <cellStyle name="Normal 11 4 3 2 2 2 2 4 2" xfId="22224"/>
    <cellStyle name="Normal 11 4 3 2 2 2 2 4 2 2" xfId="44646"/>
    <cellStyle name="Normal 11 4 3 2 2 2 2 4 3" xfId="35770"/>
    <cellStyle name="Normal 11 4 3 2 2 2 2 5" xfId="19372"/>
    <cellStyle name="Normal 11 4 3 2 2 2 2 5 2" xfId="41914"/>
    <cellStyle name="Normal 11 4 3 2 2 2 2 6" xfId="29138"/>
    <cellStyle name="Normal 11 4 3 2 2 2 3" xfId="6383"/>
    <cellStyle name="Normal 11 4 3 2 2 2 3 2" xfId="9717"/>
    <cellStyle name="Normal 11 4 3 2 2 2 3 2 2" xfId="16421"/>
    <cellStyle name="Normal 11 4 3 2 2 2 3 2 2 2" xfId="39842"/>
    <cellStyle name="Normal 11 4 3 2 2 2 3 2 3" xfId="22632"/>
    <cellStyle name="Normal 11 4 3 2 2 2 3 2 3 2" xfId="45054"/>
    <cellStyle name="Normal 11 4 3 2 2 2 3 2 4" xfId="33210"/>
    <cellStyle name="Normal 11 4 3 2 2 2 3 3" xfId="13105"/>
    <cellStyle name="Normal 11 4 3 2 2 2 3 3 2" xfId="36526"/>
    <cellStyle name="Normal 11 4 3 2 2 2 3 4" xfId="19795"/>
    <cellStyle name="Normal 11 4 3 2 2 2 3 4 2" xfId="42330"/>
    <cellStyle name="Normal 11 4 3 2 2 2 3 5" xfId="29894"/>
    <cellStyle name="Normal 11 4 3 2 2 2 4" xfId="8050"/>
    <cellStyle name="Normal 11 4 3 2 2 2 4 2" xfId="14763"/>
    <cellStyle name="Normal 11 4 3 2 2 2 4 2 2" xfId="38184"/>
    <cellStyle name="Normal 11 4 3 2 2 2 4 3" xfId="20704"/>
    <cellStyle name="Normal 11 4 3 2 2 2 4 3 2" xfId="43155"/>
    <cellStyle name="Normal 11 4 3 2 2 2 4 4" xfId="31552"/>
    <cellStyle name="Normal 11 4 3 2 2 2 5" xfId="11445"/>
    <cellStyle name="Normal 11 4 3 2 2 2 5 2" xfId="21790"/>
    <cellStyle name="Normal 11 4 3 2 2 2 5 2 2" xfId="44232"/>
    <cellStyle name="Normal 11 4 3 2 2 2 5 3" xfId="34868"/>
    <cellStyle name="Normal 11 4 3 2 2 2 6" xfId="18545"/>
    <cellStyle name="Normal 11 4 3 2 2 2 6 2" xfId="41489"/>
    <cellStyle name="Normal 11 4 3 2 2 2 7" xfId="25789"/>
    <cellStyle name="Normal 11 4 3 2 2 2 7 2" xfId="48034"/>
    <cellStyle name="Normal 11 4 3 2 2 2 8" xfId="28236"/>
    <cellStyle name="Normal 11 4 3 2 2 3" xfId="2796"/>
    <cellStyle name="Normal 11 4 3 2 2 3 2" xfId="5888"/>
    <cellStyle name="Normal 11 4 3 2 2 3 2 2" xfId="7670"/>
    <cellStyle name="Normal 11 4 3 2 2 3 2 2 2" xfId="10999"/>
    <cellStyle name="Normal 11 4 3 2 2 3 2 2 2 2" xfId="17703"/>
    <cellStyle name="Normal 11 4 3 2 2 3 2 2 2 2 2" xfId="41124"/>
    <cellStyle name="Normal 11 4 3 2 2 3 2 2 2 3" xfId="34492"/>
    <cellStyle name="Normal 11 4 3 2 2 3 2 2 3" xfId="14387"/>
    <cellStyle name="Normal 11 4 3 2 2 3 2 2 3 2" xfId="37808"/>
    <cellStyle name="Normal 11 4 3 2 2 3 2 2 4" xfId="22839"/>
    <cellStyle name="Normal 11 4 3 2 2 3 2 2 4 2" xfId="45261"/>
    <cellStyle name="Normal 11 4 3 2 2 3 2 2 5" xfId="31176"/>
    <cellStyle name="Normal 11 4 3 2 2 3 2 3" xfId="9341"/>
    <cellStyle name="Normal 11 4 3 2 2 3 2 3 2" xfId="16045"/>
    <cellStyle name="Normal 11 4 3 2 2 3 2 3 2 2" xfId="39466"/>
    <cellStyle name="Normal 11 4 3 2 2 3 2 3 3" xfId="32834"/>
    <cellStyle name="Normal 11 4 3 2 2 3 2 4" xfId="12729"/>
    <cellStyle name="Normal 11 4 3 2 2 3 2 4 2" xfId="36150"/>
    <cellStyle name="Normal 11 4 3 2 2 3 2 5" xfId="20003"/>
    <cellStyle name="Normal 11 4 3 2 2 3 2 5 2" xfId="42538"/>
    <cellStyle name="Normal 11 4 3 2 2 3 2 6" xfId="29518"/>
    <cellStyle name="Normal 11 4 3 2 2 3 3" xfId="6771"/>
    <cellStyle name="Normal 11 4 3 2 2 3 3 2" xfId="10103"/>
    <cellStyle name="Normal 11 4 3 2 2 3 3 2 2" xfId="16807"/>
    <cellStyle name="Normal 11 4 3 2 2 3 3 2 2 2" xfId="40228"/>
    <cellStyle name="Normal 11 4 3 2 2 3 3 2 3" xfId="33596"/>
    <cellStyle name="Normal 11 4 3 2 2 3 3 3" xfId="13491"/>
    <cellStyle name="Normal 11 4 3 2 2 3 3 3 2" xfId="36912"/>
    <cellStyle name="Normal 11 4 3 2 2 3 3 4" xfId="21162"/>
    <cellStyle name="Normal 11 4 3 2 2 3 3 4 2" xfId="43613"/>
    <cellStyle name="Normal 11 4 3 2 2 3 3 5" xfId="30280"/>
    <cellStyle name="Normal 11 4 3 2 2 3 4" xfId="8437"/>
    <cellStyle name="Normal 11 4 3 2 2 3 4 2" xfId="15149"/>
    <cellStyle name="Normal 11 4 3 2 2 3 4 2 2" xfId="38570"/>
    <cellStyle name="Normal 11 4 3 2 2 3 4 3" xfId="22011"/>
    <cellStyle name="Normal 11 4 3 2 2 3 4 3 2" xfId="44439"/>
    <cellStyle name="Normal 11 4 3 2 2 3 4 4" xfId="31938"/>
    <cellStyle name="Normal 11 4 3 2 2 3 5" xfId="11831"/>
    <cellStyle name="Normal 11 4 3 2 2 3 5 2" xfId="35254"/>
    <cellStyle name="Normal 11 4 3 2 2 3 6" xfId="19149"/>
    <cellStyle name="Normal 11 4 3 2 2 3 6 2" xfId="41706"/>
    <cellStyle name="Normal 11 4 3 2 2 3 7" xfId="28622"/>
    <cellStyle name="Normal 11 4 3 2 2 4" xfId="3825"/>
    <cellStyle name="Normal 11 4 3 2 2 4 2" xfId="6938"/>
    <cellStyle name="Normal 11 4 3 2 2 4 2 2" xfId="10270"/>
    <cellStyle name="Normal 11 4 3 2 2 4 2 2 2" xfId="16974"/>
    <cellStyle name="Normal 11 4 3 2 2 4 2 2 2 2" xfId="40395"/>
    <cellStyle name="Normal 11 4 3 2 2 4 2 2 3" xfId="33763"/>
    <cellStyle name="Normal 11 4 3 2 2 4 2 3" xfId="13658"/>
    <cellStyle name="Normal 11 4 3 2 2 4 2 3 2" xfId="37079"/>
    <cellStyle name="Normal 11 4 3 2 2 4 2 4" xfId="22432"/>
    <cellStyle name="Normal 11 4 3 2 2 4 2 4 2" xfId="44854"/>
    <cellStyle name="Normal 11 4 3 2 2 4 2 5" xfId="30447"/>
    <cellStyle name="Normal 11 4 3 2 2 4 3" xfId="8605"/>
    <cellStyle name="Normal 11 4 3 2 2 4 3 2" xfId="15316"/>
    <cellStyle name="Normal 11 4 3 2 2 4 3 2 2" xfId="38737"/>
    <cellStyle name="Normal 11 4 3 2 2 4 3 3" xfId="32105"/>
    <cellStyle name="Normal 11 4 3 2 2 4 4" xfId="11998"/>
    <cellStyle name="Normal 11 4 3 2 2 4 4 2" xfId="35421"/>
    <cellStyle name="Normal 11 4 3 2 2 4 5" xfId="19585"/>
    <cellStyle name="Normal 11 4 3 2 2 4 5 2" xfId="42122"/>
    <cellStyle name="Normal 11 4 3 2 2 4 6" xfId="28789"/>
    <cellStyle name="Normal 11 4 3 2 2 5" xfId="6298"/>
    <cellStyle name="Normal 11 4 3 2 2 5 2" xfId="9632"/>
    <cellStyle name="Normal 11 4 3 2 2 5 2 2" xfId="16336"/>
    <cellStyle name="Normal 11 4 3 2 2 5 2 2 2" xfId="39757"/>
    <cellStyle name="Normal 11 4 3 2 2 5 2 3" xfId="33125"/>
    <cellStyle name="Normal 11 4 3 2 2 5 3" xfId="13020"/>
    <cellStyle name="Normal 11 4 3 2 2 5 3 2" xfId="36441"/>
    <cellStyle name="Normal 11 4 3 2 2 5 4" xfId="20703"/>
    <cellStyle name="Normal 11 4 3 2 2 5 4 2" xfId="43154"/>
    <cellStyle name="Normal 11 4 3 2 2 5 5" xfId="29809"/>
    <cellStyle name="Normal 11 4 3 2 2 6" xfId="7964"/>
    <cellStyle name="Normal 11 4 3 2 2 6 2" xfId="14678"/>
    <cellStyle name="Normal 11 4 3 2 2 6 2 2" xfId="38099"/>
    <cellStyle name="Normal 11 4 3 2 2 6 3" xfId="21581"/>
    <cellStyle name="Normal 11 4 3 2 2 6 3 2" xfId="44030"/>
    <cellStyle name="Normal 11 4 3 2 2 6 4" xfId="31467"/>
    <cellStyle name="Normal 11 4 3 2 2 7" xfId="11360"/>
    <cellStyle name="Normal 11 4 3 2 2 7 2" xfId="34783"/>
    <cellStyle name="Normal 11 4 3 2 2 8" xfId="17945"/>
    <cellStyle name="Normal 11 4 3 2 2 8 2" xfId="41253"/>
    <cellStyle name="Normal 11 4 3 2 2 9" xfId="23524"/>
    <cellStyle name="Normal 11 4 3 2 2 9 2" xfId="45844"/>
    <cellStyle name="Normal 11 4 3 2 3" xfId="2190"/>
    <cellStyle name="Normal 11 4 3 2 3 2" xfId="5461"/>
    <cellStyle name="Normal 11 4 3 2 3 2 2" xfId="7287"/>
    <cellStyle name="Normal 11 4 3 2 3 2 2 2" xfId="10618"/>
    <cellStyle name="Normal 11 4 3 2 3 2 2 2 2" xfId="17322"/>
    <cellStyle name="Normal 11 4 3 2 3 2 2 2 2 2" xfId="40743"/>
    <cellStyle name="Normal 11 4 3 2 3 2 2 2 3" xfId="23038"/>
    <cellStyle name="Normal 11 4 3 2 3 2 2 2 3 2" xfId="45460"/>
    <cellStyle name="Normal 11 4 3 2 3 2 2 2 4" xfId="34111"/>
    <cellStyle name="Normal 11 4 3 2 3 2 2 3" xfId="14006"/>
    <cellStyle name="Normal 11 4 3 2 3 2 2 3 2" xfId="37427"/>
    <cellStyle name="Normal 11 4 3 2 3 2 2 4" xfId="20210"/>
    <cellStyle name="Normal 11 4 3 2 3 2 2 4 2" xfId="42745"/>
    <cellStyle name="Normal 11 4 3 2 3 2 2 5" xfId="30795"/>
    <cellStyle name="Normal 11 4 3 2 3 2 3" xfId="8960"/>
    <cellStyle name="Normal 11 4 3 2 3 2 3 2" xfId="15664"/>
    <cellStyle name="Normal 11 4 3 2 3 2 3 2 2" xfId="39085"/>
    <cellStyle name="Normal 11 4 3 2 3 2 3 3" xfId="21164"/>
    <cellStyle name="Normal 11 4 3 2 3 2 3 3 2" xfId="43615"/>
    <cellStyle name="Normal 11 4 3 2 3 2 3 4" xfId="32453"/>
    <cellStyle name="Normal 11 4 3 2 3 2 4" xfId="12348"/>
    <cellStyle name="Normal 11 4 3 2 3 2 4 2" xfId="22223"/>
    <cellStyle name="Normal 11 4 3 2 3 2 4 2 2" xfId="44645"/>
    <cellStyle name="Normal 11 4 3 2 3 2 4 3" xfId="35769"/>
    <cellStyle name="Normal 11 4 3 2 3 2 5" xfId="19371"/>
    <cellStyle name="Normal 11 4 3 2 3 2 5 2" xfId="41913"/>
    <cellStyle name="Normal 11 4 3 2 3 2 6" xfId="25788"/>
    <cellStyle name="Normal 11 4 3 2 3 2 6 2" xfId="48033"/>
    <cellStyle name="Normal 11 4 3 2 3 2 7" xfId="29137"/>
    <cellStyle name="Normal 11 4 3 2 3 3" xfId="6382"/>
    <cellStyle name="Normal 11 4 3 2 3 3 2" xfId="9716"/>
    <cellStyle name="Normal 11 4 3 2 3 3 2 2" xfId="16420"/>
    <cellStyle name="Normal 11 4 3 2 3 3 2 2 2" xfId="39841"/>
    <cellStyle name="Normal 11 4 3 2 3 3 2 3" xfId="22631"/>
    <cellStyle name="Normal 11 4 3 2 3 3 2 3 2" xfId="45053"/>
    <cellStyle name="Normal 11 4 3 2 3 3 2 4" xfId="33209"/>
    <cellStyle name="Normal 11 4 3 2 3 3 3" xfId="13104"/>
    <cellStyle name="Normal 11 4 3 2 3 3 3 2" xfId="36525"/>
    <cellStyle name="Normal 11 4 3 2 3 3 4" xfId="19794"/>
    <cellStyle name="Normal 11 4 3 2 3 3 4 2" xfId="42329"/>
    <cellStyle name="Normal 11 4 3 2 3 3 5" xfId="29893"/>
    <cellStyle name="Normal 11 4 3 2 3 4" xfId="8049"/>
    <cellStyle name="Normal 11 4 3 2 3 4 2" xfId="14762"/>
    <cellStyle name="Normal 11 4 3 2 3 4 2 2" xfId="38183"/>
    <cellStyle name="Normal 11 4 3 2 3 4 3" xfId="20705"/>
    <cellStyle name="Normal 11 4 3 2 3 4 3 2" xfId="43156"/>
    <cellStyle name="Normal 11 4 3 2 3 4 4" xfId="31551"/>
    <cellStyle name="Normal 11 4 3 2 3 5" xfId="11444"/>
    <cellStyle name="Normal 11 4 3 2 3 5 2" xfId="21789"/>
    <cellStyle name="Normal 11 4 3 2 3 5 2 2" xfId="44231"/>
    <cellStyle name="Normal 11 4 3 2 3 5 3" xfId="34867"/>
    <cellStyle name="Normal 11 4 3 2 3 6" xfId="18544"/>
    <cellStyle name="Normal 11 4 3 2 3 6 2" xfId="41488"/>
    <cellStyle name="Normal 11 4 3 2 3 7" xfId="23437"/>
    <cellStyle name="Normal 11 4 3 2 3 7 2" xfId="45777"/>
    <cellStyle name="Normal 11 4 3 2 3 8" xfId="28235"/>
    <cellStyle name="Normal 11 4 3 2 4" xfId="2664"/>
    <cellStyle name="Normal 11 4 3 2 4 2" xfId="5757"/>
    <cellStyle name="Normal 11 4 3 2 4 2 2" xfId="7539"/>
    <cellStyle name="Normal 11 4 3 2 4 2 2 2" xfId="10868"/>
    <cellStyle name="Normal 11 4 3 2 4 2 2 2 2" xfId="17572"/>
    <cellStyle name="Normal 11 4 3 2 4 2 2 2 2 2" xfId="40993"/>
    <cellStyle name="Normal 11 4 3 2 4 2 2 2 3" xfId="34361"/>
    <cellStyle name="Normal 11 4 3 2 4 2 2 3" xfId="14256"/>
    <cellStyle name="Normal 11 4 3 2 4 2 2 3 2" xfId="37677"/>
    <cellStyle name="Normal 11 4 3 2 4 2 2 4" xfId="22838"/>
    <cellStyle name="Normal 11 4 3 2 4 2 2 4 2" xfId="45260"/>
    <cellStyle name="Normal 11 4 3 2 4 2 2 5" xfId="31045"/>
    <cellStyle name="Normal 11 4 3 2 4 2 3" xfId="9210"/>
    <cellStyle name="Normal 11 4 3 2 4 2 3 2" xfId="15914"/>
    <cellStyle name="Normal 11 4 3 2 4 2 3 2 2" xfId="39335"/>
    <cellStyle name="Normal 11 4 3 2 4 2 3 3" xfId="32703"/>
    <cellStyle name="Normal 11 4 3 2 4 2 4" xfId="12598"/>
    <cellStyle name="Normal 11 4 3 2 4 2 4 2" xfId="36019"/>
    <cellStyle name="Normal 11 4 3 2 4 2 5" xfId="20002"/>
    <cellStyle name="Normal 11 4 3 2 4 2 5 2" xfId="42537"/>
    <cellStyle name="Normal 11 4 3 2 4 2 6" xfId="27921"/>
    <cellStyle name="Normal 11 4 3 2 4 2 6 2" xfId="50166"/>
    <cellStyle name="Normal 11 4 3 2 4 2 7" xfId="29387"/>
    <cellStyle name="Normal 11 4 3 2 4 3" xfId="6640"/>
    <cellStyle name="Normal 11 4 3 2 4 3 2" xfId="9972"/>
    <cellStyle name="Normal 11 4 3 2 4 3 2 2" xfId="16676"/>
    <cellStyle name="Normal 11 4 3 2 4 3 2 2 2" xfId="40097"/>
    <cellStyle name="Normal 11 4 3 2 4 3 2 3" xfId="33465"/>
    <cellStyle name="Normal 11 4 3 2 4 3 3" xfId="13360"/>
    <cellStyle name="Normal 11 4 3 2 4 3 3 2" xfId="36781"/>
    <cellStyle name="Normal 11 4 3 2 4 3 4" xfId="21161"/>
    <cellStyle name="Normal 11 4 3 2 4 3 4 2" xfId="43612"/>
    <cellStyle name="Normal 11 4 3 2 4 3 5" xfId="30149"/>
    <cellStyle name="Normal 11 4 3 2 4 4" xfId="8306"/>
    <cellStyle name="Normal 11 4 3 2 4 4 2" xfId="15018"/>
    <cellStyle name="Normal 11 4 3 2 4 4 2 2" xfId="38439"/>
    <cellStyle name="Normal 11 4 3 2 4 4 3" xfId="22010"/>
    <cellStyle name="Normal 11 4 3 2 4 4 3 2" xfId="44438"/>
    <cellStyle name="Normal 11 4 3 2 4 4 4" xfId="31807"/>
    <cellStyle name="Normal 11 4 3 2 4 5" xfId="11700"/>
    <cellStyle name="Normal 11 4 3 2 4 5 2" xfId="35123"/>
    <cellStyle name="Normal 11 4 3 2 4 6" xfId="19148"/>
    <cellStyle name="Normal 11 4 3 2 4 6 2" xfId="41705"/>
    <cellStyle name="Normal 11 4 3 2 4 7" xfId="25616"/>
    <cellStyle name="Normal 11 4 3 2 4 7 2" xfId="47861"/>
    <cellStyle name="Normal 11 4 3 2 4 8" xfId="28491"/>
    <cellStyle name="Normal 11 4 3 2 5" xfId="3824"/>
    <cellStyle name="Normal 11 4 3 2 5 2" xfId="6937"/>
    <cellStyle name="Normal 11 4 3 2 5 2 2" xfId="10269"/>
    <cellStyle name="Normal 11 4 3 2 5 2 2 2" xfId="16973"/>
    <cellStyle name="Normal 11 4 3 2 5 2 2 2 2" xfId="40394"/>
    <cellStyle name="Normal 11 4 3 2 5 2 2 3" xfId="33762"/>
    <cellStyle name="Normal 11 4 3 2 5 2 3" xfId="13657"/>
    <cellStyle name="Normal 11 4 3 2 5 2 3 2" xfId="37078"/>
    <cellStyle name="Normal 11 4 3 2 5 2 4" xfId="22431"/>
    <cellStyle name="Normal 11 4 3 2 5 2 4 2" xfId="44853"/>
    <cellStyle name="Normal 11 4 3 2 5 2 5" xfId="30446"/>
    <cellStyle name="Normal 11 4 3 2 5 3" xfId="8604"/>
    <cellStyle name="Normal 11 4 3 2 5 3 2" xfId="15315"/>
    <cellStyle name="Normal 11 4 3 2 5 3 2 2" xfId="38736"/>
    <cellStyle name="Normal 11 4 3 2 5 3 3" xfId="32104"/>
    <cellStyle name="Normal 11 4 3 2 5 4" xfId="11997"/>
    <cellStyle name="Normal 11 4 3 2 5 4 2" xfId="35420"/>
    <cellStyle name="Normal 11 4 3 2 5 5" xfId="19584"/>
    <cellStyle name="Normal 11 4 3 2 5 5 2" xfId="42121"/>
    <cellStyle name="Normal 11 4 3 2 5 6" xfId="25653"/>
    <cellStyle name="Normal 11 4 3 2 5 6 2" xfId="47898"/>
    <cellStyle name="Normal 11 4 3 2 5 7" xfId="28788"/>
    <cellStyle name="Normal 11 4 3 2 6" xfId="6167"/>
    <cellStyle name="Normal 11 4 3 2 6 2" xfId="9501"/>
    <cellStyle name="Normal 11 4 3 2 6 2 2" xfId="16205"/>
    <cellStyle name="Normal 11 4 3 2 6 2 2 2" xfId="39626"/>
    <cellStyle name="Normal 11 4 3 2 6 2 3" xfId="32994"/>
    <cellStyle name="Normal 11 4 3 2 6 3" xfId="12889"/>
    <cellStyle name="Normal 11 4 3 2 6 3 2" xfId="36310"/>
    <cellStyle name="Normal 11 4 3 2 6 4" xfId="20702"/>
    <cellStyle name="Normal 11 4 3 2 6 4 2" xfId="43153"/>
    <cellStyle name="Normal 11 4 3 2 6 5" xfId="29678"/>
    <cellStyle name="Normal 11 4 3 2 7" xfId="7833"/>
    <cellStyle name="Normal 11 4 3 2 7 2" xfId="14547"/>
    <cellStyle name="Normal 11 4 3 2 7 2 2" xfId="37968"/>
    <cellStyle name="Normal 11 4 3 2 7 3" xfId="21580"/>
    <cellStyle name="Normal 11 4 3 2 7 3 2" xfId="44029"/>
    <cellStyle name="Normal 11 4 3 2 7 4" xfId="31336"/>
    <cellStyle name="Normal 11 4 3 2 8" xfId="11229"/>
    <cellStyle name="Normal 11 4 3 2 8 2" xfId="34652"/>
    <cellStyle name="Normal 11 4 3 2 9" xfId="17944"/>
    <cellStyle name="Normal 11 4 3 2 9 2" xfId="41252"/>
    <cellStyle name="Normal 11 4 3 3" xfId="1746"/>
    <cellStyle name="Normal 11 4 3 3 10" xfId="28098"/>
    <cellStyle name="Normal 11 4 3 3 2" xfId="2192"/>
    <cellStyle name="Normal 11 4 3 3 2 2" xfId="5463"/>
    <cellStyle name="Normal 11 4 3 3 2 2 2" xfId="7289"/>
    <cellStyle name="Normal 11 4 3 3 2 2 2 2" xfId="10620"/>
    <cellStyle name="Normal 11 4 3 3 2 2 2 2 2" xfId="17324"/>
    <cellStyle name="Normal 11 4 3 3 2 2 2 2 2 2" xfId="40745"/>
    <cellStyle name="Normal 11 4 3 3 2 2 2 2 3" xfId="23040"/>
    <cellStyle name="Normal 11 4 3 3 2 2 2 2 3 2" xfId="45462"/>
    <cellStyle name="Normal 11 4 3 3 2 2 2 2 4" xfId="34113"/>
    <cellStyle name="Normal 11 4 3 3 2 2 2 3" xfId="14008"/>
    <cellStyle name="Normal 11 4 3 3 2 2 2 3 2" xfId="37429"/>
    <cellStyle name="Normal 11 4 3 3 2 2 2 4" xfId="20212"/>
    <cellStyle name="Normal 11 4 3 3 2 2 2 4 2" xfId="42747"/>
    <cellStyle name="Normal 11 4 3 3 2 2 2 5" xfId="30797"/>
    <cellStyle name="Normal 11 4 3 3 2 2 3" xfId="8962"/>
    <cellStyle name="Normal 11 4 3 3 2 2 3 2" xfId="15666"/>
    <cellStyle name="Normal 11 4 3 3 2 2 3 2 2" xfId="39087"/>
    <cellStyle name="Normal 11 4 3 3 2 2 3 3" xfId="21166"/>
    <cellStyle name="Normal 11 4 3 3 2 2 3 3 2" xfId="43617"/>
    <cellStyle name="Normal 11 4 3 3 2 2 3 4" xfId="32455"/>
    <cellStyle name="Normal 11 4 3 3 2 2 4" xfId="12350"/>
    <cellStyle name="Normal 11 4 3 3 2 2 4 2" xfId="22225"/>
    <cellStyle name="Normal 11 4 3 3 2 2 4 2 2" xfId="44647"/>
    <cellStyle name="Normal 11 4 3 3 2 2 4 3" xfId="35771"/>
    <cellStyle name="Normal 11 4 3 3 2 2 5" xfId="19373"/>
    <cellStyle name="Normal 11 4 3 3 2 2 5 2" xfId="41915"/>
    <cellStyle name="Normal 11 4 3 3 2 2 6" xfId="29139"/>
    <cellStyle name="Normal 11 4 3 3 2 3" xfId="6384"/>
    <cellStyle name="Normal 11 4 3 3 2 3 2" xfId="9718"/>
    <cellStyle name="Normal 11 4 3 3 2 3 2 2" xfId="16422"/>
    <cellStyle name="Normal 11 4 3 3 2 3 2 2 2" xfId="39843"/>
    <cellStyle name="Normal 11 4 3 3 2 3 2 3" xfId="22633"/>
    <cellStyle name="Normal 11 4 3 3 2 3 2 3 2" xfId="45055"/>
    <cellStyle name="Normal 11 4 3 3 2 3 2 4" xfId="33211"/>
    <cellStyle name="Normal 11 4 3 3 2 3 3" xfId="13106"/>
    <cellStyle name="Normal 11 4 3 3 2 3 3 2" xfId="36527"/>
    <cellStyle name="Normal 11 4 3 3 2 3 4" xfId="19796"/>
    <cellStyle name="Normal 11 4 3 3 2 3 4 2" xfId="42331"/>
    <cellStyle name="Normal 11 4 3 3 2 3 5" xfId="29895"/>
    <cellStyle name="Normal 11 4 3 3 2 4" xfId="8051"/>
    <cellStyle name="Normal 11 4 3 3 2 4 2" xfId="14764"/>
    <cellStyle name="Normal 11 4 3 3 2 4 2 2" xfId="38185"/>
    <cellStyle name="Normal 11 4 3 3 2 4 3" xfId="20707"/>
    <cellStyle name="Normal 11 4 3 3 2 4 3 2" xfId="43158"/>
    <cellStyle name="Normal 11 4 3 3 2 4 4" xfId="31553"/>
    <cellStyle name="Normal 11 4 3 3 2 5" xfId="11446"/>
    <cellStyle name="Normal 11 4 3 3 2 5 2" xfId="21791"/>
    <cellStyle name="Normal 11 4 3 3 2 5 2 2" xfId="44233"/>
    <cellStyle name="Normal 11 4 3 3 2 5 3" xfId="34869"/>
    <cellStyle name="Normal 11 4 3 3 2 6" xfId="18546"/>
    <cellStyle name="Normal 11 4 3 3 2 6 2" xfId="41490"/>
    <cellStyle name="Normal 11 4 3 3 2 7" xfId="25790"/>
    <cellStyle name="Normal 11 4 3 3 2 7 2" xfId="48035"/>
    <cellStyle name="Normal 11 4 3 3 2 8" xfId="28237"/>
    <cellStyle name="Normal 11 4 3 3 3" xfId="2743"/>
    <cellStyle name="Normal 11 4 3 3 3 2" xfId="5835"/>
    <cellStyle name="Normal 11 4 3 3 3 2 2" xfId="7617"/>
    <cellStyle name="Normal 11 4 3 3 3 2 2 2" xfId="10946"/>
    <cellStyle name="Normal 11 4 3 3 3 2 2 2 2" xfId="17650"/>
    <cellStyle name="Normal 11 4 3 3 3 2 2 2 2 2" xfId="41071"/>
    <cellStyle name="Normal 11 4 3 3 3 2 2 2 3" xfId="34439"/>
    <cellStyle name="Normal 11 4 3 3 3 2 2 3" xfId="14334"/>
    <cellStyle name="Normal 11 4 3 3 3 2 2 3 2" xfId="37755"/>
    <cellStyle name="Normal 11 4 3 3 3 2 2 4" xfId="22840"/>
    <cellStyle name="Normal 11 4 3 3 3 2 2 4 2" xfId="45262"/>
    <cellStyle name="Normal 11 4 3 3 3 2 2 5" xfId="31123"/>
    <cellStyle name="Normal 11 4 3 3 3 2 3" xfId="9288"/>
    <cellStyle name="Normal 11 4 3 3 3 2 3 2" xfId="15992"/>
    <cellStyle name="Normal 11 4 3 3 3 2 3 2 2" xfId="39413"/>
    <cellStyle name="Normal 11 4 3 3 3 2 3 3" xfId="32781"/>
    <cellStyle name="Normal 11 4 3 3 3 2 4" xfId="12676"/>
    <cellStyle name="Normal 11 4 3 3 3 2 4 2" xfId="36097"/>
    <cellStyle name="Normal 11 4 3 3 3 2 5" xfId="20004"/>
    <cellStyle name="Normal 11 4 3 3 3 2 5 2" xfId="42539"/>
    <cellStyle name="Normal 11 4 3 3 3 2 6" xfId="29465"/>
    <cellStyle name="Normal 11 4 3 3 3 3" xfId="6718"/>
    <cellStyle name="Normal 11 4 3 3 3 3 2" xfId="10050"/>
    <cellStyle name="Normal 11 4 3 3 3 3 2 2" xfId="16754"/>
    <cellStyle name="Normal 11 4 3 3 3 3 2 2 2" xfId="40175"/>
    <cellStyle name="Normal 11 4 3 3 3 3 2 3" xfId="33543"/>
    <cellStyle name="Normal 11 4 3 3 3 3 3" xfId="13438"/>
    <cellStyle name="Normal 11 4 3 3 3 3 3 2" xfId="36859"/>
    <cellStyle name="Normal 11 4 3 3 3 3 4" xfId="21165"/>
    <cellStyle name="Normal 11 4 3 3 3 3 4 2" xfId="43616"/>
    <cellStyle name="Normal 11 4 3 3 3 3 5" xfId="30227"/>
    <cellStyle name="Normal 11 4 3 3 3 4" xfId="8384"/>
    <cellStyle name="Normal 11 4 3 3 3 4 2" xfId="15096"/>
    <cellStyle name="Normal 11 4 3 3 3 4 2 2" xfId="38517"/>
    <cellStyle name="Normal 11 4 3 3 3 4 3" xfId="22012"/>
    <cellStyle name="Normal 11 4 3 3 3 4 3 2" xfId="44440"/>
    <cellStyle name="Normal 11 4 3 3 3 4 4" xfId="31885"/>
    <cellStyle name="Normal 11 4 3 3 3 5" xfId="11778"/>
    <cellStyle name="Normal 11 4 3 3 3 5 2" xfId="35201"/>
    <cellStyle name="Normal 11 4 3 3 3 6" xfId="19150"/>
    <cellStyle name="Normal 11 4 3 3 3 6 2" xfId="41707"/>
    <cellStyle name="Normal 11 4 3 3 3 7" xfId="28569"/>
    <cellStyle name="Normal 11 4 3 3 4" xfId="3826"/>
    <cellStyle name="Normal 11 4 3 3 4 2" xfId="6939"/>
    <cellStyle name="Normal 11 4 3 3 4 2 2" xfId="10271"/>
    <cellStyle name="Normal 11 4 3 3 4 2 2 2" xfId="16975"/>
    <cellStyle name="Normal 11 4 3 3 4 2 2 2 2" xfId="40396"/>
    <cellStyle name="Normal 11 4 3 3 4 2 2 3" xfId="33764"/>
    <cellStyle name="Normal 11 4 3 3 4 2 3" xfId="13659"/>
    <cellStyle name="Normal 11 4 3 3 4 2 3 2" xfId="37080"/>
    <cellStyle name="Normal 11 4 3 3 4 2 4" xfId="22433"/>
    <cellStyle name="Normal 11 4 3 3 4 2 4 2" xfId="44855"/>
    <cellStyle name="Normal 11 4 3 3 4 2 5" xfId="30448"/>
    <cellStyle name="Normal 11 4 3 3 4 3" xfId="8606"/>
    <cellStyle name="Normal 11 4 3 3 4 3 2" xfId="15317"/>
    <cellStyle name="Normal 11 4 3 3 4 3 2 2" xfId="38738"/>
    <cellStyle name="Normal 11 4 3 3 4 3 3" xfId="32106"/>
    <cellStyle name="Normal 11 4 3 3 4 4" xfId="11999"/>
    <cellStyle name="Normal 11 4 3 3 4 4 2" xfId="35422"/>
    <cellStyle name="Normal 11 4 3 3 4 5" xfId="19586"/>
    <cellStyle name="Normal 11 4 3 3 4 5 2" xfId="42123"/>
    <cellStyle name="Normal 11 4 3 3 4 6" xfId="28790"/>
    <cellStyle name="Normal 11 4 3 3 5" xfId="6245"/>
    <cellStyle name="Normal 11 4 3 3 5 2" xfId="9579"/>
    <cellStyle name="Normal 11 4 3 3 5 2 2" xfId="16283"/>
    <cellStyle name="Normal 11 4 3 3 5 2 2 2" xfId="39704"/>
    <cellStyle name="Normal 11 4 3 3 5 2 3" xfId="33072"/>
    <cellStyle name="Normal 11 4 3 3 5 3" xfId="12967"/>
    <cellStyle name="Normal 11 4 3 3 5 3 2" xfId="36388"/>
    <cellStyle name="Normal 11 4 3 3 5 4" xfId="20706"/>
    <cellStyle name="Normal 11 4 3 3 5 4 2" xfId="43157"/>
    <cellStyle name="Normal 11 4 3 3 5 5" xfId="29756"/>
    <cellStyle name="Normal 11 4 3 3 6" xfId="7911"/>
    <cellStyle name="Normal 11 4 3 3 6 2" xfId="14625"/>
    <cellStyle name="Normal 11 4 3 3 6 2 2" xfId="38046"/>
    <cellStyle name="Normal 11 4 3 3 6 3" xfId="21582"/>
    <cellStyle name="Normal 11 4 3 3 6 3 2" xfId="44031"/>
    <cellStyle name="Normal 11 4 3 3 6 4" xfId="31414"/>
    <cellStyle name="Normal 11 4 3 3 7" xfId="11307"/>
    <cellStyle name="Normal 11 4 3 3 7 2" xfId="34730"/>
    <cellStyle name="Normal 11 4 3 3 8" xfId="17946"/>
    <cellStyle name="Normal 11 4 3 3 8 2" xfId="41254"/>
    <cellStyle name="Normal 11 4 3 3 9" xfId="23525"/>
    <cellStyle name="Normal 11 4 3 3 9 2" xfId="45845"/>
    <cellStyle name="Normal 11 4 3 4" xfId="2189"/>
    <cellStyle name="Normal 11 4 3 4 2" xfId="5460"/>
    <cellStyle name="Normal 11 4 3 4 2 2" xfId="7286"/>
    <cellStyle name="Normal 11 4 3 4 2 2 2" xfId="10617"/>
    <cellStyle name="Normal 11 4 3 4 2 2 2 2" xfId="17321"/>
    <cellStyle name="Normal 11 4 3 4 2 2 2 2 2" xfId="40742"/>
    <cellStyle name="Normal 11 4 3 4 2 2 2 3" xfId="23037"/>
    <cellStyle name="Normal 11 4 3 4 2 2 2 3 2" xfId="45459"/>
    <cellStyle name="Normal 11 4 3 4 2 2 2 4" xfId="34110"/>
    <cellStyle name="Normal 11 4 3 4 2 2 3" xfId="14005"/>
    <cellStyle name="Normal 11 4 3 4 2 2 3 2" xfId="37426"/>
    <cellStyle name="Normal 11 4 3 4 2 2 4" xfId="20209"/>
    <cellStyle name="Normal 11 4 3 4 2 2 4 2" xfId="42744"/>
    <cellStyle name="Normal 11 4 3 4 2 2 5" xfId="30794"/>
    <cellStyle name="Normal 11 4 3 4 2 3" xfId="8959"/>
    <cellStyle name="Normal 11 4 3 4 2 3 2" xfId="15663"/>
    <cellStyle name="Normal 11 4 3 4 2 3 2 2" xfId="39084"/>
    <cellStyle name="Normal 11 4 3 4 2 3 3" xfId="21167"/>
    <cellStyle name="Normal 11 4 3 4 2 3 3 2" xfId="43618"/>
    <cellStyle name="Normal 11 4 3 4 2 3 4" xfId="32452"/>
    <cellStyle name="Normal 11 4 3 4 2 4" xfId="12347"/>
    <cellStyle name="Normal 11 4 3 4 2 4 2" xfId="22222"/>
    <cellStyle name="Normal 11 4 3 4 2 4 2 2" xfId="44644"/>
    <cellStyle name="Normal 11 4 3 4 2 4 3" xfId="35768"/>
    <cellStyle name="Normal 11 4 3 4 2 5" xfId="19370"/>
    <cellStyle name="Normal 11 4 3 4 2 5 2" xfId="41912"/>
    <cellStyle name="Normal 11 4 3 4 2 6" xfId="25787"/>
    <cellStyle name="Normal 11 4 3 4 2 6 2" xfId="48032"/>
    <cellStyle name="Normal 11 4 3 4 2 7" xfId="29136"/>
    <cellStyle name="Normal 11 4 3 4 3" xfId="6381"/>
    <cellStyle name="Normal 11 4 3 4 3 2" xfId="9715"/>
    <cellStyle name="Normal 11 4 3 4 3 2 2" xfId="16419"/>
    <cellStyle name="Normal 11 4 3 4 3 2 2 2" xfId="39840"/>
    <cellStyle name="Normal 11 4 3 4 3 2 3" xfId="22630"/>
    <cellStyle name="Normal 11 4 3 4 3 2 3 2" xfId="45052"/>
    <cellStyle name="Normal 11 4 3 4 3 2 4" xfId="33208"/>
    <cellStyle name="Normal 11 4 3 4 3 3" xfId="13103"/>
    <cellStyle name="Normal 11 4 3 4 3 3 2" xfId="36524"/>
    <cellStyle name="Normal 11 4 3 4 3 4" xfId="19793"/>
    <cellStyle name="Normal 11 4 3 4 3 4 2" xfId="42328"/>
    <cellStyle name="Normal 11 4 3 4 3 5" xfId="29892"/>
    <cellStyle name="Normal 11 4 3 4 4" xfId="8048"/>
    <cellStyle name="Normal 11 4 3 4 4 2" xfId="14761"/>
    <cellStyle name="Normal 11 4 3 4 4 2 2" xfId="38182"/>
    <cellStyle name="Normal 11 4 3 4 4 3" xfId="20708"/>
    <cellStyle name="Normal 11 4 3 4 4 3 2" xfId="43159"/>
    <cellStyle name="Normal 11 4 3 4 4 4" xfId="31550"/>
    <cellStyle name="Normal 11 4 3 4 5" xfId="11443"/>
    <cellStyle name="Normal 11 4 3 4 5 2" xfId="21788"/>
    <cellStyle name="Normal 11 4 3 4 5 2 2" xfId="44230"/>
    <cellStyle name="Normal 11 4 3 4 5 3" xfId="34866"/>
    <cellStyle name="Normal 11 4 3 4 6" xfId="18543"/>
    <cellStyle name="Normal 11 4 3 4 6 2" xfId="41487"/>
    <cellStyle name="Normal 11 4 3 4 7" xfId="23436"/>
    <cellStyle name="Normal 11 4 3 4 7 2" xfId="45776"/>
    <cellStyle name="Normal 11 4 3 4 8" xfId="28234"/>
    <cellStyle name="Normal 11 4 3 5" xfId="2611"/>
    <cellStyle name="Normal 11 4 3 5 2" xfId="5704"/>
    <cellStyle name="Normal 11 4 3 5 2 2" xfId="7486"/>
    <cellStyle name="Normal 11 4 3 5 2 2 2" xfId="10815"/>
    <cellStyle name="Normal 11 4 3 5 2 2 2 2" xfId="17519"/>
    <cellStyle name="Normal 11 4 3 5 2 2 2 2 2" xfId="40940"/>
    <cellStyle name="Normal 11 4 3 5 2 2 2 3" xfId="34308"/>
    <cellStyle name="Normal 11 4 3 5 2 2 3" xfId="14203"/>
    <cellStyle name="Normal 11 4 3 5 2 2 3 2" xfId="37624"/>
    <cellStyle name="Normal 11 4 3 5 2 2 4" xfId="20578"/>
    <cellStyle name="Normal 11 4 3 5 2 2 4 2" xfId="43029"/>
    <cellStyle name="Normal 11 4 3 5 2 2 5" xfId="30992"/>
    <cellStyle name="Normal 11 4 3 5 2 3" xfId="9157"/>
    <cellStyle name="Normal 11 4 3 5 2 3 2" xfId="15861"/>
    <cellStyle name="Normal 11 4 3 5 2 3 2 2" xfId="39282"/>
    <cellStyle name="Normal 11 4 3 5 2 3 3" xfId="21496"/>
    <cellStyle name="Normal 11 4 3 5 2 3 3 2" xfId="43947"/>
    <cellStyle name="Normal 11 4 3 5 2 3 4" xfId="32650"/>
    <cellStyle name="Normal 11 4 3 5 2 4" xfId="12545"/>
    <cellStyle name="Normal 11 4 3 5 2 4 2" xfId="22837"/>
    <cellStyle name="Normal 11 4 3 5 2 4 2 2" xfId="45259"/>
    <cellStyle name="Normal 11 4 3 5 2 4 3" xfId="35966"/>
    <cellStyle name="Normal 11 4 3 5 2 5" xfId="20001"/>
    <cellStyle name="Normal 11 4 3 5 2 5 2" xfId="42536"/>
    <cellStyle name="Normal 11 4 3 5 2 6" xfId="27902"/>
    <cellStyle name="Normal 11 4 3 5 2 6 2" xfId="50147"/>
    <cellStyle name="Normal 11 4 3 5 2 7" xfId="29334"/>
    <cellStyle name="Normal 11 4 3 5 3" xfId="6587"/>
    <cellStyle name="Normal 11 4 3 5 3 2" xfId="9919"/>
    <cellStyle name="Normal 11 4 3 5 3 2 2" xfId="16623"/>
    <cellStyle name="Normal 11 4 3 5 3 2 2 2" xfId="40044"/>
    <cellStyle name="Normal 11 4 3 5 3 2 3" xfId="33412"/>
    <cellStyle name="Normal 11 4 3 5 3 3" xfId="13307"/>
    <cellStyle name="Normal 11 4 3 5 3 3 2" xfId="36728"/>
    <cellStyle name="Normal 11 4 3 5 3 4" xfId="20480"/>
    <cellStyle name="Normal 11 4 3 5 3 4 2" xfId="42933"/>
    <cellStyle name="Normal 11 4 3 5 3 5" xfId="30096"/>
    <cellStyle name="Normal 11 4 3 5 4" xfId="8253"/>
    <cellStyle name="Normal 11 4 3 5 4 2" xfId="14965"/>
    <cellStyle name="Normal 11 4 3 5 4 2 2" xfId="38386"/>
    <cellStyle name="Normal 11 4 3 5 4 3" xfId="21037"/>
    <cellStyle name="Normal 11 4 3 5 4 3 2" xfId="43488"/>
    <cellStyle name="Normal 11 4 3 5 4 4" xfId="31754"/>
    <cellStyle name="Normal 11 4 3 5 5" xfId="11647"/>
    <cellStyle name="Normal 11 4 3 5 5 2" xfId="22009"/>
    <cellStyle name="Normal 11 4 3 5 5 2 2" xfId="44437"/>
    <cellStyle name="Normal 11 4 3 5 5 3" xfId="35070"/>
    <cellStyle name="Normal 11 4 3 5 6" xfId="19147"/>
    <cellStyle name="Normal 11 4 3 5 6 2" xfId="41704"/>
    <cellStyle name="Normal 11 4 3 5 7" xfId="25597"/>
    <cellStyle name="Normal 11 4 3 5 7 2" xfId="47842"/>
    <cellStyle name="Normal 11 4 3 5 8" xfId="28438"/>
    <cellStyle name="Normal 11 4 3 6" xfId="3823"/>
    <cellStyle name="Normal 11 4 3 6 2" xfId="6936"/>
    <cellStyle name="Normal 11 4 3 6 2 2" xfId="10268"/>
    <cellStyle name="Normal 11 4 3 6 2 2 2" xfId="16972"/>
    <cellStyle name="Normal 11 4 3 6 2 2 2 2" xfId="40393"/>
    <cellStyle name="Normal 11 4 3 6 2 2 3" xfId="33761"/>
    <cellStyle name="Normal 11 4 3 6 2 3" xfId="13656"/>
    <cellStyle name="Normal 11 4 3 6 2 3 2" xfId="37077"/>
    <cellStyle name="Normal 11 4 3 6 2 4" xfId="20526"/>
    <cellStyle name="Normal 11 4 3 6 2 4 2" xfId="42979"/>
    <cellStyle name="Normal 11 4 3 6 2 5" xfId="30445"/>
    <cellStyle name="Normal 11 4 3 6 3" xfId="8603"/>
    <cellStyle name="Normal 11 4 3 6 3 2" xfId="15314"/>
    <cellStyle name="Normal 11 4 3 6 3 2 2" xfId="38735"/>
    <cellStyle name="Normal 11 4 3 6 3 3" xfId="21160"/>
    <cellStyle name="Normal 11 4 3 6 3 3 2" xfId="43611"/>
    <cellStyle name="Normal 11 4 3 6 3 4" xfId="32103"/>
    <cellStyle name="Normal 11 4 3 6 4" xfId="11996"/>
    <cellStyle name="Normal 11 4 3 6 4 2" xfId="22430"/>
    <cellStyle name="Normal 11 4 3 6 4 2 2" xfId="44852"/>
    <cellStyle name="Normal 11 4 3 6 4 3" xfId="35419"/>
    <cellStyle name="Normal 11 4 3 6 5" xfId="19583"/>
    <cellStyle name="Normal 11 4 3 6 5 2" xfId="42120"/>
    <cellStyle name="Normal 11 4 3 6 6" xfId="25634"/>
    <cellStyle name="Normal 11 4 3 6 6 2" xfId="47879"/>
    <cellStyle name="Normal 11 4 3 6 7" xfId="28787"/>
    <cellStyle name="Normal 11 4 3 7" xfId="6114"/>
    <cellStyle name="Normal 11 4 3 7 2" xfId="9448"/>
    <cellStyle name="Normal 11 4 3 7 2 2" xfId="16152"/>
    <cellStyle name="Normal 11 4 3 7 2 2 2" xfId="39573"/>
    <cellStyle name="Normal 11 4 3 7 2 3" xfId="32941"/>
    <cellStyle name="Normal 11 4 3 7 3" xfId="12836"/>
    <cellStyle name="Normal 11 4 3 7 3 2" xfId="36257"/>
    <cellStyle name="Normal 11 4 3 7 4" xfId="18295"/>
    <cellStyle name="Normal 11 4 3 7 4 2" xfId="41428"/>
    <cellStyle name="Normal 11 4 3 7 5" xfId="29625"/>
    <cellStyle name="Normal 11 4 3 8" xfId="7780"/>
    <cellStyle name="Normal 11 4 3 8 2" xfId="14494"/>
    <cellStyle name="Normal 11 4 3 8 2 2" xfId="37915"/>
    <cellStyle name="Normal 11 4 3 8 3" xfId="20701"/>
    <cellStyle name="Normal 11 4 3 8 3 2" xfId="43152"/>
    <cellStyle name="Normal 11 4 3 8 4" xfId="31283"/>
    <cellStyle name="Normal 11 4 3 9" xfId="11176"/>
    <cellStyle name="Normal 11 4 3 9 2" xfId="21579"/>
    <cellStyle name="Normal 11 4 3 9 2 2" xfId="44028"/>
    <cellStyle name="Normal 11 4 3 9 3" xfId="34599"/>
    <cellStyle name="Normal 11 4 4" xfId="1576"/>
    <cellStyle name="Normal 11 4 4 10" xfId="23526"/>
    <cellStyle name="Normal 11 4 4 10 2" xfId="45846"/>
    <cellStyle name="Normal 11 4 4 11" xfId="28017"/>
    <cellStyle name="Normal 11 4 4 2" xfId="1796"/>
    <cellStyle name="Normal 11 4 4 2 10" xfId="28148"/>
    <cellStyle name="Normal 11 4 4 2 2" xfId="2194"/>
    <cellStyle name="Normal 11 4 4 2 2 2" xfId="5465"/>
    <cellStyle name="Normal 11 4 4 2 2 2 2" xfId="7291"/>
    <cellStyle name="Normal 11 4 4 2 2 2 2 2" xfId="10622"/>
    <cellStyle name="Normal 11 4 4 2 2 2 2 2 2" xfId="17326"/>
    <cellStyle name="Normal 11 4 4 2 2 2 2 2 2 2" xfId="40747"/>
    <cellStyle name="Normal 11 4 4 2 2 2 2 2 3" xfId="23042"/>
    <cellStyle name="Normal 11 4 4 2 2 2 2 2 3 2" xfId="45464"/>
    <cellStyle name="Normal 11 4 4 2 2 2 2 2 4" xfId="34115"/>
    <cellStyle name="Normal 11 4 4 2 2 2 2 3" xfId="14010"/>
    <cellStyle name="Normal 11 4 4 2 2 2 2 3 2" xfId="37431"/>
    <cellStyle name="Normal 11 4 4 2 2 2 2 4" xfId="20214"/>
    <cellStyle name="Normal 11 4 4 2 2 2 2 4 2" xfId="42749"/>
    <cellStyle name="Normal 11 4 4 2 2 2 2 5" xfId="30799"/>
    <cellStyle name="Normal 11 4 4 2 2 2 3" xfId="8964"/>
    <cellStyle name="Normal 11 4 4 2 2 2 3 2" xfId="15668"/>
    <cellStyle name="Normal 11 4 4 2 2 2 3 2 2" xfId="39089"/>
    <cellStyle name="Normal 11 4 4 2 2 2 3 3" xfId="21170"/>
    <cellStyle name="Normal 11 4 4 2 2 2 3 3 2" xfId="43621"/>
    <cellStyle name="Normal 11 4 4 2 2 2 3 4" xfId="32457"/>
    <cellStyle name="Normal 11 4 4 2 2 2 4" xfId="12352"/>
    <cellStyle name="Normal 11 4 4 2 2 2 4 2" xfId="22227"/>
    <cellStyle name="Normal 11 4 4 2 2 2 4 2 2" xfId="44649"/>
    <cellStyle name="Normal 11 4 4 2 2 2 4 3" xfId="35773"/>
    <cellStyle name="Normal 11 4 4 2 2 2 5" xfId="19375"/>
    <cellStyle name="Normal 11 4 4 2 2 2 5 2" xfId="41917"/>
    <cellStyle name="Normal 11 4 4 2 2 2 6" xfId="29141"/>
    <cellStyle name="Normal 11 4 4 2 2 3" xfId="6386"/>
    <cellStyle name="Normal 11 4 4 2 2 3 2" xfId="9720"/>
    <cellStyle name="Normal 11 4 4 2 2 3 2 2" xfId="16424"/>
    <cellStyle name="Normal 11 4 4 2 2 3 2 2 2" xfId="39845"/>
    <cellStyle name="Normal 11 4 4 2 2 3 2 3" xfId="22635"/>
    <cellStyle name="Normal 11 4 4 2 2 3 2 3 2" xfId="45057"/>
    <cellStyle name="Normal 11 4 4 2 2 3 2 4" xfId="33213"/>
    <cellStyle name="Normal 11 4 4 2 2 3 3" xfId="13108"/>
    <cellStyle name="Normal 11 4 4 2 2 3 3 2" xfId="36529"/>
    <cellStyle name="Normal 11 4 4 2 2 3 4" xfId="19798"/>
    <cellStyle name="Normal 11 4 4 2 2 3 4 2" xfId="42333"/>
    <cellStyle name="Normal 11 4 4 2 2 3 5" xfId="29897"/>
    <cellStyle name="Normal 11 4 4 2 2 4" xfId="8053"/>
    <cellStyle name="Normal 11 4 4 2 2 4 2" xfId="14766"/>
    <cellStyle name="Normal 11 4 4 2 2 4 2 2" xfId="38187"/>
    <cellStyle name="Normal 11 4 4 2 2 4 3" xfId="20711"/>
    <cellStyle name="Normal 11 4 4 2 2 4 3 2" xfId="43162"/>
    <cellStyle name="Normal 11 4 4 2 2 4 4" xfId="31555"/>
    <cellStyle name="Normal 11 4 4 2 2 5" xfId="11448"/>
    <cellStyle name="Normal 11 4 4 2 2 5 2" xfId="21793"/>
    <cellStyle name="Normal 11 4 4 2 2 5 2 2" xfId="44235"/>
    <cellStyle name="Normal 11 4 4 2 2 5 3" xfId="34871"/>
    <cellStyle name="Normal 11 4 4 2 2 6" xfId="18548"/>
    <cellStyle name="Normal 11 4 4 2 2 6 2" xfId="41492"/>
    <cellStyle name="Normal 11 4 4 2 2 7" xfId="25792"/>
    <cellStyle name="Normal 11 4 4 2 2 7 2" xfId="48037"/>
    <cellStyle name="Normal 11 4 4 2 2 8" xfId="28239"/>
    <cellStyle name="Normal 11 4 4 2 3" xfId="2793"/>
    <cellStyle name="Normal 11 4 4 2 3 2" xfId="5885"/>
    <cellStyle name="Normal 11 4 4 2 3 2 2" xfId="7667"/>
    <cellStyle name="Normal 11 4 4 2 3 2 2 2" xfId="10996"/>
    <cellStyle name="Normal 11 4 4 2 3 2 2 2 2" xfId="17700"/>
    <cellStyle name="Normal 11 4 4 2 3 2 2 2 2 2" xfId="41121"/>
    <cellStyle name="Normal 11 4 4 2 3 2 2 2 3" xfId="34489"/>
    <cellStyle name="Normal 11 4 4 2 3 2 2 3" xfId="14384"/>
    <cellStyle name="Normal 11 4 4 2 3 2 2 3 2" xfId="37805"/>
    <cellStyle name="Normal 11 4 4 2 3 2 2 4" xfId="22842"/>
    <cellStyle name="Normal 11 4 4 2 3 2 2 4 2" xfId="45264"/>
    <cellStyle name="Normal 11 4 4 2 3 2 2 5" xfId="31173"/>
    <cellStyle name="Normal 11 4 4 2 3 2 3" xfId="9338"/>
    <cellStyle name="Normal 11 4 4 2 3 2 3 2" xfId="16042"/>
    <cellStyle name="Normal 11 4 4 2 3 2 3 2 2" xfId="39463"/>
    <cellStyle name="Normal 11 4 4 2 3 2 3 3" xfId="32831"/>
    <cellStyle name="Normal 11 4 4 2 3 2 4" xfId="12726"/>
    <cellStyle name="Normal 11 4 4 2 3 2 4 2" xfId="36147"/>
    <cellStyle name="Normal 11 4 4 2 3 2 5" xfId="20006"/>
    <cellStyle name="Normal 11 4 4 2 3 2 5 2" xfId="42541"/>
    <cellStyle name="Normal 11 4 4 2 3 2 6" xfId="29515"/>
    <cellStyle name="Normal 11 4 4 2 3 3" xfId="6768"/>
    <cellStyle name="Normal 11 4 4 2 3 3 2" xfId="10100"/>
    <cellStyle name="Normal 11 4 4 2 3 3 2 2" xfId="16804"/>
    <cellStyle name="Normal 11 4 4 2 3 3 2 2 2" xfId="40225"/>
    <cellStyle name="Normal 11 4 4 2 3 3 2 3" xfId="33593"/>
    <cellStyle name="Normal 11 4 4 2 3 3 3" xfId="13488"/>
    <cellStyle name="Normal 11 4 4 2 3 3 3 2" xfId="36909"/>
    <cellStyle name="Normal 11 4 4 2 3 3 4" xfId="21169"/>
    <cellStyle name="Normal 11 4 4 2 3 3 4 2" xfId="43620"/>
    <cellStyle name="Normal 11 4 4 2 3 3 5" xfId="30277"/>
    <cellStyle name="Normal 11 4 4 2 3 4" xfId="8434"/>
    <cellStyle name="Normal 11 4 4 2 3 4 2" xfId="15146"/>
    <cellStyle name="Normal 11 4 4 2 3 4 2 2" xfId="38567"/>
    <cellStyle name="Normal 11 4 4 2 3 4 3" xfId="22014"/>
    <cellStyle name="Normal 11 4 4 2 3 4 3 2" xfId="44442"/>
    <cellStyle name="Normal 11 4 4 2 3 4 4" xfId="31935"/>
    <cellStyle name="Normal 11 4 4 2 3 5" xfId="11828"/>
    <cellStyle name="Normal 11 4 4 2 3 5 2" xfId="35251"/>
    <cellStyle name="Normal 11 4 4 2 3 6" xfId="19152"/>
    <cellStyle name="Normal 11 4 4 2 3 6 2" xfId="41709"/>
    <cellStyle name="Normal 11 4 4 2 3 7" xfId="28619"/>
    <cellStyle name="Normal 11 4 4 2 4" xfId="3828"/>
    <cellStyle name="Normal 11 4 4 2 4 2" xfId="6941"/>
    <cellStyle name="Normal 11 4 4 2 4 2 2" xfId="10273"/>
    <cellStyle name="Normal 11 4 4 2 4 2 2 2" xfId="16977"/>
    <cellStyle name="Normal 11 4 4 2 4 2 2 2 2" xfId="40398"/>
    <cellStyle name="Normal 11 4 4 2 4 2 2 3" xfId="33766"/>
    <cellStyle name="Normal 11 4 4 2 4 2 3" xfId="13661"/>
    <cellStyle name="Normal 11 4 4 2 4 2 3 2" xfId="37082"/>
    <cellStyle name="Normal 11 4 4 2 4 2 4" xfId="22435"/>
    <cellStyle name="Normal 11 4 4 2 4 2 4 2" xfId="44857"/>
    <cellStyle name="Normal 11 4 4 2 4 2 5" xfId="30450"/>
    <cellStyle name="Normal 11 4 4 2 4 3" xfId="8608"/>
    <cellStyle name="Normal 11 4 4 2 4 3 2" xfId="15319"/>
    <cellStyle name="Normal 11 4 4 2 4 3 2 2" xfId="38740"/>
    <cellStyle name="Normal 11 4 4 2 4 3 3" xfId="32108"/>
    <cellStyle name="Normal 11 4 4 2 4 4" xfId="12001"/>
    <cellStyle name="Normal 11 4 4 2 4 4 2" xfId="35424"/>
    <cellStyle name="Normal 11 4 4 2 4 5" xfId="19588"/>
    <cellStyle name="Normal 11 4 4 2 4 5 2" xfId="42125"/>
    <cellStyle name="Normal 11 4 4 2 4 6" xfId="28792"/>
    <cellStyle name="Normal 11 4 4 2 5" xfId="6295"/>
    <cellStyle name="Normal 11 4 4 2 5 2" xfId="9629"/>
    <cellStyle name="Normal 11 4 4 2 5 2 2" xfId="16333"/>
    <cellStyle name="Normal 11 4 4 2 5 2 2 2" xfId="39754"/>
    <cellStyle name="Normal 11 4 4 2 5 2 3" xfId="33122"/>
    <cellStyle name="Normal 11 4 4 2 5 3" xfId="13017"/>
    <cellStyle name="Normal 11 4 4 2 5 3 2" xfId="36438"/>
    <cellStyle name="Normal 11 4 4 2 5 4" xfId="20710"/>
    <cellStyle name="Normal 11 4 4 2 5 4 2" xfId="43161"/>
    <cellStyle name="Normal 11 4 4 2 5 5" xfId="29806"/>
    <cellStyle name="Normal 11 4 4 2 6" xfId="7961"/>
    <cellStyle name="Normal 11 4 4 2 6 2" xfId="14675"/>
    <cellStyle name="Normal 11 4 4 2 6 2 2" xfId="38096"/>
    <cellStyle name="Normal 11 4 4 2 6 3" xfId="21584"/>
    <cellStyle name="Normal 11 4 4 2 6 3 2" xfId="44033"/>
    <cellStyle name="Normal 11 4 4 2 6 4" xfId="31464"/>
    <cellStyle name="Normal 11 4 4 2 7" xfId="11357"/>
    <cellStyle name="Normal 11 4 4 2 7 2" xfId="34780"/>
    <cellStyle name="Normal 11 4 4 2 8" xfId="17948"/>
    <cellStyle name="Normal 11 4 4 2 8 2" xfId="41256"/>
    <cellStyle name="Normal 11 4 4 2 9" xfId="23527"/>
    <cellStyle name="Normal 11 4 4 2 9 2" xfId="45847"/>
    <cellStyle name="Normal 11 4 4 3" xfId="2193"/>
    <cellStyle name="Normal 11 4 4 3 2" xfId="5464"/>
    <cellStyle name="Normal 11 4 4 3 2 2" xfId="7290"/>
    <cellStyle name="Normal 11 4 4 3 2 2 2" xfId="10621"/>
    <cellStyle name="Normal 11 4 4 3 2 2 2 2" xfId="17325"/>
    <cellStyle name="Normal 11 4 4 3 2 2 2 2 2" xfId="40746"/>
    <cellStyle name="Normal 11 4 4 3 2 2 2 3" xfId="23041"/>
    <cellStyle name="Normal 11 4 4 3 2 2 2 3 2" xfId="45463"/>
    <cellStyle name="Normal 11 4 4 3 2 2 2 4" xfId="34114"/>
    <cellStyle name="Normal 11 4 4 3 2 2 3" xfId="14009"/>
    <cellStyle name="Normal 11 4 4 3 2 2 3 2" xfId="37430"/>
    <cellStyle name="Normal 11 4 4 3 2 2 4" xfId="20213"/>
    <cellStyle name="Normal 11 4 4 3 2 2 4 2" xfId="42748"/>
    <cellStyle name="Normal 11 4 4 3 2 2 5" xfId="30798"/>
    <cellStyle name="Normal 11 4 4 3 2 3" xfId="8963"/>
    <cellStyle name="Normal 11 4 4 3 2 3 2" xfId="15667"/>
    <cellStyle name="Normal 11 4 4 3 2 3 2 2" xfId="39088"/>
    <cellStyle name="Normal 11 4 4 3 2 3 3" xfId="21171"/>
    <cellStyle name="Normal 11 4 4 3 2 3 3 2" xfId="43622"/>
    <cellStyle name="Normal 11 4 4 3 2 3 4" xfId="32456"/>
    <cellStyle name="Normal 11 4 4 3 2 4" xfId="12351"/>
    <cellStyle name="Normal 11 4 4 3 2 4 2" xfId="22226"/>
    <cellStyle name="Normal 11 4 4 3 2 4 2 2" xfId="44648"/>
    <cellStyle name="Normal 11 4 4 3 2 4 3" xfId="35772"/>
    <cellStyle name="Normal 11 4 4 3 2 5" xfId="19374"/>
    <cellStyle name="Normal 11 4 4 3 2 5 2" xfId="41916"/>
    <cellStyle name="Normal 11 4 4 3 2 6" xfId="25791"/>
    <cellStyle name="Normal 11 4 4 3 2 6 2" xfId="48036"/>
    <cellStyle name="Normal 11 4 4 3 2 7" xfId="29140"/>
    <cellStyle name="Normal 11 4 4 3 3" xfId="6385"/>
    <cellStyle name="Normal 11 4 4 3 3 2" xfId="9719"/>
    <cellStyle name="Normal 11 4 4 3 3 2 2" xfId="16423"/>
    <cellStyle name="Normal 11 4 4 3 3 2 2 2" xfId="39844"/>
    <cellStyle name="Normal 11 4 4 3 3 2 3" xfId="22634"/>
    <cellStyle name="Normal 11 4 4 3 3 2 3 2" xfId="45056"/>
    <cellStyle name="Normal 11 4 4 3 3 2 4" xfId="33212"/>
    <cellStyle name="Normal 11 4 4 3 3 3" xfId="13107"/>
    <cellStyle name="Normal 11 4 4 3 3 3 2" xfId="36528"/>
    <cellStyle name="Normal 11 4 4 3 3 4" xfId="19797"/>
    <cellStyle name="Normal 11 4 4 3 3 4 2" xfId="42332"/>
    <cellStyle name="Normal 11 4 4 3 3 5" xfId="29896"/>
    <cellStyle name="Normal 11 4 4 3 4" xfId="8052"/>
    <cellStyle name="Normal 11 4 4 3 4 2" xfId="14765"/>
    <cellStyle name="Normal 11 4 4 3 4 2 2" xfId="38186"/>
    <cellStyle name="Normal 11 4 4 3 4 3" xfId="20712"/>
    <cellStyle name="Normal 11 4 4 3 4 3 2" xfId="43163"/>
    <cellStyle name="Normal 11 4 4 3 4 4" xfId="31554"/>
    <cellStyle name="Normal 11 4 4 3 5" xfId="11447"/>
    <cellStyle name="Normal 11 4 4 3 5 2" xfId="21792"/>
    <cellStyle name="Normal 11 4 4 3 5 2 2" xfId="44234"/>
    <cellStyle name="Normal 11 4 4 3 5 3" xfId="34870"/>
    <cellStyle name="Normal 11 4 4 3 6" xfId="18547"/>
    <cellStyle name="Normal 11 4 4 3 6 2" xfId="41491"/>
    <cellStyle name="Normal 11 4 4 3 7" xfId="23255"/>
    <cellStyle name="Normal 11 4 4 3 7 2" xfId="45647"/>
    <cellStyle name="Normal 11 4 4 3 8" xfId="28238"/>
    <cellStyle name="Normal 11 4 4 4" xfId="2661"/>
    <cellStyle name="Normal 11 4 4 4 2" xfId="5754"/>
    <cellStyle name="Normal 11 4 4 4 2 2" xfId="7536"/>
    <cellStyle name="Normal 11 4 4 4 2 2 2" xfId="10865"/>
    <cellStyle name="Normal 11 4 4 4 2 2 2 2" xfId="17569"/>
    <cellStyle name="Normal 11 4 4 4 2 2 2 2 2" xfId="40990"/>
    <cellStyle name="Normal 11 4 4 4 2 2 2 3" xfId="34358"/>
    <cellStyle name="Normal 11 4 4 4 2 2 3" xfId="14253"/>
    <cellStyle name="Normal 11 4 4 4 2 2 3 2" xfId="37674"/>
    <cellStyle name="Normal 11 4 4 4 2 2 4" xfId="22841"/>
    <cellStyle name="Normal 11 4 4 4 2 2 4 2" xfId="45263"/>
    <cellStyle name="Normal 11 4 4 4 2 2 5" xfId="31042"/>
    <cellStyle name="Normal 11 4 4 4 2 3" xfId="9207"/>
    <cellStyle name="Normal 11 4 4 4 2 3 2" xfId="15911"/>
    <cellStyle name="Normal 11 4 4 4 2 3 2 2" xfId="39332"/>
    <cellStyle name="Normal 11 4 4 4 2 3 3" xfId="32700"/>
    <cellStyle name="Normal 11 4 4 4 2 4" xfId="12595"/>
    <cellStyle name="Normal 11 4 4 4 2 4 2" xfId="36016"/>
    <cellStyle name="Normal 11 4 4 4 2 5" xfId="20005"/>
    <cellStyle name="Normal 11 4 4 4 2 5 2" xfId="42540"/>
    <cellStyle name="Normal 11 4 4 4 2 6" xfId="27913"/>
    <cellStyle name="Normal 11 4 4 4 2 6 2" xfId="50158"/>
    <cellStyle name="Normal 11 4 4 4 2 7" xfId="29384"/>
    <cellStyle name="Normal 11 4 4 4 3" xfId="6637"/>
    <cellStyle name="Normal 11 4 4 4 3 2" xfId="9969"/>
    <cellStyle name="Normal 11 4 4 4 3 2 2" xfId="16673"/>
    <cellStyle name="Normal 11 4 4 4 3 2 2 2" xfId="40094"/>
    <cellStyle name="Normal 11 4 4 4 3 2 3" xfId="33462"/>
    <cellStyle name="Normal 11 4 4 4 3 3" xfId="13357"/>
    <cellStyle name="Normal 11 4 4 4 3 3 2" xfId="36778"/>
    <cellStyle name="Normal 11 4 4 4 3 4" xfId="21168"/>
    <cellStyle name="Normal 11 4 4 4 3 4 2" xfId="43619"/>
    <cellStyle name="Normal 11 4 4 4 3 5" xfId="30146"/>
    <cellStyle name="Normal 11 4 4 4 4" xfId="8303"/>
    <cellStyle name="Normal 11 4 4 4 4 2" xfId="15015"/>
    <cellStyle name="Normal 11 4 4 4 4 2 2" xfId="38436"/>
    <cellStyle name="Normal 11 4 4 4 4 3" xfId="22013"/>
    <cellStyle name="Normal 11 4 4 4 4 3 2" xfId="44441"/>
    <cellStyle name="Normal 11 4 4 4 4 4" xfId="31804"/>
    <cellStyle name="Normal 11 4 4 4 5" xfId="11697"/>
    <cellStyle name="Normal 11 4 4 4 5 2" xfId="35120"/>
    <cellStyle name="Normal 11 4 4 4 6" xfId="19151"/>
    <cellStyle name="Normal 11 4 4 4 6 2" xfId="41708"/>
    <cellStyle name="Normal 11 4 4 4 7" xfId="25608"/>
    <cellStyle name="Normal 11 4 4 4 7 2" xfId="47853"/>
    <cellStyle name="Normal 11 4 4 4 8" xfId="28488"/>
    <cellStyle name="Normal 11 4 4 5" xfId="3827"/>
    <cellStyle name="Normal 11 4 4 5 2" xfId="6940"/>
    <cellStyle name="Normal 11 4 4 5 2 2" xfId="10272"/>
    <cellStyle name="Normal 11 4 4 5 2 2 2" xfId="16976"/>
    <cellStyle name="Normal 11 4 4 5 2 2 2 2" xfId="40397"/>
    <cellStyle name="Normal 11 4 4 5 2 2 3" xfId="33765"/>
    <cellStyle name="Normal 11 4 4 5 2 3" xfId="13660"/>
    <cellStyle name="Normal 11 4 4 5 2 3 2" xfId="37081"/>
    <cellStyle name="Normal 11 4 4 5 2 4" xfId="22434"/>
    <cellStyle name="Normal 11 4 4 5 2 4 2" xfId="44856"/>
    <cellStyle name="Normal 11 4 4 5 2 5" xfId="30449"/>
    <cellStyle name="Normal 11 4 4 5 3" xfId="8607"/>
    <cellStyle name="Normal 11 4 4 5 3 2" xfId="15318"/>
    <cellStyle name="Normal 11 4 4 5 3 2 2" xfId="38739"/>
    <cellStyle name="Normal 11 4 4 5 3 3" xfId="32107"/>
    <cellStyle name="Normal 11 4 4 5 4" xfId="12000"/>
    <cellStyle name="Normal 11 4 4 5 4 2" xfId="35423"/>
    <cellStyle name="Normal 11 4 4 5 5" xfId="19587"/>
    <cellStyle name="Normal 11 4 4 5 5 2" xfId="42124"/>
    <cellStyle name="Normal 11 4 4 5 6" xfId="25645"/>
    <cellStyle name="Normal 11 4 4 5 6 2" xfId="47890"/>
    <cellStyle name="Normal 11 4 4 5 7" xfId="28791"/>
    <cellStyle name="Normal 11 4 4 6" xfId="6164"/>
    <cellStyle name="Normal 11 4 4 6 2" xfId="9498"/>
    <cellStyle name="Normal 11 4 4 6 2 2" xfId="16202"/>
    <cellStyle name="Normal 11 4 4 6 2 2 2" xfId="39623"/>
    <cellStyle name="Normal 11 4 4 6 2 3" xfId="32991"/>
    <cellStyle name="Normal 11 4 4 6 3" xfId="12886"/>
    <cellStyle name="Normal 11 4 4 6 3 2" xfId="36307"/>
    <cellStyle name="Normal 11 4 4 6 4" xfId="20709"/>
    <cellStyle name="Normal 11 4 4 6 4 2" xfId="43160"/>
    <cellStyle name="Normal 11 4 4 6 5" xfId="29675"/>
    <cellStyle name="Normal 11 4 4 7" xfId="7830"/>
    <cellStyle name="Normal 11 4 4 7 2" xfId="14544"/>
    <cellStyle name="Normal 11 4 4 7 2 2" xfId="37965"/>
    <cellStyle name="Normal 11 4 4 7 3" xfId="21583"/>
    <cellStyle name="Normal 11 4 4 7 3 2" xfId="44032"/>
    <cellStyle name="Normal 11 4 4 7 4" xfId="31333"/>
    <cellStyle name="Normal 11 4 4 8" xfId="11226"/>
    <cellStyle name="Normal 11 4 4 8 2" xfId="34649"/>
    <cellStyle name="Normal 11 4 4 9" xfId="17947"/>
    <cellStyle name="Normal 11 4 4 9 2" xfId="41255"/>
    <cellStyle name="Normal 11 4 5" xfId="1709"/>
    <cellStyle name="Normal 11 4 5 10" xfId="28062"/>
    <cellStyle name="Normal 11 4 5 2" xfId="2195"/>
    <cellStyle name="Normal 11 4 5 2 2" xfId="5466"/>
    <cellStyle name="Normal 11 4 5 2 2 2" xfId="7292"/>
    <cellStyle name="Normal 11 4 5 2 2 2 2" xfId="10623"/>
    <cellStyle name="Normal 11 4 5 2 2 2 2 2" xfId="17327"/>
    <cellStyle name="Normal 11 4 5 2 2 2 2 2 2" xfId="40748"/>
    <cellStyle name="Normal 11 4 5 2 2 2 2 3" xfId="23043"/>
    <cellStyle name="Normal 11 4 5 2 2 2 2 3 2" xfId="45465"/>
    <cellStyle name="Normal 11 4 5 2 2 2 2 4" xfId="34116"/>
    <cellStyle name="Normal 11 4 5 2 2 2 3" xfId="14011"/>
    <cellStyle name="Normal 11 4 5 2 2 2 3 2" xfId="37432"/>
    <cellStyle name="Normal 11 4 5 2 2 2 4" xfId="20215"/>
    <cellStyle name="Normal 11 4 5 2 2 2 4 2" xfId="42750"/>
    <cellStyle name="Normal 11 4 5 2 2 2 5" xfId="30800"/>
    <cellStyle name="Normal 11 4 5 2 2 3" xfId="8965"/>
    <cellStyle name="Normal 11 4 5 2 2 3 2" xfId="15669"/>
    <cellStyle name="Normal 11 4 5 2 2 3 2 2" xfId="39090"/>
    <cellStyle name="Normal 11 4 5 2 2 3 3" xfId="21173"/>
    <cellStyle name="Normal 11 4 5 2 2 3 3 2" xfId="43624"/>
    <cellStyle name="Normal 11 4 5 2 2 3 4" xfId="32458"/>
    <cellStyle name="Normal 11 4 5 2 2 4" xfId="12353"/>
    <cellStyle name="Normal 11 4 5 2 2 4 2" xfId="22228"/>
    <cellStyle name="Normal 11 4 5 2 2 4 2 2" xfId="44650"/>
    <cellStyle name="Normal 11 4 5 2 2 4 3" xfId="35774"/>
    <cellStyle name="Normal 11 4 5 2 2 5" xfId="19376"/>
    <cellStyle name="Normal 11 4 5 2 2 5 2" xfId="41918"/>
    <cellStyle name="Normal 11 4 5 2 2 6" xfId="29142"/>
    <cellStyle name="Normal 11 4 5 2 3" xfId="6387"/>
    <cellStyle name="Normal 11 4 5 2 3 2" xfId="9721"/>
    <cellStyle name="Normal 11 4 5 2 3 2 2" xfId="16425"/>
    <cellStyle name="Normal 11 4 5 2 3 2 2 2" xfId="39846"/>
    <cellStyle name="Normal 11 4 5 2 3 2 3" xfId="22636"/>
    <cellStyle name="Normal 11 4 5 2 3 2 3 2" xfId="45058"/>
    <cellStyle name="Normal 11 4 5 2 3 2 4" xfId="33214"/>
    <cellStyle name="Normal 11 4 5 2 3 3" xfId="13109"/>
    <cellStyle name="Normal 11 4 5 2 3 3 2" xfId="36530"/>
    <cellStyle name="Normal 11 4 5 2 3 4" xfId="19799"/>
    <cellStyle name="Normal 11 4 5 2 3 4 2" xfId="42334"/>
    <cellStyle name="Normal 11 4 5 2 3 5" xfId="29898"/>
    <cellStyle name="Normal 11 4 5 2 4" xfId="8054"/>
    <cellStyle name="Normal 11 4 5 2 4 2" xfId="14767"/>
    <cellStyle name="Normal 11 4 5 2 4 2 2" xfId="38188"/>
    <cellStyle name="Normal 11 4 5 2 4 3" xfId="20714"/>
    <cellStyle name="Normal 11 4 5 2 4 3 2" xfId="43165"/>
    <cellStyle name="Normal 11 4 5 2 4 4" xfId="31556"/>
    <cellStyle name="Normal 11 4 5 2 5" xfId="11449"/>
    <cellStyle name="Normal 11 4 5 2 5 2" xfId="21794"/>
    <cellStyle name="Normal 11 4 5 2 5 2 2" xfId="44236"/>
    <cellStyle name="Normal 11 4 5 2 5 3" xfId="34872"/>
    <cellStyle name="Normal 11 4 5 2 6" xfId="18549"/>
    <cellStyle name="Normal 11 4 5 2 6 2" xfId="41493"/>
    <cellStyle name="Normal 11 4 5 2 7" xfId="25793"/>
    <cellStyle name="Normal 11 4 5 2 7 2" xfId="48038"/>
    <cellStyle name="Normal 11 4 5 2 8" xfId="28240"/>
    <cellStyle name="Normal 11 4 5 3" xfId="2707"/>
    <cellStyle name="Normal 11 4 5 3 2" xfId="5799"/>
    <cellStyle name="Normal 11 4 5 3 2 2" xfId="7581"/>
    <cellStyle name="Normal 11 4 5 3 2 2 2" xfId="10910"/>
    <cellStyle name="Normal 11 4 5 3 2 2 2 2" xfId="17614"/>
    <cellStyle name="Normal 11 4 5 3 2 2 2 2 2" xfId="41035"/>
    <cellStyle name="Normal 11 4 5 3 2 2 2 3" xfId="34403"/>
    <cellStyle name="Normal 11 4 5 3 2 2 3" xfId="14298"/>
    <cellStyle name="Normal 11 4 5 3 2 2 3 2" xfId="37719"/>
    <cellStyle name="Normal 11 4 5 3 2 2 4" xfId="22843"/>
    <cellStyle name="Normal 11 4 5 3 2 2 4 2" xfId="45265"/>
    <cellStyle name="Normal 11 4 5 3 2 2 5" xfId="31087"/>
    <cellStyle name="Normal 11 4 5 3 2 3" xfId="9252"/>
    <cellStyle name="Normal 11 4 5 3 2 3 2" xfId="15956"/>
    <cellStyle name="Normal 11 4 5 3 2 3 2 2" xfId="39377"/>
    <cellStyle name="Normal 11 4 5 3 2 3 3" xfId="32745"/>
    <cellStyle name="Normal 11 4 5 3 2 4" xfId="12640"/>
    <cellStyle name="Normal 11 4 5 3 2 4 2" xfId="36061"/>
    <cellStyle name="Normal 11 4 5 3 2 5" xfId="20007"/>
    <cellStyle name="Normal 11 4 5 3 2 5 2" xfId="42542"/>
    <cellStyle name="Normal 11 4 5 3 2 6" xfId="29429"/>
    <cellStyle name="Normal 11 4 5 3 3" xfId="6682"/>
    <cellStyle name="Normal 11 4 5 3 3 2" xfId="10014"/>
    <cellStyle name="Normal 11 4 5 3 3 2 2" xfId="16718"/>
    <cellStyle name="Normal 11 4 5 3 3 2 2 2" xfId="40139"/>
    <cellStyle name="Normal 11 4 5 3 3 2 3" xfId="33507"/>
    <cellStyle name="Normal 11 4 5 3 3 3" xfId="13402"/>
    <cellStyle name="Normal 11 4 5 3 3 3 2" xfId="36823"/>
    <cellStyle name="Normal 11 4 5 3 3 4" xfId="21172"/>
    <cellStyle name="Normal 11 4 5 3 3 4 2" xfId="43623"/>
    <cellStyle name="Normal 11 4 5 3 3 5" xfId="30191"/>
    <cellStyle name="Normal 11 4 5 3 4" xfId="8348"/>
    <cellStyle name="Normal 11 4 5 3 4 2" xfId="15060"/>
    <cellStyle name="Normal 11 4 5 3 4 2 2" xfId="38481"/>
    <cellStyle name="Normal 11 4 5 3 4 3" xfId="22015"/>
    <cellStyle name="Normal 11 4 5 3 4 3 2" xfId="44443"/>
    <cellStyle name="Normal 11 4 5 3 4 4" xfId="31849"/>
    <cellStyle name="Normal 11 4 5 3 5" xfId="11742"/>
    <cellStyle name="Normal 11 4 5 3 5 2" xfId="35165"/>
    <cellStyle name="Normal 11 4 5 3 6" xfId="19153"/>
    <cellStyle name="Normal 11 4 5 3 6 2" xfId="41710"/>
    <cellStyle name="Normal 11 4 5 3 7" xfId="28533"/>
    <cellStyle name="Normal 11 4 5 4" xfId="3829"/>
    <cellStyle name="Normal 11 4 5 4 2" xfId="6942"/>
    <cellStyle name="Normal 11 4 5 4 2 2" xfId="10274"/>
    <cellStyle name="Normal 11 4 5 4 2 2 2" xfId="16978"/>
    <cellStyle name="Normal 11 4 5 4 2 2 2 2" xfId="40399"/>
    <cellStyle name="Normal 11 4 5 4 2 2 3" xfId="33767"/>
    <cellStyle name="Normal 11 4 5 4 2 3" xfId="13662"/>
    <cellStyle name="Normal 11 4 5 4 2 3 2" xfId="37083"/>
    <cellStyle name="Normal 11 4 5 4 2 4" xfId="22436"/>
    <cellStyle name="Normal 11 4 5 4 2 4 2" xfId="44858"/>
    <cellStyle name="Normal 11 4 5 4 2 5" xfId="30451"/>
    <cellStyle name="Normal 11 4 5 4 3" xfId="8609"/>
    <cellStyle name="Normal 11 4 5 4 3 2" xfId="15320"/>
    <cellStyle name="Normal 11 4 5 4 3 2 2" xfId="38741"/>
    <cellStyle name="Normal 11 4 5 4 3 3" xfId="32109"/>
    <cellStyle name="Normal 11 4 5 4 4" xfId="12002"/>
    <cellStyle name="Normal 11 4 5 4 4 2" xfId="35425"/>
    <cellStyle name="Normal 11 4 5 4 5" xfId="19589"/>
    <cellStyle name="Normal 11 4 5 4 5 2" xfId="42126"/>
    <cellStyle name="Normal 11 4 5 4 6" xfId="28793"/>
    <cellStyle name="Normal 11 4 5 5" xfId="6209"/>
    <cellStyle name="Normal 11 4 5 5 2" xfId="9543"/>
    <cellStyle name="Normal 11 4 5 5 2 2" xfId="16247"/>
    <cellStyle name="Normal 11 4 5 5 2 2 2" xfId="39668"/>
    <cellStyle name="Normal 11 4 5 5 2 3" xfId="33036"/>
    <cellStyle name="Normal 11 4 5 5 3" xfId="12931"/>
    <cellStyle name="Normal 11 4 5 5 3 2" xfId="36352"/>
    <cellStyle name="Normal 11 4 5 5 4" xfId="20713"/>
    <cellStyle name="Normal 11 4 5 5 4 2" xfId="43164"/>
    <cellStyle name="Normal 11 4 5 5 5" xfId="29720"/>
    <cellStyle name="Normal 11 4 5 6" xfId="7875"/>
    <cellStyle name="Normal 11 4 5 6 2" xfId="14589"/>
    <cellStyle name="Normal 11 4 5 6 2 2" xfId="38010"/>
    <cellStyle name="Normal 11 4 5 6 3" xfId="21585"/>
    <cellStyle name="Normal 11 4 5 6 3 2" xfId="44034"/>
    <cellStyle name="Normal 11 4 5 6 4" xfId="31378"/>
    <cellStyle name="Normal 11 4 5 7" xfId="11271"/>
    <cellStyle name="Normal 11 4 5 7 2" xfId="34694"/>
    <cellStyle name="Normal 11 4 5 8" xfId="17949"/>
    <cellStyle name="Normal 11 4 5 8 2" xfId="41257"/>
    <cellStyle name="Normal 11 4 5 9" xfId="23528"/>
    <cellStyle name="Normal 11 4 5 9 2" xfId="45848"/>
    <cellStyle name="Normal 11 4 6" xfId="2180"/>
    <cellStyle name="Normal 11 4 6 2" xfId="3830"/>
    <cellStyle name="Normal 11 4 6 2 2" xfId="6943"/>
    <cellStyle name="Normal 11 4 6 2 2 2" xfId="10275"/>
    <cellStyle name="Normal 11 4 6 2 2 2 2" xfId="16979"/>
    <cellStyle name="Normal 11 4 6 2 2 2 2 2" xfId="40400"/>
    <cellStyle name="Normal 11 4 6 2 2 2 3" xfId="23028"/>
    <cellStyle name="Normal 11 4 6 2 2 2 3 2" xfId="45450"/>
    <cellStyle name="Normal 11 4 6 2 2 2 4" xfId="33768"/>
    <cellStyle name="Normal 11 4 6 2 2 3" xfId="13663"/>
    <cellStyle name="Normal 11 4 6 2 2 3 2" xfId="37084"/>
    <cellStyle name="Normal 11 4 6 2 2 4" xfId="20200"/>
    <cellStyle name="Normal 11 4 6 2 2 4 2" xfId="42735"/>
    <cellStyle name="Normal 11 4 6 2 2 5" xfId="30452"/>
    <cellStyle name="Normal 11 4 6 2 3" xfId="8610"/>
    <cellStyle name="Normal 11 4 6 2 3 2" xfId="15321"/>
    <cellStyle name="Normal 11 4 6 2 3 2 2" xfId="38742"/>
    <cellStyle name="Normal 11 4 6 2 3 3" xfId="21174"/>
    <cellStyle name="Normal 11 4 6 2 3 3 2" xfId="43625"/>
    <cellStyle name="Normal 11 4 6 2 3 4" xfId="32110"/>
    <cellStyle name="Normal 11 4 6 2 4" xfId="12003"/>
    <cellStyle name="Normal 11 4 6 2 4 2" xfId="22213"/>
    <cellStyle name="Normal 11 4 6 2 4 2 2" xfId="44635"/>
    <cellStyle name="Normal 11 4 6 2 4 3" xfId="35426"/>
    <cellStyle name="Normal 11 4 6 2 5" xfId="19361"/>
    <cellStyle name="Normal 11 4 6 2 5 2" xfId="41903"/>
    <cellStyle name="Normal 11 4 6 2 6" xfId="25794"/>
    <cellStyle name="Normal 11 4 6 2 6 2" xfId="48039"/>
    <cellStyle name="Normal 11 4 6 2 7" xfId="28794"/>
    <cellStyle name="Normal 11 4 6 3" xfId="6372"/>
    <cellStyle name="Normal 11 4 6 3 2" xfId="9706"/>
    <cellStyle name="Normal 11 4 6 3 2 2" xfId="16410"/>
    <cellStyle name="Normal 11 4 6 3 2 2 2" xfId="39831"/>
    <cellStyle name="Normal 11 4 6 3 2 3" xfId="22621"/>
    <cellStyle name="Normal 11 4 6 3 2 3 2" xfId="45043"/>
    <cellStyle name="Normal 11 4 6 3 2 4" xfId="33199"/>
    <cellStyle name="Normal 11 4 6 3 3" xfId="13094"/>
    <cellStyle name="Normal 11 4 6 3 3 2" xfId="36515"/>
    <cellStyle name="Normal 11 4 6 3 4" xfId="19784"/>
    <cellStyle name="Normal 11 4 6 3 4 2" xfId="42319"/>
    <cellStyle name="Normal 11 4 6 3 5" xfId="29883"/>
    <cellStyle name="Normal 11 4 6 4" xfId="8039"/>
    <cellStyle name="Normal 11 4 6 4 2" xfId="14752"/>
    <cellStyle name="Normal 11 4 6 4 2 2" xfId="38173"/>
    <cellStyle name="Normal 11 4 6 4 3" xfId="20715"/>
    <cellStyle name="Normal 11 4 6 4 3 2" xfId="43166"/>
    <cellStyle name="Normal 11 4 6 4 4" xfId="31541"/>
    <cellStyle name="Normal 11 4 6 5" xfId="11434"/>
    <cellStyle name="Normal 11 4 6 5 2" xfId="21779"/>
    <cellStyle name="Normal 11 4 6 5 2 2" xfId="44221"/>
    <cellStyle name="Normal 11 4 6 5 3" xfId="34857"/>
    <cellStyle name="Normal 11 4 6 6" xfId="18534"/>
    <cellStyle name="Normal 11 4 6 6 2" xfId="41478"/>
    <cellStyle name="Normal 11 4 6 7" xfId="23529"/>
    <cellStyle name="Normal 11 4 6 7 2" xfId="45849"/>
    <cellStyle name="Normal 11 4 6 8" xfId="28225"/>
    <cellStyle name="Normal 11 4 7" xfId="2574"/>
    <cellStyle name="Normal 11 4 7 2" xfId="5668"/>
    <cellStyle name="Normal 11 4 7 2 2" xfId="7451"/>
    <cellStyle name="Normal 11 4 7 2 2 2" xfId="10780"/>
    <cellStyle name="Normal 11 4 7 2 2 2 2" xfId="17484"/>
    <cellStyle name="Normal 11 4 7 2 2 2 2 2" xfId="40905"/>
    <cellStyle name="Normal 11 4 7 2 2 2 3" xfId="34273"/>
    <cellStyle name="Normal 11 4 7 2 2 3" xfId="14168"/>
    <cellStyle name="Normal 11 4 7 2 2 3 2" xfId="37589"/>
    <cellStyle name="Normal 11 4 7 2 2 4" xfId="20575"/>
    <cellStyle name="Normal 11 4 7 2 2 4 2" xfId="43026"/>
    <cellStyle name="Normal 11 4 7 2 2 5" xfId="30957"/>
    <cellStyle name="Normal 11 4 7 2 3" xfId="9122"/>
    <cellStyle name="Normal 11 4 7 2 3 2" xfId="15826"/>
    <cellStyle name="Normal 11 4 7 2 3 2 2" xfId="39247"/>
    <cellStyle name="Normal 11 4 7 2 3 3" xfId="21493"/>
    <cellStyle name="Normal 11 4 7 2 3 3 2" xfId="43944"/>
    <cellStyle name="Normal 11 4 7 2 3 4" xfId="32615"/>
    <cellStyle name="Normal 11 4 7 2 4" xfId="12510"/>
    <cellStyle name="Normal 11 4 7 2 4 2" xfId="22828"/>
    <cellStyle name="Normal 11 4 7 2 4 2 2" xfId="45250"/>
    <cellStyle name="Normal 11 4 7 2 4 3" xfId="35931"/>
    <cellStyle name="Normal 11 4 7 2 5" xfId="19992"/>
    <cellStyle name="Normal 11 4 7 2 5 2" xfId="42527"/>
    <cellStyle name="Normal 11 4 7 2 6" xfId="27894"/>
    <cellStyle name="Normal 11 4 7 2 6 2" xfId="50139"/>
    <cellStyle name="Normal 11 4 7 2 7" xfId="29299"/>
    <cellStyle name="Normal 11 4 7 3" xfId="6551"/>
    <cellStyle name="Normal 11 4 7 3 2" xfId="9883"/>
    <cellStyle name="Normal 11 4 7 3 2 2" xfId="16587"/>
    <cellStyle name="Normal 11 4 7 3 2 2 2" xfId="40008"/>
    <cellStyle name="Normal 11 4 7 3 2 3" xfId="33376"/>
    <cellStyle name="Normal 11 4 7 3 3" xfId="13271"/>
    <cellStyle name="Normal 11 4 7 3 3 2" xfId="36692"/>
    <cellStyle name="Normal 11 4 7 3 4" xfId="20477"/>
    <cellStyle name="Normal 11 4 7 3 4 2" xfId="42930"/>
    <cellStyle name="Normal 11 4 7 3 5" xfId="30060"/>
    <cellStyle name="Normal 11 4 7 4" xfId="8217"/>
    <cellStyle name="Normal 11 4 7 4 2" xfId="14929"/>
    <cellStyle name="Normal 11 4 7 4 2 2" xfId="38350"/>
    <cellStyle name="Normal 11 4 7 4 3" xfId="21034"/>
    <cellStyle name="Normal 11 4 7 4 3 2" xfId="43485"/>
    <cellStyle name="Normal 11 4 7 4 4" xfId="31718"/>
    <cellStyle name="Normal 11 4 7 5" xfId="11611"/>
    <cellStyle name="Normal 11 4 7 5 2" xfId="22000"/>
    <cellStyle name="Normal 11 4 7 5 2 2" xfId="44428"/>
    <cellStyle name="Normal 11 4 7 5 3" xfId="35034"/>
    <cellStyle name="Normal 11 4 7 6" xfId="19138"/>
    <cellStyle name="Normal 11 4 7 6 2" xfId="41695"/>
    <cellStyle name="Normal 11 4 7 7" xfId="25589"/>
    <cellStyle name="Normal 11 4 7 7 2" xfId="47834"/>
    <cellStyle name="Normal 11 4 7 8" xfId="28402"/>
    <cellStyle name="Normal 11 4 8" xfId="3813"/>
    <cellStyle name="Normal 11 4 8 2" xfId="19574"/>
    <cellStyle name="Normal 11 4 8 2 2" xfId="42111"/>
    <cellStyle name="Normal 11 4 8 3" xfId="21143"/>
    <cellStyle name="Normal 11 4 8 3 2" xfId="43594"/>
    <cellStyle name="Normal 11 4 8 4" xfId="22421"/>
    <cellStyle name="Normal 11 4 8 4 2" xfId="44843"/>
    <cellStyle name="Normal 11 4 8 5" xfId="25627"/>
    <cellStyle name="Normal 11 4 8 5 2" xfId="47872"/>
    <cellStyle name="Normal 11 4 9" xfId="6078"/>
    <cellStyle name="Normal 11 4 9 2" xfId="9412"/>
    <cellStyle name="Normal 11 4 9 2 2" xfId="16116"/>
    <cellStyle name="Normal 11 4 9 2 2 2" xfId="39537"/>
    <cellStyle name="Normal 11 4 9 2 3" xfId="32905"/>
    <cellStyle name="Normal 11 4 9 3" xfId="12800"/>
    <cellStyle name="Normal 11 4 9 3 2" xfId="36221"/>
    <cellStyle name="Normal 11 4 9 4" xfId="18294"/>
    <cellStyle name="Normal 11 4 9 4 2" xfId="41427"/>
    <cellStyle name="Normal 11 4 9 5" xfId="29589"/>
    <cellStyle name="Normal 11 5" xfId="1247"/>
    <cellStyle name="Normal 11 5 10" xfId="11147"/>
    <cellStyle name="Normal 11 5 10 2" xfId="21586"/>
    <cellStyle name="Normal 11 5 10 2 2" xfId="44035"/>
    <cellStyle name="Normal 11 5 10 3" xfId="34570"/>
    <cellStyle name="Normal 11 5 11" xfId="17950"/>
    <cellStyle name="Normal 11 5 11 2" xfId="41258"/>
    <cellStyle name="Normal 11 5 12" xfId="27938"/>
    <cellStyle name="Normal 11 5 2" xfId="1438"/>
    <cellStyle name="Normal 11 5 2 10" xfId="17951"/>
    <cellStyle name="Normal 11 5 2 10 2" xfId="41259"/>
    <cellStyle name="Normal 11 5 2 11" xfId="23530"/>
    <cellStyle name="Normal 11 5 2 11 2" xfId="45850"/>
    <cellStyle name="Normal 11 5 2 12" xfId="27974"/>
    <cellStyle name="Normal 11 5 2 2" xfId="1581"/>
    <cellStyle name="Normal 11 5 2 2 10" xfId="23531"/>
    <cellStyle name="Normal 11 5 2 2 10 2" xfId="45851"/>
    <cellStyle name="Normal 11 5 2 2 11" xfId="28022"/>
    <cellStyle name="Normal 11 5 2 2 2" xfId="1801"/>
    <cellStyle name="Normal 11 5 2 2 2 10" xfId="28153"/>
    <cellStyle name="Normal 11 5 2 2 2 2" xfId="2199"/>
    <cellStyle name="Normal 11 5 2 2 2 2 2" xfId="5470"/>
    <cellStyle name="Normal 11 5 2 2 2 2 2 2" xfId="7295"/>
    <cellStyle name="Normal 11 5 2 2 2 2 2 2 2" xfId="10626"/>
    <cellStyle name="Normal 11 5 2 2 2 2 2 2 2 2" xfId="17330"/>
    <cellStyle name="Normal 11 5 2 2 2 2 2 2 2 2 2" xfId="40751"/>
    <cellStyle name="Normal 11 5 2 2 2 2 2 2 2 3" xfId="23047"/>
    <cellStyle name="Normal 11 5 2 2 2 2 2 2 2 3 2" xfId="45469"/>
    <cellStyle name="Normal 11 5 2 2 2 2 2 2 2 4" xfId="34119"/>
    <cellStyle name="Normal 11 5 2 2 2 2 2 2 3" xfId="14014"/>
    <cellStyle name="Normal 11 5 2 2 2 2 2 2 3 2" xfId="37435"/>
    <cellStyle name="Normal 11 5 2 2 2 2 2 2 4" xfId="20219"/>
    <cellStyle name="Normal 11 5 2 2 2 2 2 2 4 2" xfId="42754"/>
    <cellStyle name="Normal 11 5 2 2 2 2 2 2 5" xfId="30803"/>
    <cellStyle name="Normal 11 5 2 2 2 2 2 3" xfId="8968"/>
    <cellStyle name="Normal 11 5 2 2 2 2 2 3 2" xfId="15672"/>
    <cellStyle name="Normal 11 5 2 2 2 2 2 3 2 2" xfId="39093"/>
    <cellStyle name="Normal 11 5 2 2 2 2 2 3 3" xfId="21179"/>
    <cellStyle name="Normal 11 5 2 2 2 2 2 3 3 2" xfId="43630"/>
    <cellStyle name="Normal 11 5 2 2 2 2 2 3 4" xfId="32461"/>
    <cellStyle name="Normal 11 5 2 2 2 2 2 4" xfId="12356"/>
    <cellStyle name="Normal 11 5 2 2 2 2 2 4 2" xfId="22232"/>
    <cellStyle name="Normal 11 5 2 2 2 2 2 4 2 2" xfId="44654"/>
    <cellStyle name="Normal 11 5 2 2 2 2 2 4 3" xfId="35777"/>
    <cellStyle name="Normal 11 5 2 2 2 2 2 5" xfId="19380"/>
    <cellStyle name="Normal 11 5 2 2 2 2 2 5 2" xfId="41922"/>
    <cellStyle name="Normal 11 5 2 2 2 2 2 6" xfId="29145"/>
    <cellStyle name="Normal 11 5 2 2 2 2 3" xfId="6391"/>
    <cellStyle name="Normal 11 5 2 2 2 2 3 2" xfId="9725"/>
    <cellStyle name="Normal 11 5 2 2 2 2 3 2 2" xfId="16429"/>
    <cellStyle name="Normal 11 5 2 2 2 2 3 2 2 2" xfId="39850"/>
    <cellStyle name="Normal 11 5 2 2 2 2 3 2 3" xfId="22640"/>
    <cellStyle name="Normal 11 5 2 2 2 2 3 2 3 2" xfId="45062"/>
    <cellStyle name="Normal 11 5 2 2 2 2 3 2 4" xfId="33218"/>
    <cellStyle name="Normal 11 5 2 2 2 2 3 3" xfId="13113"/>
    <cellStyle name="Normal 11 5 2 2 2 2 3 3 2" xfId="36534"/>
    <cellStyle name="Normal 11 5 2 2 2 2 3 4" xfId="19803"/>
    <cellStyle name="Normal 11 5 2 2 2 2 3 4 2" xfId="42338"/>
    <cellStyle name="Normal 11 5 2 2 2 2 3 5" xfId="29902"/>
    <cellStyle name="Normal 11 5 2 2 2 2 4" xfId="8058"/>
    <cellStyle name="Normal 11 5 2 2 2 2 4 2" xfId="14771"/>
    <cellStyle name="Normal 11 5 2 2 2 2 4 2 2" xfId="38192"/>
    <cellStyle name="Normal 11 5 2 2 2 2 4 3" xfId="20720"/>
    <cellStyle name="Normal 11 5 2 2 2 2 4 3 2" xfId="43171"/>
    <cellStyle name="Normal 11 5 2 2 2 2 4 4" xfId="31560"/>
    <cellStyle name="Normal 11 5 2 2 2 2 5" xfId="11453"/>
    <cellStyle name="Normal 11 5 2 2 2 2 5 2" xfId="21798"/>
    <cellStyle name="Normal 11 5 2 2 2 2 5 2 2" xfId="44240"/>
    <cellStyle name="Normal 11 5 2 2 2 2 5 3" xfId="34876"/>
    <cellStyle name="Normal 11 5 2 2 2 2 6" xfId="18553"/>
    <cellStyle name="Normal 11 5 2 2 2 2 6 2" xfId="41497"/>
    <cellStyle name="Normal 11 5 2 2 2 2 7" xfId="25797"/>
    <cellStyle name="Normal 11 5 2 2 2 2 7 2" xfId="48042"/>
    <cellStyle name="Normal 11 5 2 2 2 2 8" xfId="28244"/>
    <cellStyle name="Normal 11 5 2 2 2 3" xfId="2798"/>
    <cellStyle name="Normal 11 5 2 2 2 3 2" xfId="5890"/>
    <cellStyle name="Normal 11 5 2 2 2 3 2 2" xfId="7672"/>
    <cellStyle name="Normal 11 5 2 2 2 3 2 2 2" xfId="11001"/>
    <cellStyle name="Normal 11 5 2 2 2 3 2 2 2 2" xfId="17705"/>
    <cellStyle name="Normal 11 5 2 2 2 3 2 2 2 2 2" xfId="41126"/>
    <cellStyle name="Normal 11 5 2 2 2 3 2 2 2 3" xfId="34494"/>
    <cellStyle name="Normal 11 5 2 2 2 3 2 2 3" xfId="14389"/>
    <cellStyle name="Normal 11 5 2 2 2 3 2 2 3 2" xfId="37810"/>
    <cellStyle name="Normal 11 5 2 2 2 3 2 2 4" xfId="22847"/>
    <cellStyle name="Normal 11 5 2 2 2 3 2 2 4 2" xfId="45269"/>
    <cellStyle name="Normal 11 5 2 2 2 3 2 2 5" xfId="31178"/>
    <cellStyle name="Normal 11 5 2 2 2 3 2 3" xfId="9343"/>
    <cellStyle name="Normal 11 5 2 2 2 3 2 3 2" xfId="16047"/>
    <cellStyle name="Normal 11 5 2 2 2 3 2 3 2 2" xfId="39468"/>
    <cellStyle name="Normal 11 5 2 2 2 3 2 3 3" xfId="32836"/>
    <cellStyle name="Normal 11 5 2 2 2 3 2 4" xfId="12731"/>
    <cellStyle name="Normal 11 5 2 2 2 3 2 4 2" xfId="36152"/>
    <cellStyle name="Normal 11 5 2 2 2 3 2 5" xfId="20011"/>
    <cellStyle name="Normal 11 5 2 2 2 3 2 5 2" xfId="42546"/>
    <cellStyle name="Normal 11 5 2 2 2 3 2 6" xfId="29520"/>
    <cellStyle name="Normal 11 5 2 2 2 3 3" xfId="6773"/>
    <cellStyle name="Normal 11 5 2 2 2 3 3 2" xfId="10105"/>
    <cellStyle name="Normal 11 5 2 2 2 3 3 2 2" xfId="16809"/>
    <cellStyle name="Normal 11 5 2 2 2 3 3 2 2 2" xfId="40230"/>
    <cellStyle name="Normal 11 5 2 2 2 3 3 2 3" xfId="33598"/>
    <cellStyle name="Normal 11 5 2 2 2 3 3 3" xfId="13493"/>
    <cellStyle name="Normal 11 5 2 2 2 3 3 3 2" xfId="36914"/>
    <cellStyle name="Normal 11 5 2 2 2 3 3 4" xfId="21178"/>
    <cellStyle name="Normal 11 5 2 2 2 3 3 4 2" xfId="43629"/>
    <cellStyle name="Normal 11 5 2 2 2 3 3 5" xfId="30282"/>
    <cellStyle name="Normal 11 5 2 2 2 3 4" xfId="8439"/>
    <cellStyle name="Normal 11 5 2 2 2 3 4 2" xfId="15151"/>
    <cellStyle name="Normal 11 5 2 2 2 3 4 2 2" xfId="38572"/>
    <cellStyle name="Normal 11 5 2 2 2 3 4 3" xfId="22019"/>
    <cellStyle name="Normal 11 5 2 2 2 3 4 3 2" xfId="44447"/>
    <cellStyle name="Normal 11 5 2 2 2 3 4 4" xfId="31940"/>
    <cellStyle name="Normal 11 5 2 2 2 3 5" xfId="11833"/>
    <cellStyle name="Normal 11 5 2 2 2 3 5 2" xfId="35256"/>
    <cellStyle name="Normal 11 5 2 2 2 3 6" xfId="19157"/>
    <cellStyle name="Normal 11 5 2 2 2 3 6 2" xfId="41714"/>
    <cellStyle name="Normal 11 5 2 2 2 3 7" xfId="28624"/>
    <cellStyle name="Normal 11 5 2 2 2 4" xfId="3834"/>
    <cellStyle name="Normal 11 5 2 2 2 4 2" xfId="6946"/>
    <cellStyle name="Normal 11 5 2 2 2 4 2 2" xfId="10278"/>
    <cellStyle name="Normal 11 5 2 2 2 4 2 2 2" xfId="16982"/>
    <cellStyle name="Normal 11 5 2 2 2 4 2 2 2 2" xfId="40403"/>
    <cellStyle name="Normal 11 5 2 2 2 4 2 2 3" xfId="33771"/>
    <cellStyle name="Normal 11 5 2 2 2 4 2 3" xfId="13666"/>
    <cellStyle name="Normal 11 5 2 2 2 4 2 3 2" xfId="37087"/>
    <cellStyle name="Normal 11 5 2 2 2 4 2 4" xfId="22440"/>
    <cellStyle name="Normal 11 5 2 2 2 4 2 4 2" xfId="44862"/>
    <cellStyle name="Normal 11 5 2 2 2 4 2 5" xfId="30455"/>
    <cellStyle name="Normal 11 5 2 2 2 4 3" xfId="8613"/>
    <cellStyle name="Normal 11 5 2 2 2 4 3 2" xfId="15324"/>
    <cellStyle name="Normal 11 5 2 2 2 4 3 2 2" xfId="38745"/>
    <cellStyle name="Normal 11 5 2 2 2 4 3 3" xfId="32113"/>
    <cellStyle name="Normal 11 5 2 2 2 4 4" xfId="12006"/>
    <cellStyle name="Normal 11 5 2 2 2 4 4 2" xfId="35429"/>
    <cellStyle name="Normal 11 5 2 2 2 4 5" xfId="19593"/>
    <cellStyle name="Normal 11 5 2 2 2 4 5 2" xfId="42130"/>
    <cellStyle name="Normal 11 5 2 2 2 4 6" xfId="28797"/>
    <cellStyle name="Normal 11 5 2 2 2 5" xfId="6300"/>
    <cellStyle name="Normal 11 5 2 2 2 5 2" xfId="9634"/>
    <cellStyle name="Normal 11 5 2 2 2 5 2 2" xfId="16338"/>
    <cellStyle name="Normal 11 5 2 2 2 5 2 2 2" xfId="39759"/>
    <cellStyle name="Normal 11 5 2 2 2 5 2 3" xfId="33127"/>
    <cellStyle name="Normal 11 5 2 2 2 5 3" xfId="13022"/>
    <cellStyle name="Normal 11 5 2 2 2 5 3 2" xfId="36443"/>
    <cellStyle name="Normal 11 5 2 2 2 5 4" xfId="20719"/>
    <cellStyle name="Normal 11 5 2 2 2 5 4 2" xfId="43170"/>
    <cellStyle name="Normal 11 5 2 2 2 5 5" xfId="29811"/>
    <cellStyle name="Normal 11 5 2 2 2 6" xfId="7966"/>
    <cellStyle name="Normal 11 5 2 2 2 6 2" xfId="14680"/>
    <cellStyle name="Normal 11 5 2 2 2 6 2 2" xfId="38101"/>
    <cellStyle name="Normal 11 5 2 2 2 6 3" xfId="21589"/>
    <cellStyle name="Normal 11 5 2 2 2 6 3 2" xfId="44038"/>
    <cellStyle name="Normal 11 5 2 2 2 6 4" xfId="31469"/>
    <cellStyle name="Normal 11 5 2 2 2 7" xfId="11362"/>
    <cellStyle name="Normal 11 5 2 2 2 7 2" xfId="34785"/>
    <cellStyle name="Normal 11 5 2 2 2 8" xfId="17953"/>
    <cellStyle name="Normal 11 5 2 2 2 8 2" xfId="41261"/>
    <cellStyle name="Normal 11 5 2 2 2 9" xfId="23532"/>
    <cellStyle name="Normal 11 5 2 2 2 9 2" xfId="45852"/>
    <cellStyle name="Normal 11 5 2 2 3" xfId="2198"/>
    <cellStyle name="Normal 11 5 2 2 3 2" xfId="5469"/>
    <cellStyle name="Normal 11 5 2 2 3 2 2" xfId="7294"/>
    <cellStyle name="Normal 11 5 2 2 3 2 2 2" xfId="10625"/>
    <cellStyle name="Normal 11 5 2 2 3 2 2 2 2" xfId="17329"/>
    <cellStyle name="Normal 11 5 2 2 3 2 2 2 2 2" xfId="40750"/>
    <cellStyle name="Normal 11 5 2 2 3 2 2 2 3" xfId="23046"/>
    <cellStyle name="Normal 11 5 2 2 3 2 2 2 3 2" xfId="45468"/>
    <cellStyle name="Normal 11 5 2 2 3 2 2 2 4" xfId="34118"/>
    <cellStyle name="Normal 11 5 2 2 3 2 2 3" xfId="14013"/>
    <cellStyle name="Normal 11 5 2 2 3 2 2 3 2" xfId="37434"/>
    <cellStyle name="Normal 11 5 2 2 3 2 2 4" xfId="20218"/>
    <cellStyle name="Normal 11 5 2 2 3 2 2 4 2" xfId="42753"/>
    <cellStyle name="Normal 11 5 2 2 3 2 2 5" xfId="30802"/>
    <cellStyle name="Normal 11 5 2 2 3 2 3" xfId="8967"/>
    <cellStyle name="Normal 11 5 2 2 3 2 3 2" xfId="15671"/>
    <cellStyle name="Normal 11 5 2 2 3 2 3 2 2" xfId="39092"/>
    <cellStyle name="Normal 11 5 2 2 3 2 3 3" xfId="21180"/>
    <cellStyle name="Normal 11 5 2 2 3 2 3 3 2" xfId="43631"/>
    <cellStyle name="Normal 11 5 2 2 3 2 3 4" xfId="32460"/>
    <cellStyle name="Normal 11 5 2 2 3 2 4" xfId="12355"/>
    <cellStyle name="Normal 11 5 2 2 3 2 4 2" xfId="22231"/>
    <cellStyle name="Normal 11 5 2 2 3 2 4 2 2" xfId="44653"/>
    <cellStyle name="Normal 11 5 2 2 3 2 4 3" xfId="35776"/>
    <cellStyle name="Normal 11 5 2 2 3 2 5" xfId="19379"/>
    <cellStyle name="Normal 11 5 2 2 3 2 5 2" xfId="41921"/>
    <cellStyle name="Normal 11 5 2 2 3 2 6" xfId="29144"/>
    <cellStyle name="Normal 11 5 2 2 3 3" xfId="6390"/>
    <cellStyle name="Normal 11 5 2 2 3 3 2" xfId="9724"/>
    <cellStyle name="Normal 11 5 2 2 3 3 2 2" xfId="16428"/>
    <cellStyle name="Normal 11 5 2 2 3 3 2 2 2" xfId="39849"/>
    <cellStyle name="Normal 11 5 2 2 3 3 2 3" xfId="22639"/>
    <cellStyle name="Normal 11 5 2 2 3 3 2 3 2" xfId="45061"/>
    <cellStyle name="Normal 11 5 2 2 3 3 2 4" xfId="33217"/>
    <cellStyle name="Normal 11 5 2 2 3 3 3" xfId="13112"/>
    <cellStyle name="Normal 11 5 2 2 3 3 3 2" xfId="36533"/>
    <cellStyle name="Normal 11 5 2 2 3 3 4" xfId="19802"/>
    <cellStyle name="Normal 11 5 2 2 3 3 4 2" xfId="42337"/>
    <cellStyle name="Normal 11 5 2 2 3 3 5" xfId="29901"/>
    <cellStyle name="Normal 11 5 2 2 3 4" xfId="8057"/>
    <cellStyle name="Normal 11 5 2 2 3 4 2" xfId="14770"/>
    <cellStyle name="Normal 11 5 2 2 3 4 2 2" xfId="38191"/>
    <cellStyle name="Normal 11 5 2 2 3 4 3" xfId="20721"/>
    <cellStyle name="Normal 11 5 2 2 3 4 3 2" xfId="43172"/>
    <cellStyle name="Normal 11 5 2 2 3 4 4" xfId="31559"/>
    <cellStyle name="Normal 11 5 2 2 3 5" xfId="11452"/>
    <cellStyle name="Normal 11 5 2 2 3 5 2" xfId="21797"/>
    <cellStyle name="Normal 11 5 2 2 3 5 2 2" xfId="44239"/>
    <cellStyle name="Normal 11 5 2 2 3 5 3" xfId="34875"/>
    <cellStyle name="Normal 11 5 2 2 3 6" xfId="18552"/>
    <cellStyle name="Normal 11 5 2 2 3 6 2" xfId="41496"/>
    <cellStyle name="Normal 11 5 2 2 3 7" xfId="25796"/>
    <cellStyle name="Normal 11 5 2 2 3 7 2" xfId="48041"/>
    <cellStyle name="Normal 11 5 2 2 3 8" xfId="28243"/>
    <cellStyle name="Normal 11 5 2 2 4" xfId="2666"/>
    <cellStyle name="Normal 11 5 2 2 4 2" xfId="5759"/>
    <cellStyle name="Normal 11 5 2 2 4 2 2" xfId="7541"/>
    <cellStyle name="Normal 11 5 2 2 4 2 2 2" xfId="10870"/>
    <cellStyle name="Normal 11 5 2 2 4 2 2 2 2" xfId="17574"/>
    <cellStyle name="Normal 11 5 2 2 4 2 2 2 2 2" xfId="40995"/>
    <cellStyle name="Normal 11 5 2 2 4 2 2 2 3" xfId="34363"/>
    <cellStyle name="Normal 11 5 2 2 4 2 2 3" xfId="14258"/>
    <cellStyle name="Normal 11 5 2 2 4 2 2 3 2" xfId="37679"/>
    <cellStyle name="Normal 11 5 2 2 4 2 2 4" xfId="22846"/>
    <cellStyle name="Normal 11 5 2 2 4 2 2 4 2" xfId="45268"/>
    <cellStyle name="Normal 11 5 2 2 4 2 2 5" xfId="31047"/>
    <cellStyle name="Normal 11 5 2 2 4 2 3" xfId="9212"/>
    <cellStyle name="Normal 11 5 2 2 4 2 3 2" xfId="15916"/>
    <cellStyle name="Normal 11 5 2 2 4 2 3 2 2" xfId="39337"/>
    <cellStyle name="Normal 11 5 2 2 4 2 3 3" xfId="32705"/>
    <cellStyle name="Normal 11 5 2 2 4 2 4" xfId="12600"/>
    <cellStyle name="Normal 11 5 2 2 4 2 4 2" xfId="36021"/>
    <cellStyle name="Normal 11 5 2 2 4 2 5" xfId="20010"/>
    <cellStyle name="Normal 11 5 2 2 4 2 5 2" xfId="42545"/>
    <cellStyle name="Normal 11 5 2 2 4 2 6" xfId="29389"/>
    <cellStyle name="Normal 11 5 2 2 4 3" xfId="6642"/>
    <cellStyle name="Normal 11 5 2 2 4 3 2" xfId="9974"/>
    <cellStyle name="Normal 11 5 2 2 4 3 2 2" xfId="16678"/>
    <cellStyle name="Normal 11 5 2 2 4 3 2 2 2" xfId="40099"/>
    <cellStyle name="Normal 11 5 2 2 4 3 2 3" xfId="33467"/>
    <cellStyle name="Normal 11 5 2 2 4 3 3" xfId="13362"/>
    <cellStyle name="Normal 11 5 2 2 4 3 3 2" xfId="36783"/>
    <cellStyle name="Normal 11 5 2 2 4 3 4" xfId="21177"/>
    <cellStyle name="Normal 11 5 2 2 4 3 4 2" xfId="43628"/>
    <cellStyle name="Normal 11 5 2 2 4 3 5" xfId="30151"/>
    <cellStyle name="Normal 11 5 2 2 4 4" xfId="8308"/>
    <cellStyle name="Normal 11 5 2 2 4 4 2" xfId="15020"/>
    <cellStyle name="Normal 11 5 2 2 4 4 2 2" xfId="38441"/>
    <cellStyle name="Normal 11 5 2 2 4 4 3" xfId="22018"/>
    <cellStyle name="Normal 11 5 2 2 4 4 3 2" xfId="44446"/>
    <cellStyle name="Normal 11 5 2 2 4 4 4" xfId="31809"/>
    <cellStyle name="Normal 11 5 2 2 4 5" xfId="11702"/>
    <cellStyle name="Normal 11 5 2 2 4 5 2" xfId="35125"/>
    <cellStyle name="Normal 11 5 2 2 4 6" xfId="19156"/>
    <cellStyle name="Normal 11 5 2 2 4 6 2" xfId="41713"/>
    <cellStyle name="Normal 11 5 2 2 4 7" xfId="28493"/>
    <cellStyle name="Normal 11 5 2 2 5" xfId="3833"/>
    <cellStyle name="Normal 11 5 2 2 5 2" xfId="6945"/>
    <cellStyle name="Normal 11 5 2 2 5 2 2" xfId="10277"/>
    <cellStyle name="Normal 11 5 2 2 5 2 2 2" xfId="16981"/>
    <cellStyle name="Normal 11 5 2 2 5 2 2 2 2" xfId="40402"/>
    <cellStyle name="Normal 11 5 2 2 5 2 2 3" xfId="33770"/>
    <cellStyle name="Normal 11 5 2 2 5 2 3" xfId="13665"/>
    <cellStyle name="Normal 11 5 2 2 5 2 3 2" xfId="37086"/>
    <cellStyle name="Normal 11 5 2 2 5 2 4" xfId="22439"/>
    <cellStyle name="Normal 11 5 2 2 5 2 4 2" xfId="44861"/>
    <cellStyle name="Normal 11 5 2 2 5 2 5" xfId="30454"/>
    <cellStyle name="Normal 11 5 2 2 5 3" xfId="8612"/>
    <cellStyle name="Normal 11 5 2 2 5 3 2" xfId="15323"/>
    <cellStyle name="Normal 11 5 2 2 5 3 2 2" xfId="38744"/>
    <cellStyle name="Normal 11 5 2 2 5 3 3" xfId="32112"/>
    <cellStyle name="Normal 11 5 2 2 5 4" xfId="12005"/>
    <cellStyle name="Normal 11 5 2 2 5 4 2" xfId="35428"/>
    <cellStyle name="Normal 11 5 2 2 5 5" xfId="19592"/>
    <cellStyle name="Normal 11 5 2 2 5 5 2" xfId="42129"/>
    <cellStyle name="Normal 11 5 2 2 5 6" xfId="28796"/>
    <cellStyle name="Normal 11 5 2 2 6" xfId="6169"/>
    <cellStyle name="Normal 11 5 2 2 6 2" xfId="9503"/>
    <cellStyle name="Normal 11 5 2 2 6 2 2" xfId="16207"/>
    <cellStyle name="Normal 11 5 2 2 6 2 2 2" xfId="39628"/>
    <cellStyle name="Normal 11 5 2 2 6 2 3" xfId="32996"/>
    <cellStyle name="Normal 11 5 2 2 6 3" xfId="12891"/>
    <cellStyle name="Normal 11 5 2 2 6 3 2" xfId="36312"/>
    <cellStyle name="Normal 11 5 2 2 6 4" xfId="20718"/>
    <cellStyle name="Normal 11 5 2 2 6 4 2" xfId="43169"/>
    <cellStyle name="Normal 11 5 2 2 6 5" xfId="29680"/>
    <cellStyle name="Normal 11 5 2 2 7" xfId="7835"/>
    <cellStyle name="Normal 11 5 2 2 7 2" xfId="14549"/>
    <cellStyle name="Normal 11 5 2 2 7 2 2" xfId="37970"/>
    <cellStyle name="Normal 11 5 2 2 7 3" xfId="21588"/>
    <cellStyle name="Normal 11 5 2 2 7 3 2" xfId="44037"/>
    <cellStyle name="Normal 11 5 2 2 7 4" xfId="31338"/>
    <cellStyle name="Normal 11 5 2 2 8" xfId="11231"/>
    <cellStyle name="Normal 11 5 2 2 8 2" xfId="34654"/>
    <cellStyle name="Normal 11 5 2 2 9" xfId="17952"/>
    <cellStyle name="Normal 11 5 2 2 9 2" xfId="41260"/>
    <cellStyle name="Normal 11 5 2 3" xfId="1753"/>
    <cellStyle name="Normal 11 5 2 3 10" xfId="28105"/>
    <cellStyle name="Normal 11 5 2 3 2" xfId="2200"/>
    <cellStyle name="Normal 11 5 2 3 2 2" xfId="5471"/>
    <cellStyle name="Normal 11 5 2 3 2 2 2" xfId="7296"/>
    <cellStyle name="Normal 11 5 2 3 2 2 2 2" xfId="10627"/>
    <cellStyle name="Normal 11 5 2 3 2 2 2 2 2" xfId="17331"/>
    <cellStyle name="Normal 11 5 2 3 2 2 2 2 2 2" xfId="40752"/>
    <cellStyle name="Normal 11 5 2 3 2 2 2 2 3" xfId="23048"/>
    <cellStyle name="Normal 11 5 2 3 2 2 2 2 3 2" xfId="45470"/>
    <cellStyle name="Normal 11 5 2 3 2 2 2 2 4" xfId="34120"/>
    <cellStyle name="Normal 11 5 2 3 2 2 2 3" xfId="14015"/>
    <cellStyle name="Normal 11 5 2 3 2 2 2 3 2" xfId="37436"/>
    <cellStyle name="Normal 11 5 2 3 2 2 2 4" xfId="20220"/>
    <cellStyle name="Normal 11 5 2 3 2 2 2 4 2" xfId="42755"/>
    <cellStyle name="Normal 11 5 2 3 2 2 2 5" xfId="30804"/>
    <cellStyle name="Normal 11 5 2 3 2 2 3" xfId="8969"/>
    <cellStyle name="Normal 11 5 2 3 2 2 3 2" xfId="15673"/>
    <cellStyle name="Normal 11 5 2 3 2 2 3 2 2" xfId="39094"/>
    <cellStyle name="Normal 11 5 2 3 2 2 3 3" xfId="21182"/>
    <cellStyle name="Normal 11 5 2 3 2 2 3 3 2" xfId="43633"/>
    <cellStyle name="Normal 11 5 2 3 2 2 3 4" xfId="32462"/>
    <cellStyle name="Normal 11 5 2 3 2 2 4" xfId="12357"/>
    <cellStyle name="Normal 11 5 2 3 2 2 4 2" xfId="22233"/>
    <cellStyle name="Normal 11 5 2 3 2 2 4 2 2" xfId="44655"/>
    <cellStyle name="Normal 11 5 2 3 2 2 4 3" xfId="35778"/>
    <cellStyle name="Normal 11 5 2 3 2 2 5" xfId="19381"/>
    <cellStyle name="Normal 11 5 2 3 2 2 5 2" xfId="41923"/>
    <cellStyle name="Normal 11 5 2 3 2 2 6" xfId="29146"/>
    <cellStyle name="Normal 11 5 2 3 2 3" xfId="6392"/>
    <cellStyle name="Normal 11 5 2 3 2 3 2" xfId="9726"/>
    <cellStyle name="Normal 11 5 2 3 2 3 2 2" xfId="16430"/>
    <cellStyle name="Normal 11 5 2 3 2 3 2 2 2" xfId="39851"/>
    <cellStyle name="Normal 11 5 2 3 2 3 2 3" xfId="22641"/>
    <cellStyle name="Normal 11 5 2 3 2 3 2 3 2" xfId="45063"/>
    <cellStyle name="Normal 11 5 2 3 2 3 2 4" xfId="33219"/>
    <cellStyle name="Normal 11 5 2 3 2 3 3" xfId="13114"/>
    <cellStyle name="Normal 11 5 2 3 2 3 3 2" xfId="36535"/>
    <cellStyle name="Normal 11 5 2 3 2 3 4" xfId="19804"/>
    <cellStyle name="Normal 11 5 2 3 2 3 4 2" xfId="42339"/>
    <cellStyle name="Normal 11 5 2 3 2 3 5" xfId="29903"/>
    <cellStyle name="Normal 11 5 2 3 2 4" xfId="8059"/>
    <cellStyle name="Normal 11 5 2 3 2 4 2" xfId="14772"/>
    <cellStyle name="Normal 11 5 2 3 2 4 2 2" xfId="38193"/>
    <cellStyle name="Normal 11 5 2 3 2 4 3" xfId="20723"/>
    <cellStyle name="Normal 11 5 2 3 2 4 3 2" xfId="43174"/>
    <cellStyle name="Normal 11 5 2 3 2 4 4" xfId="31561"/>
    <cellStyle name="Normal 11 5 2 3 2 5" xfId="11454"/>
    <cellStyle name="Normal 11 5 2 3 2 5 2" xfId="21799"/>
    <cellStyle name="Normal 11 5 2 3 2 5 2 2" xfId="44241"/>
    <cellStyle name="Normal 11 5 2 3 2 5 3" xfId="34877"/>
    <cellStyle name="Normal 11 5 2 3 2 6" xfId="18554"/>
    <cellStyle name="Normal 11 5 2 3 2 6 2" xfId="41498"/>
    <cellStyle name="Normal 11 5 2 3 2 7" xfId="25798"/>
    <cellStyle name="Normal 11 5 2 3 2 7 2" xfId="48043"/>
    <cellStyle name="Normal 11 5 2 3 2 8" xfId="28245"/>
    <cellStyle name="Normal 11 5 2 3 3" xfId="2750"/>
    <cellStyle name="Normal 11 5 2 3 3 2" xfId="5842"/>
    <cellStyle name="Normal 11 5 2 3 3 2 2" xfId="7624"/>
    <cellStyle name="Normal 11 5 2 3 3 2 2 2" xfId="10953"/>
    <cellStyle name="Normal 11 5 2 3 3 2 2 2 2" xfId="17657"/>
    <cellStyle name="Normal 11 5 2 3 3 2 2 2 2 2" xfId="41078"/>
    <cellStyle name="Normal 11 5 2 3 3 2 2 2 3" xfId="34446"/>
    <cellStyle name="Normal 11 5 2 3 3 2 2 3" xfId="14341"/>
    <cellStyle name="Normal 11 5 2 3 3 2 2 3 2" xfId="37762"/>
    <cellStyle name="Normal 11 5 2 3 3 2 2 4" xfId="22848"/>
    <cellStyle name="Normal 11 5 2 3 3 2 2 4 2" xfId="45270"/>
    <cellStyle name="Normal 11 5 2 3 3 2 2 5" xfId="31130"/>
    <cellStyle name="Normal 11 5 2 3 3 2 3" xfId="9295"/>
    <cellStyle name="Normal 11 5 2 3 3 2 3 2" xfId="15999"/>
    <cellStyle name="Normal 11 5 2 3 3 2 3 2 2" xfId="39420"/>
    <cellStyle name="Normal 11 5 2 3 3 2 3 3" xfId="32788"/>
    <cellStyle name="Normal 11 5 2 3 3 2 4" xfId="12683"/>
    <cellStyle name="Normal 11 5 2 3 3 2 4 2" xfId="36104"/>
    <cellStyle name="Normal 11 5 2 3 3 2 5" xfId="20012"/>
    <cellStyle name="Normal 11 5 2 3 3 2 5 2" xfId="42547"/>
    <cellStyle name="Normal 11 5 2 3 3 2 6" xfId="29472"/>
    <cellStyle name="Normal 11 5 2 3 3 3" xfId="6725"/>
    <cellStyle name="Normal 11 5 2 3 3 3 2" xfId="10057"/>
    <cellStyle name="Normal 11 5 2 3 3 3 2 2" xfId="16761"/>
    <cellStyle name="Normal 11 5 2 3 3 3 2 2 2" xfId="40182"/>
    <cellStyle name="Normal 11 5 2 3 3 3 2 3" xfId="33550"/>
    <cellStyle name="Normal 11 5 2 3 3 3 3" xfId="13445"/>
    <cellStyle name="Normal 11 5 2 3 3 3 3 2" xfId="36866"/>
    <cellStyle name="Normal 11 5 2 3 3 3 4" xfId="21181"/>
    <cellStyle name="Normal 11 5 2 3 3 3 4 2" xfId="43632"/>
    <cellStyle name="Normal 11 5 2 3 3 3 5" xfId="30234"/>
    <cellStyle name="Normal 11 5 2 3 3 4" xfId="8391"/>
    <cellStyle name="Normal 11 5 2 3 3 4 2" xfId="15103"/>
    <cellStyle name="Normal 11 5 2 3 3 4 2 2" xfId="38524"/>
    <cellStyle name="Normal 11 5 2 3 3 4 3" xfId="22020"/>
    <cellStyle name="Normal 11 5 2 3 3 4 3 2" xfId="44448"/>
    <cellStyle name="Normal 11 5 2 3 3 4 4" xfId="31892"/>
    <cellStyle name="Normal 11 5 2 3 3 5" xfId="11785"/>
    <cellStyle name="Normal 11 5 2 3 3 5 2" xfId="35208"/>
    <cellStyle name="Normal 11 5 2 3 3 6" xfId="19158"/>
    <cellStyle name="Normal 11 5 2 3 3 6 2" xfId="41715"/>
    <cellStyle name="Normal 11 5 2 3 3 7" xfId="28576"/>
    <cellStyle name="Normal 11 5 2 3 4" xfId="3835"/>
    <cellStyle name="Normal 11 5 2 3 4 2" xfId="6947"/>
    <cellStyle name="Normal 11 5 2 3 4 2 2" xfId="10279"/>
    <cellStyle name="Normal 11 5 2 3 4 2 2 2" xfId="16983"/>
    <cellStyle name="Normal 11 5 2 3 4 2 2 2 2" xfId="40404"/>
    <cellStyle name="Normal 11 5 2 3 4 2 2 3" xfId="33772"/>
    <cellStyle name="Normal 11 5 2 3 4 2 3" xfId="13667"/>
    <cellStyle name="Normal 11 5 2 3 4 2 3 2" xfId="37088"/>
    <cellStyle name="Normal 11 5 2 3 4 2 4" xfId="22441"/>
    <cellStyle name="Normal 11 5 2 3 4 2 4 2" xfId="44863"/>
    <cellStyle name="Normal 11 5 2 3 4 2 5" xfId="30456"/>
    <cellStyle name="Normal 11 5 2 3 4 3" xfId="8614"/>
    <cellStyle name="Normal 11 5 2 3 4 3 2" xfId="15325"/>
    <cellStyle name="Normal 11 5 2 3 4 3 2 2" xfId="38746"/>
    <cellStyle name="Normal 11 5 2 3 4 3 3" xfId="32114"/>
    <cellStyle name="Normal 11 5 2 3 4 4" xfId="12007"/>
    <cellStyle name="Normal 11 5 2 3 4 4 2" xfId="35430"/>
    <cellStyle name="Normal 11 5 2 3 4 5" xfId="19594"/>
    <cellStyle name="Normal 11 5 2 3 4 5 2" xfId="42131"/>
    <cellStyle name="Normal 11 5 2 3 4 6" xfId="28798"/>
    <cellStyle name="Normal 11 5 2 3 5" xfId="6252"/>
    <cellStyle name="Normal 11 5 2 3 5 2" xfId="9586"/>
    <cellStyle name="Normal 11 5 2 3 5 2 2" xfId="16290"/>
    <cellStyle name="Normal 11 5 2 3 5 2 2 2" xfId="39711"/>
    <cellStyle name="Normal 11 5 2 3 5 2 3" xfId="33079"/>
    <cellStyle name="Normal 11 5 2 3 5 3" xfId="12974"/>
    <cellStyle name="Normal 11 5 2 3 5 3 2" xfId="36395"/>
    <cellStyle name="Normal 11 5 2 3 5 4" xfId="20722"/>
    <cellStyle name="Normal 11 5 2 3 5 4 2" xfId="43173"/>
    <cellStyle name="Normal 11 5 2 3 5 5" xfId="29763"/>
    <cellStyle name="Normal 11 5 2 3 6" xfId="7918"/>
    <cellStyle name="Normal 11 5 2 3 6 2" xfId="14632"/>
    <cellStyle name="Normal 11 5 2 3 6 2 2" xfId="38053"/>
    <cellStyle name="Normal 11 5 2 3 6 3" xfId="21590"/>
    <cellStyle name="Normal 11 5 2 3 6 3 2" xfId="44039"/>
    <cellStyle name="Normal 11 5 2 3 6 4" xfId="31421"/>
    <cellStyle name="Normal 11 5 2 3 7" xfId="11314"/>
    <cellStyle name="Normal 11 5 2 3 7 2" xfId="34737"/>
    <cellStyle name="Normal 11 5 2 3 8" xfId="17954"/>
    <cellStyle name="Normal 11 5 2 3 8 2" xfId="41262"/>
    <cellStyle name="Normal 11 5 2 3 9" xfId="23533"/>
    <cellStyle name="Normal 11 5 2 3 9 2" xfId="45853"/>
    <cellStyle name="Normal 11 5 2 4" xfId="2197"/>
    <cellStyle name="Normal 11 5 2 4 2" xfId="5468"/>
    <cellStyle name="Normal 11 5 2 4 2 2" xfId="7293"/>
    <cellStyle name="Normal 11 5 2 4 2 2 2" xfId="10624"/>
    <cellStyle name="Normal 11 5 2 4 2 2 2 2" xfId="17328"/>
    <cellStyle name="Normal 11 5 2 4 2 2 2 2 2" xfId="40749"/>
    <cellStyle name="Normal 11 5 2 4 2 2 2 3" xfId="23045"/>
    <cellStyle name="Normal 11 5 2 4 2 2 2 3 2" xfId="45467"/>
    <cellStyle name="Normal 11 5 2 4 2 2 2 4" xfId="34117"/>
    <cellStyle name="Normal 11 5 2 4 2 2 3" xfId="14012"/>
    <cellStyle name="Normal 11 5 2 4 2 2 3 2" xfId="37433"/>
    <cellStyle name="Normal 11 5 2 4 2 2 4" xfId="20217"/>
    <cellStyle name="Normal 11 5 2 4 2 2 4 2" xfId="42752"/>
    <cellStyle name="Normal 11 5 2 4 2 2 5" xfId="30801"/>
    <cellStyle name="Normal 11 5 2 4 2 3" xfId="8966"/>
    <cellStyle name="Normal 11 5 2 4 2 3 2" xfId="15670"/>
    <cellStyle name="Normal 11 5 2 4 2 3 2 2" xfId="39091"/>
    <cellStyle name="Normal 11 5 2 4 2 3 3" xfId="21183"/>
    <cellStyle name="Normal 11 5 2 4 2 3 3 2" xfId="43634"/>
    <cellStyle name="Normal 11 5 2 4 2 3 4" xfId="32459"/>
    <cellStyle name="Normal 11 5 2 4 2 4" xfId="12354"/>
    <cellStyle name="Normal 11 5 2 4 2 4 2" xfId="22230"/>
    <cellStyle name="Normal 11 5 2 4 2 4 2 2" xfId="44652"/>
    <cellStyle name="Normal 11 5 2 4 2 4 3" xfId="35775"/>
    <cellStyle name="Normal 11 5 2 4 2 5" xfId="19378"/>
    <cellStyle name="Normal 11 5 2 4 2 5 2" xfId="41920"/>
    <cellStyle name="Normal 11 5 2 4 2 6" xfId="25795"/>
    <cellStyle name="Normal 11 5 2 4 2 6 2" xfId="48040"/>
    <cellStyle name="Normal 11 5 2 4 2 7" xfId="29143"/>
    <cellStyle name="Normal 11 5 2 4 3" xfId="6389"/>
    <cellStyle name="Normal 11 5 2 4 3 2" xfId="9723"/>
    <cellStyle name="Normal 11 5 2 4 3 2 2" xfId="16427"/>
    <cellStyle name="Normal 11 5 2 4 3 2 2 2" xfId="39848"/>
    <cellStyle name="Normal 11 5 2 4 3 2 3" xfId="22638"/>
    <cellStyle name="Normal 11 5 2 4 3 2 3 2" xfId="45060"/>
    <cellStyle name="Normal 11 5 2 4 3 2 4" xfId="33216"/>
    <cellStyle name="Normal 11 5 2 4 3 3" xfId="13111"/>
    <cellStyle name="Normal 11 5 2 4 3 3 2" xfId="36532"/>
    <cellStyle name="Normal 11 5 2 4 3 4" xfId="19801"/>
    <cellStyle name="Normal 11 5 2 4 3 4 2" xfId="42336"/>
    <cellStyle name="Normal 11 5 2 4 3 5" xfId="29900"/>
    <cellStyle name="Normal 11 5 2 4 4" xfId="8056"/>
    <cellStyle name="Normal 11 5 2 4 4 2" xfId="14769"/>
    <cellStyle name="Normal 11 5 2 4 4 2 2" xfId="38190"/>
    <cellStyle name="Normal 11 5 2 4 4 3" xfId="20724"/>
    <cellStyle name="Normal 11 5 2 4 4 3 2" xfId="43175"/>
    <cellStyle name="Normal 11 5 2 4 4 4" xfId="31558"/>
    <cellStyle name="Normal 11 5 2 4 5" xfId="11451"/>
    <cellStyle name="Normal 11 5 2 4 5 2" xfId="21796"/>
    <cellStyle name="Normal 11 5 2 4 5 2 2" xfId="44238"/>
    <cellStyle name="Normal 11 5 2 4 5 3" xfId="34874"/>
    <cellStyle name="Normal 11 5 2 4 6" xfId="18551"/>
    <cellStyle name="Normal 11 5 2 4 6 2" xfId="41495"/>
    <cellStyle name="Normal 11 5 2 4 7" xfId="23438"/>
    <cellStyle name="Normal 11 5 2 4 7 2" xfId="45778"/>
    <cellStyle name="Normal 11 5 2 4 8" xfId="28242"/>
    <cellStyle name="Normal 11 5 2 5" xfId="2618"/>
    <cellStyle name="Normal 11 5 2 5 2" xfId="5711"/>
    <cellStyle name="Normal 11 5 2 5 2 2" xfId="7493"/>
    <cellStyle name="Normal 11 5 2 5 2 2 2" xfId="10822"/>
    <cellStyle name="Normal 11 5 2 5 2 2 2 2" xfId="17526"/>
    <cellStyle name="Normal 11 5 2 5 2 2 2 2 2" xfId="40947"/>
    <cellStyle name="Normal 11 5 2 5 2 2 2 3" xfId="34315"/>
    <cellStyle name="Normal 11 5 2 5 2 2 3" xfId="14210"/>
    <cellStyle name="Normal 11 5 2 5 2 2 3 2" xfId="37631"/>
    <cellStyle name="Normal 11 5 2 5 2 2 4" xfId="20580"/>
    <cellStyle name="Normal 11 5 2 5 2 2 4 2" xfId="43031"/>
    <cellStyle name="Normal 11 5 2 5 2 2 5" xfId="30999"/>
    <cellStyle name="Normal 11 5 2 5 2 3" xfId="9164"/>
    <cellStyle name="Normal 11 5 2 5 2 3 2" xfId="15868"/>
    <cellStyle name="Normal 11 5 2 5 2 3 2 2" xfId="39289"/>
    <cellStyle name="Normal 11 5 2 5 2 3 3" xfId="21498"/>
    <cellStyle name="Normal 11 5 2 5 2 3 3 2" xfId="43949"/>
    <cellStyle name="Normal 11 5 2 5 2 3 4" xfId="32657"/>
    <cellStyle name="Normal 11 5 2 5 2 4" xfId="12552"/>
    <cellStyle name="Normal 11 5 2 5 2 4 2" xfId="22845"/>
    <cellStyle name="Normal 11 5 2 5 2 4 2 2" xfId="45267"/>
    <cellStyle name="Normal 11 5 2 5 2 4 3" xfId="35973"/>
    <cellStyle name="Normal 11 5 2 5 2 5" xfId="20009"/>
    <cellStyle name="Normal 11 5 2 5 2 5 2" xfId="42544"/>
    <cellStyle name="Normal 11 5 2 5 2 6" xfId="27917"/>
    <cellStyle name="Normal 11 5 2 5 2 6 2" xfId="50162"/>
    <cellStyle name="Normal 11 5 2 5 2 7" xfId="29341"/>
    <cellStyle name="Normal 11 5 2 5 3" xfId="6594"/>
    <cellStyle name="Normal 11 5 2 5 3 2" xfId="9926"/>
    <cellStyle name="Normal 11 5 2 5 3 2 2" xfId="16630"/>
    <cellStyle name="Normal 11 5 2 5 3 2 2 2" xfId="40051"/>
    <cellStyle name="Normal 11 5 2 5 3 2 3" xfId="33419"/>
    <cellStyle name="Normal 11 5 2 5 3 3" xfId="13314"/>
    <cellStyle name="Normal 11 5 2 5 3 3 2" xfId="36735"/>
    <cellStyle name="Normal 11 5 2 5 3 4" xfId="20482"/>
    <cellStyle name="Normal 11 5 2 5 3 4 2" xfId="42935"/>
    <cellStyle name="Normal 11 5 2 5 3 5" xfId="30103"/>
    <cellStyle name="Normal 11 5 2 5 4" xfId="8260"/>
    <cellStyle name="Normal 11 5 2 5 4 2" xfId="14972"/>
    <cellStyle name="Normal 11 5 2 5 4 2 2" xfId="38393"/>
    <cellStyle name="Normal 11 5 2 5 4 3" xfId="21039"/>
    <cellStyle name="Normal 11 5 2 5 4 3 2" xfId="43490"/>
    <cellStyle name="Normal 11 5 2 5 4 4" xfId="31761"/>
    <cellStyle name="Normal 11 5 2 5 5" xfId="11654"/>
    <cellStyle name="Normal 11 5 2 5 5 2" xfId="22017"/>
    <cellStyle name="Normal 11 5 2 5 5 2 2" xfId="44445"/>
    <cellStyle name="Normal 11 5 2 5 5 3" xfId="35077"/>
    <cellStyle name="Normal 11 5 2 5 6" xfId="19155"/>
    <cellStyle name="Normal 11 5 2 5 6 2" xfId="41712"/>
    <cellStyle name="Normal 11 5 2 5 7" xfId="25612"/>
    <cellStyle name="Normal 11 5 2 5 7 2" xfId="47857"/>
    <cellStyle name="Normal 11 5 2 5 8" xfId="28445"/>
    <cellStyle name="Normal 11 5 2 6" xfId="3832"/>
    <cellStyle name="Normal 11 5 2 6 2" xfId="6944"/>
    <cellStyle name="Normal 11 5 2 6 2 2" xfId="10276"/>
    <cellStyle name="Normal 11 5 2 6 2 2 2" xfId="16980"/>
    <cellStyle name="Normal 11 5 2 6 2 2 2 2" xfId="40401"/>
    <cellStyle name="Normal 11 5 2 6 2 2 3" xfId="33769"/>
    <cellStyle name="Normal 11 5 2 6 2 3" xfId="13664"/>
    <cellStyle name="Normal 11 5 2 6 2 3 2" xfId="37085"/>
    <cellStyle name="Normal 11 5 2 6 2 4" xfId="20527"/>
    <cellStyle name="Normal 11 5 2 6 2 4 2" xfId="42980"/>
    <cellStyle name="Normal 11 5 2 6 2 5" xfId="30453"/>
    <cellStyle name="Normal 11 5 2 6 3" xfId="8611"/>
    <cellStyle name="Normal 11 5 2 6 3 2" xfId="15322"/>
    <cellStyle name="Normal 11 5 2 6 3 2 2" xfId="38743"/>
    <cellStyle name="Normal 11 5 2 6 3 3" xfId="21176"/>
    <cellStyle name="Normal 11 5 2 6 3 3 2" xfId="43627"/>
    <cellStyle name="Normal 11 5 2 6 3 4" xfId="32111"/>
    <cellStyle name="Normal 11 5 2 6 4" xfId="12004"/>
    <cellStyle name="Normal 11 5 2 6 4 2" xfId="22438"/>
    <cellStyle name="Normal 11 5 2 6 4 2 2" xfId="44860"/>
    <cellStyle name="Normal 11 5 2 6 4 3" xfId="35427"/>
    <cellStyle name="Normal 11 5 2 6 5" xfId="19591"/>
    <cellStyle name="Normal 11 5 2 6 5 2" xfId="42128"/>
    <cellStyle name="Normal 11 5 2 6 6" xfId="25649"/>
    <cellStyle name="Normal 11 5 2 6 6 2" xfId="47894"/>
    <cellStyle name="Normal 11 5 2 6 7" xfId="28795"/>
    <cellStyle name="Normal 11 5 2 7" xfId="6121"/>
    <cellStyle name="Normal 11 5 2 7 2" xfId="9455"/>
    <cellStyle name="Normal 11 5 2 7 2 2" xfId="16159"/>
    <cellStyle name="Normal 11 5 2 7 2 2 2" xfId="39580"/>
    <cellStyle name="Normal 11 5 2 7 2 3" xfId="32948"/>
    <cellStyle name="Normal 11 5 2 7 3" xfId="12843"/>
    <cellStyle name="Normal 11 5 2 7 3 2" xfId="36264"/>
    <cellStyle name="Normal 11 5 2 7 4" xfId="17848"/>
    <cellStyle name="Normal 11 5 2 7 4 2" xfId="41198"/>
    <cellStyle name="Normal 11 5 2 7 5" xfId="29632"/>
    <cellStyle name="Normal 11 5 2 8" xfId="7787"/>
    <cellStyle name="Normal 11 5 2 8 2" xfId="14501"/>
    <cellStyle name="Normal 11 5 2 8 2 2" xfId="37922"/>
    <cellStyle name="Normal 11 5 2 8 3" xfId="20717"/>
    <cellStyle name="Normal 11 5 2 8 3 2" xfId="43168"/>
    <cellStyle name="Normal 11 5 2 8 4" xfId="31290"/>
    <cellStyle name="Normal 11 5 2 9" xfId="11183"/>
    <cellStyle name="Normal 11 5 2 9 2" xfId="21587"/>
    <cellStyle name="Normal 11 5 2 9 2 2" xfId="44036"/>
    <cellStyle name="Normal 11 5 2 9 3" xfId="34606"/>
    <cellStyle name="Normal 11 5 3" xfId="1580"/>
    <cellStyle name="Normal 11 5 3 10" xfId="23534"/>
    <cellStyle name="Normal 11 5 3 10 2" xfId="45854"/>
    <cellStyle name="Normal 11 5 3 11" xfId="28021"/>
    <cellStyle name="Normal 11 5 3 2" xfId="1800"/>
    <cellStyle name="Normal 11 5 3 2 10" xfId="28152"/>
    <cellStyle name="Normal 11 5 3 2 2" xfId="2202"/>
    <cellStyle name="Normal 11 5 3 2 2 2" xfId="5473"/>
    <cellStyle name="Normal 11 5 3 2 2 2 2" xfId="7298"/>
    <cellStyle name="Normal 11 5 3 2 2 2 2 2" xfId="10629"/>
    <cellStyle name="Normal 11 5 3 2 2 2 2 2 2" xfId="17333"/>
    <cellStyle name="Normal 11 5 3 2 2 2 2 2 2 2" xfId="40754"/>
    <cellStyle name="Normal 11 5 3 2 2 2 2 2 3" xfId="23050"/>
    <cellStyle name="Normal 11 5 3 2 2 2 2 2 3 2" xfId="45472"/>
    <cellStyle name="Normal 11 5 3 2 2 2 2 2 4" xfId="34122"/>
    <cellStyle name="Normal 11 5 3 2 2 2 2 3" xfId="14017"/>
    <cellStyle name="Normal 11 5 3 2 2 2 2 3 2" xfId="37438"/>
    <cellStyle name="Normal 11 5 3 2 2 2 2 4" xfId="20222"/>
    <cellStyle name="Normal 11 5 3 2 2 2 2 4 2" xfId="42757"/>
    <cellStyle name="Normal 11 5 3 2 2 2 2 5" xfId="30806"/>
    <cellStyle name="Normal 11 5 3 2 2 2 3" xfId="8971"/>
    <cellStyle name="Normal 11 5 3 2 2 2 3 2" xfId="15675"/>
    <cellStyle name="Normal 11 5 3 2 2 2 3 2 2" xfId="39096"/>
    <cellStyle name="Normal 11 5 3 2 2 2 3 3" xfId="21186"/>
    <cellStyle name="Normal 11 5 3 2 2 2 3 3 2" xfId="43637"/>
    <cellStyle name="Normal 11 5 3 2 2 2 3 4" xfId="32464"/>
    <cellStyle name="Normal 11 5 3 2 2 2 4" xfId="12359"/>
    <cellStyle name="Normal 11 5 3 2 2 2 4 2" xfId="22235"/>
    <cellStyle name="Normal 11 5 3 2 2 2 4 2 2" xfId="44657"/>
    <cellStyle name="Normal 11 5 3 2 2 2 4 3" xfId="35780"/>
    <cellStyle name="Normal 11 5 3 2 2 2 5" xfId="19383"/>
    <cellStyle name="Normal 11 5 3 2 2 2 5 2" xfId="41925"/>
    <cellStyle name="Normal 11 5 3 2 2 2 6" xfId="29148"/>
    <cellStyle name="Normal 11 5 3 2 2 3" xfId="6394"/>
    <cellStyle name="Normal 11 5 3 2 2 3 2" xfId="9728"/>
    <cellStyle name="Normal 11 5 3 2 2 3 2 2" xfId="16432"/>
    <cellStyle name="Normal 11 5 3 2 2 3 2 2 2" xfId="39853"/>
    <cellStyle name="Normal 11 5 3 2 2 3 2 3" xfId="22643"/>
    <cellStyle name="Normal 11 5 3 2 2 3 2 3 2" xfId="45065"/>
    <cellStyle name="Normal 11 5 3 2 2 3 2 4" xfId="33221"/>
    <cellStyle name="Normal 11 5 3 2 2 3 3" xfId="13116"/>
    <cellStyle name="Normal 11 5 3 2 2 3 3 2" xfId="36537"/>
    <cellStyle name="Normal 11 5 3 2 2 3 4" xfId="19806"/>
    <cellStyle name="Normal 11 5 3 2 2 3 4 2" xfId="42341"/>
    <cellStyle name="Normal 11 5 3 2 2 3 5" xfId="29905"/>
    <cellStyle name="Normal 11 5 3 2 2 4" xfId="8061"/>
    <cellStyle name="Normal 11 5 3 2 2 4 2" xfId="14774"/>
    <cellStyle name="Normal 11 5 3 2 2 4 2 2" xfId="38195"/>
    <cellStyle name="Normal 11 5 3 2 2 4 3" xfId="20727"/>
    <cellStyle name="Normal 11 5 3 2 2 4 3 2" xfId="43178"/>
    <cellStyle name="Normal 11 5 3 2 2 4 4" xfId="31563"/>
    <cellStyle name="Normal 11 5 3 2 2 5" xfId="11456"/>
    <cellStyle name="Normal 11 5 3 2 2 5 2" xfId="21801"/>
    <cellStyle name="Normal 11 5 3 2 2 5 2 2" xfId="44243"/>
    <cellStyle name="Normal 11 5 3 2 2 5 3" xfId="34879"/>
    <cellStyle name="Normal 11 5 3 2 2 6" xfId="18556"/>
    <cellStyle name="Normal 11 5 3 2 2 6 2" xfId="41500"/>
    <cellStyle name="Normal 11 5 3 2 2 7" xfId="25800"/>
    <cellStyle name="Normal 11 5 3 2 2 7 2" xfId="48045"/>
    <cellStyle name="Normal 11 5 3 2 2 8" xfId="28247"/>
    <cellStyle name="Normal 11 5 3 2 3" xfId="2797"/>
    <cellStyle name="Normal 11 5 3 2 3 2" xfId="5889"/>
    <cellStyle name="Normal 11 5 3 2 3 2 2" xfId="7671"/>
    <cellStyle name="Normal 11 5 3 2 3 2 2 2" xfId="11000"/>
    <cellStyle name="Normal 11 5 3 2 3 2 2 2 2" xfId="17704"/>
    <cellStyle name="Normal 11 5 3 2 3 2 2 2 2 2" xfId="41125"/>
    <cellStyle name="Normal 11 5 3 2 3 2 2 2 3" xfId="34493"/>
    <cellStyle name="Normal 11 5 3 2 3 2 2 3" xfId="14388"/>
    <cellStyle name="Normal 11 5 3 2 3 2 2 3 2" xfId="37809"/>
    <cellStyle name="Normal 11 5 3 2 3 2 2 4" xfId="22850"/>
    <cellStyle name="Normal 11 5 3 2 3 2 2 4 2" xfId="45272"/>
    <cellStyle name="Normal 11 5 3 2 3 2 2 5" xfId="31177"/>
    <cellStyle name="Normal 11 5 3 2 3 2 3" xfId="9342"/>
    <cellStyle name="Normal 11 5 3 2 3 2 3 2" xfId="16046"/>
    <cellStyle name="Normal 11 5 3 2 3 2 3 2 2" xfId="39467"/>
    <cellStyle name="Normal 11 5 3 2 3 2 3 3" xfId="32835"/>
    <cellStyle name="Normal 11 5 3 2 3 2 4" xfId="12730"/>
    <cellStyle name="Normal 11 5 3 2 3 2 4 2" xfId="36151"/>
    <cellStyle name="Normal 11 5 3 2 3 2 5" xfId="20014"/>
    <cellStyle name="Normal 11 5 3 2 3 2 5 2" xfId="42549"/>
    <cellStyle name="Normal 11 5 3 2 3 2 6" xfId="29519"/>
    <cellStyle name="Normal 11 5 3 2 3 3" xfId="6772"/>
    <cellStyle name="Normal 11 5 3 2 3 3 2" xfId="10104"/>
    <cellStyle name="Normal 11 5 3 2 3 3 2 2" xfId="16808"/>
    <cellStyle name="Normal 11 5 3 2 3 3 2 2 2" xfId="40229"/>
    <cellStyle name="Normal 11 5 3 2 3 3 2 3" xfId="33597"/>
    <cellStyle name="Normal 11 5 3 2 3 3 3" xfId="13492"/>
    <cellStyle name="Normal 11 5 3 2 3 3 3 2" xfId="36913"/>
    <cellStyle name="Normal 11 5 3 2 3 3 4" xfId="21185"/>
    <cellStyle name="Normal 11 5 3 2 3 3 4 2" xfId="43636"/>
    <cellStyle name="Normal 11 5 3 2 3 3 5" xfId="30281"/>
    <cellStyle name="Normal 11 5 3 2 3 4" xfId="8438"/>
    <cellStyle name="Normal 11 5 3 2 3 4 2" xfId="15150"/>
    <cellStyle name="Normal 11 5 3 2 3 4 2 2" xfId="38571"/>
    <cellStyle name="Normal 11 5 3 2 3 4 3" xfId="22022"/>
    <cellStyle name="Normal 11 5 3 2 3 4 3 2" xfId="44450"/>
    <cellStyle name="Normal 11 5 3 2 3 4 4" xfId="31939"/>
    <cellStyle name="Normal 11 5 3 2 3 5" xfId="11832"/>
    <cellStyle name="Normal 11 5 3 2 3 5 2" xfId="35255"/>
    <cellStyle name="Normal 11 5 3 2 3 6" xfId="19160"/>
    <cellStyle name="Normal 11 5 3 2 3 6 2" xfId="41717"/>
    <cellStyle name="Normal 11 5 3 2 3 7" xfId="28623"/>
    <cellStyle name="Normal 11 5 3 2 4" xfId="3837"/>
    <cellStyle name="Normal 11 5 3 2 4 2" xfId="6949"/>
    <cellStyle name="Normal 11 5 3 2 4 2 2" xfId="10281"/>
    <cellStyle name="Normal 11 5 3 2 4 2 2 2" xfId="16985"/>
    <cellStyle name="Normal 11 5 3 2 4 2 2 2 2" xfId="40406"/>
    <cellStyle name="Normal 11 5 3 2 4 2 2 3" xfId="33774"/>
    <cellStyle name="Normal 11 5 3 2 4 2 3" xfId="13669"/>
    <cellStyle name="Normal 11 5 3 2 4 2 3 2" xfId="37090"/>
    <cellStyle name="Normal 11 5 3 2 4 2 4" xfId="22443"/>
    <cellStyle name="Normal 11 5 3 2 4 2 4 2" xfId="44865"/>
    <cellStyle name="Normal 11 5 3 2 4 2 5" xfId="30458"/>
    <cellStyle name="Normal 11 5 3 2 4 3" xfId="8616"/>
    <cellStyle name="Normal 11 5 3 2 4 3 2" xfId="15327"/>
    <cellStyle name="Normal 11 5 3 2 4 3 2 2" xfId="38748"/>
    <cellStyle name="Normal 11 5 3 2 4 3 3" xfId="32116"/>
    <cellStyle name="Normal 11 5 3 2 4 4" xfId="12009"/>
    <cellStyle name="Normal 11 5 3 2 4 4 2" xfId="35432"/>
    <cellStyle name="Normal 11 5 3 2 4 5" xfId="19596"/>
    <cellStyle name="Normal 11 5 3 2 4 5 2" xfId="42133"/>
    <cellStyle name="Normal 11 5 3 2 4 6" xfId="28800"/>
    <cellStyle name="Normal 11 5 3 2 5" xfId="6299"/>
    <cellStyle name="Normal 11 5 3 2 5 2" xfId="9633"/>
    <cellStyle name="Normal 11 5 3 2 5 2 2" xfId="16337"/>
    <cellStyle name="Normal 11 5 3 2 5 2 2 2" xfId="39758"/>
    <cellStyle name="Normal 11 5 3 2 5 2 3" xfId="33126"/>
    <cellStyle name="Normal 11 5 3 2 5 3" xfId="13021"/>
    <cellStyle name="Normal 11 5 3 2 5 3 2" xfId="36442"/>
    <cellStyle name="Normal 11 5 3 2 5 4" xfId="20726"/>
    <cellStyle name="Normal 11 5 3 2 5 4 2" xfId="43177"/>
    <cellStyle name="Normal 11 5 3 2 5 5" xfId="29810"/>
    <cellStyle name="Normal 11 5 3 2 6" xfId="7965"/>
    <cellStyle name="Normal 11 5 3 2 6 2" xfId="14679"/>
    <cellStyle name="Normal 11 5 3 2 6 2 2" xfId="38100"/>
    <cellStyle name="Normal 11 5 3 2 6 3" xfId="21592"/>
    <cellStyle name="Normal 11 5 3 2 6 3 2" xfId="44041"/>
    <cellStyle name="Normal 11 5 3 2 6 4" xfId="31468"/>
    <cellStyle name="Normal 11 5 3 2 7" xfId="11361"/>
    <cellStyle name="Normal 11 5 3 2 7 2" xfId="34784"/>
    <cellStyle name="Normal 11 5 3 2 8" xfId="17956"/>
    <cellStyle name="Normal 11 5 3 2 8 2" xfId="41264"/>
    <cellStyle name="Normal 11 5 3 2 9" xfId="23535"/>
    <cellStyle name="Normal 11 5 3 2 9 2" xfId="45855"/>
    <cellStyle name="Normal 11 5 3 3" xfId="2201"/>
    <cellStyle name="Normal 11 5 3 3 2" xfId="5472"/>
    <cellStyle name="Normal 11 5 3 3 2 2" xfId="7297"/>
    <cellStyle name="Normal 11 5 3 3 2 2 2" xfId="10628"/>
    <cellStyle name="Normal 11 5 3 3 2 2 2 2" xfId="17332"/>
    <cellStyle name="Normal 11 5 3 3 2 2 2 2 2" xfId="40753"/>
    <cellStyle name="Normal 11 5 3 3 2 2 2 3" xfId="23049"/>
    <cellStyle name="Normal 11 5 3 3 2 2 2 3 2" xfId="45471"/>
    <cellStyle name="Normal 11 5 3 3 2 2 2 4" xfId="34121"/>
    <cellStyle name="Normal 11 5 3 3 2 2 3" xfId="14016"/>
    <cellStyle name="Normal 11 5 3 3 2 2 3 2" xfId="37437"/>
    <cellStyle name="Normal 11 5 3 3 2 2 4" xfId="20221"/>
    <cellStyle name="Normal 11 5 3 3 2 2 4 2" xfId="42756"/>
    <cellStyle name="Normal 11 5 3 3 2 2 5" xfId="30805"/>
    <cellStyle name="Normal 11 5 3 3 2 3" xfId="8970"/>
    <cellStyle name="Normal 11 5 3 3 2 3 2" xfId="15674"/>
    <cellStyle name="Normal 11 5 3 3 2 3 2 2" xfId="39095"/>
    <cellStyle name="Normal 11 5 3 3 2 3 3" xfId="21187"/>
    <cellStyle name="Normal 11 5 3 3 2 3 3 2" xfId="43638"/>
    <cellStyle name="Normal 11 5 3 3 2 3 4" xfId="32463"/>
    <cellStyle name="Normal 11 5 3 3 2 4" xfId="12358"/>
    <cellStyle name="Normal 11 5 3 3 2 4 2" xfId="22234"/>
    <cellStyle name="Normal 11 5 3 3 2 4 2 2" xfId="44656"/>
    <cellStyle name="Normal 11 5 3 3 2 4 3" xfId="35779"/>
    <cellStyle name="Normal 11 5 3 3 2 5" xfId="19382"/>
    <cellStyle name="Normal 11 5 3 3 2 5 2" xfId="41924"/>
    <cellStyle name="Normal 11 5 3 3 2 6" xfId="29147"/>
    <cellStyle name="Normal 11 5 3 3 3" xfId="6393"/>
    <cellStyle name="Normal 11 5 3 3 3 2" xfId="9727"/>
    <cellStyle name="Normal 11 5 3 3 3 2 2" xfId="16431"/>
    <cellStyle name="Normal 11 5 3 3 3 2 2 2" xfId="39852"/>
    <cellStyle name="Normal 11 5 3 3 3 2 3" xfId="22642"/>
    <cellStyle name="Normal 11 5 3 3 3 2 3 2" xfId="45064"/>
    <cellStyle name="Normal 11 5 3 3 3 2 4" xfId="33220"/>
    <cellStyle name="Normal 11 5 3 3 3 3" xfId="13115"/>
    <cellStyle name="Normal 11 5 3 3 3 3 2" xfId="36536"/>
    <cellStyle name="Normal 11 5 3 3 3 4" xfId="19805"/>
    <cellStyle name="Normal 11 5 3 3 3 4 2" xfId="42340"/>
    <cellStyle name="Normal 11 5 3 3 3 5" xfId="29904"/>
    <cellStyle name="Normal 11 5 3 3 4" xfId="8060"/>
    <cellStyle name="Normal 11 5 3 3 4 2" xfId="14773"/>
    <cellStyle name="Normal 11 5 3 3 4 2 2" xfId="38194"/>
    <cellStyle name="Normal 11 5 3 3 4 3" xfId="20728"/>
    <cellStyle name="Normal 11 5 3 3 4 3 2" xfId="43179"/>
    <cellStyle name="Normal 11 5 3 3 4 4" xfId="31562"/>
    <cellStyle name="Normal 11 5 3 3 5" xfId="11455"/>
    <cellStyle name="Normal 11 5 3 3 5 2" xfId="21800"/>
    <cellStyle name="Normal 11 5 3 3 5 2 2" xfId="44242"/>
    <cellStyle name="Normal 11 5 3 3 5 3" xfId="34878"/>
    <cellStyle name="Normal 11 5 3 3 6" xfId="18555"/>
    <cellStyle name="Normal 11 5 3 3 6 2" xfId="41499"/>
    <cellStyle name="Normal 11 5 3 3 7" xfId="25799"/>
    <cellStyle name="Normal 11 5 3 3 7 2" xfId="48044"/>
    <cellStyle name="Normal 11 5 3 3 8" xfId="28246"/>
    <cellStyle name="Normal 11 5 3 4" xfId="2665"/>
    <cellStyle name="Normal 11 5 3 4 2" xfId="5758"/>
    <cellStyle name="Normal 11 5 3 4 2 2" xfId="7540"/>
    <cellStyle name="Normal 11 5 3 4 2 2 2" xfId="10869"/>
    <cellStyle name="Normal 11 5 3 4 2 2 2 2" xfId="17573"/>
    <cellStyle name="Normal 11 5 3 4 2 2 2 2 2" xfId="40994"/>
    <cellStyle name="Normal 11 5 3 4 2 2 2 3" xfId="34362"/>
    <cellStyle name="Normal 11 5 3 4 2 2 3" xfId="14257"/>
    <cellStyle name="Normal 11 5 3 4 2 2 3 2" xfId="37678"/>
    <cellStyle name="Normal 11 5 3 4 2 2 4" xfId="22849"/>
    <cellStyle name="Normal 11 5 3 4 2 2 4 2" xfId="45271"/>
    <cellStyle name="Normal 11 5 3 4 2 2 5" xfId="31046"/>
    <cellStyle name="Normal 11 5 3 4 2 3" xfId="9211"/>
    <cellStyle name="Normal 11 5 3 4 2 3 2" xfId="15915"/>
    <cellStyle name="Normal 11 5 3 4 2 3 2 2" xfId="39336"/>
    <cellStyle name="Normal 11 5 3 4 2 3 3" xfId="32704"/>
    <cellStyle name="Normal 11 5 3 4 2 4" xfId="12599"/>
    <cellStyle name="Normal 11 5 3 4 2 4 2" xfId="36020"/>
    <cellStyle name="Normal 11 5 3 4 2 5" xfId="20013"/>
    <cellStyle name="Normal 11 5 3 4 2 5 2" xfId="42548"/>
    <cellStyle name="Normal 11 5 3 4 2 6" xfId="29388"/>
    <cellStyle name="Normal 11 5 3 4 3" xfId="6641"/>
    <cellStyle name="Normal 11 5 3 4 3 2" xfId="9973"/>
    <cellStyle name="Normal 11 5 3 4 3 2 2" xfId="16677"/>
    <cellStyle name="Normal 11 5 3 4 3 2 2 2" xfId="40098"/>
    <cellStyle name="Normal 11 5 3 4 3 2 3" xfId="33466"/>
    <cellStyle name="Normal 11 5 3 4 3 3" xfId="13361"/>
    <cellStyle name="Normal 11 5 3 4 3 3 2" xfId="36782"/>
    <cellStyle name="Normal 11 5 3 4 3 4" xfId="21184"/>
    <cellStyle name="Normal 11 5 3 4 3 4 2" xfId="43635"/>
    <cellStyle name="Normal 11 5 3 4 3 5" xfId="30150"/>
    <cellStyle name="Normal 11 5 3 4 4" xfId="8307"/>
    <cellStyle name="Normal 11 5 3 4 4 2" xfId="15019"/>
    <cellStyle name="Normal 11 5 3 4 4 2 2" xfId="38440"/>
    <cellStyle name="Normal 11 5 3 4 4 3" xfId="22021"/>
    <cellStyle name="Normal 11 5 3 4 4 3 2" xfId="44449"/>
    <cellStyle name="Normal 11 5 3 4 4 4" xfId="31808"/>
    <cellStyle name="Normal 11 5 3 4 5" xfId="11701"/>
    <cellStyle name="Normal 11 5 3 4 5 2" xfId="35124"/>
    <cellStyle name="Normal 11 5 3 4 6" xfId="19159"/>
    <cellStyle name="Normal 11 5 3 4 6 2" xfId="41716"/>
    <cellStyle name="Normal 11 5 3 4 7" xfId="28492"/>
    <cellStyle name="Normal 11 5 3 5" xfId="3836"/>
    <cellStyle name="Normal 11 5 3 5 2" xfId="6948"/>
    <cellStyle name="Normal 11 5 3 5 2 2" xfId="10280"/>
    <cellStyle name="Normal 11 5 3 5 2 2 2" xfId="16984"/>
    <cellStyle name="Normal 11 5 3 5 2 2 2 2" xfId="40405"/>
    <cellStyle name="Normal 11 5 3 5 2 2 3" xfId="33773"/>
    <cellStyle name="Normal 11 5 3 5 2 3" xfId="13668"/>
    <cellStyle name="Normal 11 5 3 5 2 3 2" xfId="37089"/>
    <cellStyle name="Normal 11 5 3 5 2 4" xfId="22442"/>
    <cellStyle name="Normal 11 5 3 5 2 4 2" xfId="44864"/>
    <cellStyle name="Normal 11 5 3 5 2 5" xfId="30457"/>
    <cellStyle name="Normal 11 5 3 5 3" xfId="8615"/>
    <cellStyle name="Normal 11 5 3 5 3 2" xfId="15326"/>
    <cellStyle name="Normal 11 5 3 5 3 2 2" xfId="38747"/>
    <cellStyle name="Normal 11 5 3 5 3 3" xfId="32115"/>
    <cellStyle name="Normal 11 5 3 5 4" xfId="12008"/>
    <cellStyle name="Normal 11 5 3 5 4 2" xfId="35431"/>
    <cellStyle name="Normal 11 5 3 5 5" xfId="19595"/>
    <cellStyle name="Normal 11 5 3 5 5 2" xfId="42132"/>
    <cellStyle name="Normal 11 5 3 5 6" xfId="28799"/>
    <cellStyle name="Normal 11 5 3 6" xfId="6168"/>
    <cellStyle name="Normal 11 5 3 6 2" xfId="9502"/>
    <cellStyle name="Normal 11 5 3 6 2 2" xfId="16206"/>
    <cellStyle name="Normal 11 5 3 6 2 2 2" xfId="39627"/>
    <cellStyle name="Normal 11 5 3 6 2 3" xfId="32995"/>
    <cellStyle name="Normal 11 5 3 6 3" xfId="12890"/>
    <cellStyle name="Normal 11 5 3 6 3 2" xfId="36311"/>
    <cellStyle name="Normal 11 5 3 6 4" xfId="20725"/>
    <cellStyle name="Normal 11 5 3 6 4 2" xfId="43176"/>
    <cellStyle name="Normal 11 5 3 6 5" xfId="29679"/>
    <cellStyle name="Normal 11 5 3 7" xfId="7834"/>
    <cellStyle name="Normal 11 5 3 7 2" xfId="14548"/>
    <cellStyle name="Normal 11 5 3 7 2 2" xfId="37969"/>
    <cellStyle name="Normal 11 5 3 7 3" xfId="21591"/>
    <cellStyle name="Normal 11 5 3 7 3 2" xfId="44040"/>
    <cellStyle name="Normal 11 5 3 7 4" xfId="31337"/>
    <cellStyle name="Normal 11 5 3 8" xfId="11230"/>
    <cellStyle name="Normal 11 5 3 8 2" xfId="34653"/>
    <cellStyle name="Normal 11 5 3 9" xfId="17955"/>
    <cellStyle name="Normal 11 5 3 9 2" xfId="41263"/>
    <cellStyle name="Normal 11 5 4" xfId="1716"/>
    <cellStyle name="Normal 11 5 4 10" xfId="28069"/>
    <cellStyle name="Normal 11 5 4 2" xfId="2203"/>
    <cellStyle name="Normal 11 5 4 2 2" xfId="5474"/>
    <cellStyle name="Normal 11 5 4 2 2 2" xfId="7299"/>
    <cellStyle name="Normal 11 5 4 2 2 2 2" xfId="10630"/>
    <cellStyle name="Normal 11 5 4 2 2 2 2 2" xfId="17334"/>
    <cellStyle name="Normal 11 5 4 2 2 2 2 2 2" xfId="40755"/>
    <cellStyle name="Normal 11 5 4 2 2 2 2 3" xfId="23051"/>
    <cellStyle name="Normal 11 5 4 2 2 2 2 3 2" xfId="45473"/>
    <cellStyle name="Normal 11 5 4 2 2 2 2 4" xfId="34123"/>
    <cellStyle name="Normal 11 5 4 2 2 2 3" xfId="14018"/>
    <cellStyle name="Normal 11 5 4 2 2 2 3 2" xfId="37439"/>
    <cellStyle name="Normal 11 5 4 2 2 2 4" xfId="20223"/>
    <cellStyle name="Normal 11 5 4 2 2 2 4 2" xfId="42758"/>
    <cellStyle name="Normal 11 5 4 2 2 2 5" xfId="30807"/>
    <cellStyle name="Normal 11 5 4 2 2 3" xfId="8972"/>
    <cellStyle name="Normal 11 5 4 2 2 3 2" xfId="15676"/>
    <cellStyle name="Normal 11 5 4 2 2 3 2 2" xfId="39097"/>
    <cellStyle name="Normal 11 5 4 2 2 3 3" xfId="21189"/>
    <cellStyle name="Normal 11 5 4 2 2 3 3 2" xfId="43640"/>
    <cellStyle name="Normal 11 5 4 2 2 3 4" xfId="32465"/>
    <cellStyle name="Normal 11 5 4 2 2 4" xfId="12360"/>
    <cellStyle name="Normal 11 5 4 2 2 4 2" xfId="22236"/>
    <cellStyle name="Normal 11 5 4 2 2 4 2 2" xfId="44658"/>
    <cellStyle name="Normal 11 5 4 2 2 4 3" xfId="35781"/>
    <cellStyle name="Normal 11 5 4 2 2 5" xfId="19384"/>
    <cellStyle name="Normal 11 5 4 2 2 5 2" xfId="41926"/>
    <cellStyle name="Normal 11 5 4 2 2 6" xfId="29149"/>
    <cellStyle name="Normal 11 5 4 2 3" xfId="6395"/>
    <cellStyle name="Normal 11 5 4 2 3 2" xfId="9729"/>
    <cellStyle name="Normal 11 5 4 2 3 2 2" xfId="16433"/>
    <cellStyle name="Normal 11 5 4 2 3 2 2 2" xfId="39854"/>
    <cellStyle name="Normal 11 5 4 2 3 2 3" xfId="22644"/>
    <cellStyle name="Normal 11 5 4 2 3 2 3 2" xfId="45066"/>
    <cellStyle name="Normal 11 5 4 2 3 2 4" xfId="33222"/>
    <cellStyle name="Normal 11 5 4 2 3 3" xfId="13117"/>
    <cellStyle name="Normal 11 5 4 2 3 3 2" xfId="36538"/>
    <cellStyle name="Normal 11 5 4 2 3 4" xfId="19807"/>
    <cellStyle name="Normal 11 5 4 2 3 4 2" xfId="42342"/>
    <cellStyle name="Normal 11 5 4 2 3 5" xfId="29906"/>
    <cellStyle name="Normal 11 5 4 2 4" xfId="8062"/>
    <cellStyle name="Normal 11 5 4 2 4 2" xfId="14775"/>
    <cellStyle name="Normal 11 5 4 2 4 2 2" xfId="38196"/>
    <cellStyle name="Normal 11 5 4 2 4 3" xfId="20730"/>
    <cellStyle name="Normal 11 5 4 2 4 3 2" xfId="43181"/>
    <cellStyle name="Normal 11 5 4 2 4 4" xfId="31564"/>
    <cellStyle name="Normal 11 5 4 2 5" xfId="11457"/>
    <cellStyle name="Normal 11 5 4 2 5 2" xfId="21802"/>
    <cellStyle name="Normal 11 5 4 2 5 2 2" xfId="44244"/>
    <cellStyle name="Normal 11 5 4 2 5 3" xfId="34880"/>
    <cellStyle name="Normal 11 5 4 2 6" xfId="18557"/>
    <cellStyle name="Normal 11 5 4 2 6 2" xfId="41501"/>
    <cellStyle name="Normal 11 5 4 2 7" xfId="25801"/>
    <cellStyle name="Normal 11 5 4 2 7 2" xfId="48046"/>
    <cellStyle name="Normal 11 5 4 2 8" xfId="28248"/>
    <cellStyle name="Normal 11 5 4 3" xfId="2714"/>
    <cellStyle name="Normal 11 5 4 3 2" xfId="5806"/>
    <cellStyle name="Normal 11 5 4 3 2 2" xfId="7588"/>
    <cellStyle name="Normal 11 5 4 3 2 2 2" xfId="10917"/>
    <cellStyle name="Normal 11 5 4 3 2 2 2 2" xfId="17621"/>
    <cellStyle name="Normal 11 5 4 3 2 2 2 2 2" xfId="41042"/>
    <cellStyle name="Normal 11 5 4 3 2 2 2 3" xfId="34410"/>
    <cellStyle name="Normal 11 5 4 3 2 2 3" xfId="14305"/>
    <cellStyle name="Normal 11 5 4 3 2 2 3 2" xfId="37726"/>
    <cellStyle name="Normal 11 5 4 3 2 2 4" xfId="22851"/>
    <cellStyle name="Normal 11 5 4 3 2 2 4 2" xfId="45273"/>
    <cellStyle name="Normal 11 5 4 3 2 2 5" xfId="31094"/>
    <cellStyle name="Normal 11 5 4 3 2 3" xfId="9259"/>
    <cellStyle name="Normal 11 5 4 3 2 3 2" xfId="15963"/>
    <cellStyle name="Normal 11 5 4 3 2 3 2 2" xfId="39384"/>
    <cellStyle name="Normal 11 5 4 3 2 3 3" xfId="32752"/>
    <cellStyle name="Normal 11 5 4 3 2 4" xfId="12647"/>
    <cellStyle name="Normal 11 5 4 3 2 4 2" xfId="36068"/>
    <cellStyle name="Normal 11 5 4 3 2 5" xfId="20015"/>
    <cellStyle name="Normal 11 5 4 3 2 5 2" xfId="42550"/>
    <cellStyle name="Normal 11 5 4 3 2 6" xfId="29436"/>
    <cellStyle name="Normal 11 5 4 3 3" xfId="6689"/>
    <cellStyle name="Normal 11 5 4 3 3 2" xfId="10021"/>
    <cellStyle name="Normal 11 5 4 3 3 2 2" xfId="16725"/>
    <cellStyle name="Normal 11 5 4 3 3 2 2 2" xfId="40146"/>
    <cellStyle name="Normal 11 5 4 3 3 2 3" xfId="33514"/>
    <cellStyle name="Normal 11 5 4 3 3 3" xfId="13409"/>
    <cellStyle name="Normal 11 5 4 3 3 3 2" xfId="36830"/>
    <cellStyle name="Normal 11 5 4 3 3 4" xfId="21188"/>
    <cellStyle name="Normal 11 5 4 3 3 4 2" xfId="43639"/>
    <cellStyle name="Normal 11 5 4 3 3 5" xfId="30198"/>
    <cellStyle name="Normal 11 5 4 3 4" xfId="8355"/>
    <cellStyle name="Normal 11 5 4 3 4 2" xfId="15067"/>
    <cellStyle name="Normal 11 5 4 3 4 2 2" xfId="38488"/>
    <cellStyle name="Normal 11 5 4 3 4 3" xfId="22023"/>
    <cellStyle name="Normal 11 5 4 3 4 3 2" xfId="44451"/>
    <cellStyle name="Normal 11 5 4 3 4 4" xfId="31856"/>
    <cellStyle name="Normal 11 5 4 3 5" xfId="11749"/>
    <cellStyle name="Normal 11 5 4 3 5 2" xfId="35172"/>
    <cellStyle name="Normal 11 5 4 3 6" xfId="19161"/>
    <cellStyle name="Normal 11 5 4 3 6 2" xfId="41718"/>
    <cellStyle name="Normal 11 5 4 3 7" xfId="28540"/>
    <cellStyle name="Normal 11 5 4 4" xfId="3838"/>
    <cellStyle name="Normal 11 5 4 4 2" xfId="6950"/>
    <cellStyle name="Normal 11 5 4 4 2 2" xfId="10282"/>
    <cellStyle name="Normal 11 5 4 4 2 2 2" xfId="16986"/>
    <cellStyle name="Normal 11 5 4 4 2 2 2 2" xfId="40407"/>
    <cellStyle name="Normal 11 5 4 4 2 2 3" xfId="33775"/>
    <cellStyle name="Normal 11 5 4 4 2 3" xfId="13670"/>
    <cellStyle name="Normal 11 5 4 4 2 3 2" xfId="37091"/>
    <cellStyle name="Normal 11 5 4 4 2 4" xfId="22444"/>
    <cellStyle name="Normal 11 5 4 4 2 4 2" xfId="44866"/>
    <cellStyle name="Normal 11 5 4 4 2 5" xfId="30459"/>
    <cellStyle name="Normal 11 5 4 4 3" xfId="8617"/>
    <cellStyle name="Normal 11 5 4 4 3 2" xfId="15328"/>
    <cellStyle name="Normal 11 5 4 4 3 2 2" xfId="38749"/>
    <cellStyle name="Normal 11 5 4 4 3 3" xfId="32117"/>
    <cellStyle name="Normal 11 5 4 4 4" xfId="12010"/>
    <cellStyle name="Normal 11 5 4 4 4 2" xfId="35433"/>
    <cellStyle name="Normal 11 5 4 4 5" xfId="19597"/>
    <cellStyle name="Normal 11 5 4 4 5 2" xfId="42134"/>
    <cellStyle name="Normal 11 5 4 4 6" xfId="28801"/>
    <cellStyle name="Normal 11 5 4 5" xfId="6216"/>
    <cellStyle name="Normal 11 5 4 5 2" xfId="9550"/>
    <cellStyle name="Normal 11 5 4 5 2 2" xfId="16254"/>
    <cellStyle name="Normal 11 5 4 5 2 2 2" xfId="39675"/>
    <cellStyle name="Normal 11 5 4 5 2 3" xfId="33043"/>
    <cellStyle name="Normal 11 5 4 5 3" xfId="12938"/>
    <cellStyle name="Normal 11 5 4 5 3 2" xfId="36359"/>
    <cellStyle name="Normal 11 5 4 5 4" xfId="20729"/>
    <cellStyle name="Normal 11 5 4 5 4 2" xfId="43180"/>
    <cellStyle name="Normal 11 5 4 5 5" xfId="29727"/>
    <cellStyle name="Normal 11 5 4 6" xfId="7882"/>
    <cellStyle name="Normal 11 5 4 6 2" xfId="14596"/>
    <cellStyle name="Normal 11 5 4 6 2 2" xfId="38017"/>
    <cellStyle name="Normal 11 5 4 6 3" xfId="21593"/>
    <cellStyle name="Normal 11 5 4 6 3 2" xfId="44042"/>
    <cellStyle name="Normal 11 5 4 6 4" xfId="31385"/>
    <cellStyle name="Normal 11 5 4 7" xfId="11278"/>
    <cellStyle name="Normal 11 5 4 7 2" xfId="34701"/>
    <cellStyle name="Normal 11 5 4 8" xfId="17957"/>
    <cellStyle name="Normal 11 5 4 8 2" xfId="41265"/>
    <cellStyle name="Normal 11 5 4 9" xfId="23536"/>
    <cellStyle name="Normal 11 5 4 9 2" xfId="45856"/>
    <cellStyle name="Normal 11 5 5" xfId="2196"/>
    <cellStyle name="Normal 11 5 5 2" xfId="3839"/>
    <cellStyle name="Normal 11 5 5 2 2" xfId="6951"/>
    <cellStyle name="Normal 11 5 5 2 2 2" xfId="10283"/>
    <cellStyle name="Normal 11 5 5 2 2 2 2" xfId="16987"/>
    <cellStyle name="Normal 11 5 5 2 2 2 2 2" xfId="40408"/>
    <cellStyle name="Normal 11 5 5 2 2 2 3" xfId="23044"/>
    <cellStyle name="Normal 11 5 5 2 2 2 3 2" xfId="45466"/>
    <cellStyle name="Normal 11 5 5 2 2 2 4" xfId="33776"/>
    <cellStyle name="Normal 11 5 5 2 2 3" xfId="13671"/>
    <cellStyle name="Normal 11 5 5 2 2 3 2" xfId="37092"/>
    <cellStyle name="Normal 11 5 5 2 2 4" xfId="20216"/>
    <cellStyle name="Normal 11 5 5 2 2 4 2" xfId="42751"/>
    <cellStyle name="Normal 11 5 5 2 2 5" xfId="30460"/>
    <cellStyle name="Normal 11 5 5 2 3" xfId="8618"/>
    <cellStyle name="Normal 11 5 5 2 3 2" xfId="15329"/>
    <cellStyle name="Normal 11 5 5 2 3 2 2" xfId="38750"/>
    <cellStyle name="Normal 11 5 5 2 3 3" xfId="21190"/>
    <cellStyle name="Normal 11 5 5 2 3 3 2" xfId="43641"/>
    <cellStyle name="Normal 11 5 5 2 3 4" xfId="32118"/>
    <cellStyle name="Normal 11 5 5 2 4" xfId="12011"/>
    <cellStyle name="Normal 11 5 5 2 4 2" xfId="22229"/>
    <cellStyle name="Normal 11 5 5 2 4 2 2" xfId="44651"/>
    <cellStyle name="Normal 11 5 5 2 4 3" xfId="35434"/>
    <cellStyle name="Normal 11 5 5 2 5" xfId="19377"/>
    <cellStyle name="Normal 11 5 5 2 5 2" xfId="41919"/>
    <cellStyle name="Normal 11 5 5 2 6" xfId="25802"/>
    <cellStyle name="Normal 11 5 5 2 6 2" xfId="48047"/>
    <cellStyle name="Normal 11 5 5 2 7" xfId="28802"/>
    <cellStyle name="Normal 11 5 5 3" xfId="6388"/>
    <cellStyle name="Normal 11 5 5 3 2" xfId="9722"/>
    <cellStyle name="Normal 11 5 5 3 2 2" xfId="16426"/>
    <cellStyle name="Normal 11 5 5 3 2 2 2" xfId="39847"/>
    <cellStyle name="Normal 11 5 5 3 2 3" xfId="22637"/>
    <cellStyle name="Normal 11 5 5 3 2 3 2" xfId="45059"/>
    <cellStyle name="Normal 11 5 5 3 2 4" xfId="33215"/>
    <cellStyle name="Normal 11 5 5 3 3" xfId="13110"/>
    <cellStyle name="Normal 11 5 5 3 3 2" xfId="36531"/>
    <cellStyle name="Normal 11 5 5 3 4" xfId="19800"/>
    <cellStyle name="Normal 11 5 5 3 4 2" xfId="42335"/>
    <cellStyle name="Normal 11 5 5 3 5" xfId="29899"/>
    <cellStyle name="Normal 11 5 5 4" xfId="8055"/>
    <cellStyle name="Normal 11 5 5 4 2" xfId="14768"/>
    <cellStyle name="Normal 11 5 5 4 2 2" xfId="38189"/>
    <cellStyle name="Normal 11 5 5 4 3" xfId="20731"/>
    <cellStyle name="Normal 11 5 5 4 3 2" xfId="43182"/>
    <cellStyle name="Normal 11 5 5 4 4" xfId="31557"/>
    <cellStyle name="Normal 11 5 5 5" xfId="11450"/>
    <cellStyle name="Normal 11 5 5 5 2" xfId="21795"/>
    <cellStyle name="Normal 11 5 5 5 2 2" xfId="44237"/>
    <cellStyle name="Normal 11 5 5 5 3" xfId="34873"/>
    <cellStyle name="Normal 11 5 5 6" xfId="18550"/>
    <cellStyle name="Normal 11 5 5 6 2" xfId="41494"/>
    <cellStyle name="Normal 11 5 5 7" xfId="23537"/>
    <cellStyle name="Normal 11 5 5 7 2" xfId="45857"/>
    <cellStyle name="Normal 11 5 5 8" xfId="28241"/>
    <cellStyle name="Normal 11 5 6" xfId="2581"/>
    <cellStyle name="Normal 11 5 6 2" xfId="5675"/>
    <cellStyle name="Normal 11 5 6 2 2" xfId="7458"/>
    <cellStyle name="Normal 11 5 6 2 2 2" xfId="10787"/>
    <cellStyle name="Normal 11 5 6 2 2 2 2" xfId="17491"/>
    <cellStyle name="Normal 11 5 6 2 2 2 2 2" xfId="40912"/>
    <cellStyle name="Normal 11 5 6 2 2 2 3" xfId="34280"/>
    <cellStyle name="Normal 11 5 6 2 2 3" xfId="14175"/>
    <cellStyle name="Normal 11 5 6 2 2 3 2" xfId="37596"/>
    <cellStyle name="Normal 11 5 6 2 2 4" xfId="20579"/>
    <cellStyle name="Normal 11 5 6 2 2 4 2" xfId="43030"/>
    <cellStyle name="Normal 11 5 6 2 2 5" xfId="30964"/>
    <cellStyle name="Normal 11 5 6 2 3" xfId="9129"/>
    <cellStyle name="Normal 11 5 6 2 3 2" xfId="15833"/>
    <cellStyle name="Normal 11 5 6 2 3 2 2" xfId="39254"/>
    <cellStyle name="Normal 11 5 6 2 3 3" xfId="21497"/>
    <cellStyle name="Normal 11 5 6 2 3 3 2" xfId="43948"/>
    <cellStyle name="Normal 11 5 6 2 3 4" xfId="32622"/>
    <cellStyle name="Normal 11 5 6 2 4" xfId="12517"/>
    <cellStyle name="Normal 11 5 6 2 4 2" xfId="22844"/>
    <cellStyle name="Normal 11 5 6 2 4 2 2" xfId="45266"/>
    <cellStyle name="Normal 11 5 6 2 4 3" xfId="35938"/>
    <cellStyle name="Normal 11 5 6 2 5" xfId="20008"/>
    <cellStyle name="Normal 11 5 6 2 5 2" xfId="42543"/>
    <cellStyle name="Normal 11 5 6 2 6" xfId="29306"/>
    <cellStyle name="Normal 11 5 6 3" xfId="5107"/>
    <cellStyle name="Normal 11 5 6 3 2" xfId="20481"/>
    <cellStyle name="Normal 11 5 6 3 2 2" xfId="42934"/>
    <cellStyle name="Normal 11 5 6 4" xfId="6558"/>
    <cellStyle name="Normal 11 5 6 4 2" xfId="9890"/>
    <cellStyle name="Normal 11 5 6 4 2 2" xfId="16594"/>
    <cellStyle name="Normal 11 5 6 4 2 2 2" xfId="40015"/>
    <cellStyle name="Normal 11 5 6 4 2 3" xfId="33383"/>
    <cellStyle name="Normal 11 5 6 4 3" xfId="13278"/>
    <cellStyle name="Normal 11 5 6 4 3 2" xfId="36699"/>
    <cellStyle name="Normal 11 5 6 4 4" xfId="21038"/>
    <cellStyle name="Normal 11 5 6 4 4 2" xfId="43489"/>
    <cellStyle name="Normal 11 5 6 4 5" xfId="30067"/>
    <cellStyle name="Normal 11 5 6 5" xfId="8224"/>
    <cellStyle name="Normal 11 5 6 5 2" xfId="14936"/>
    <cellStyle name="Normal 11 5 6 5 2 2" xfId="38357"/>
    <cellStyle name="Normal 11 5 6 5 3" xfId="22016"/>
    <cellStyle name="Normal 11 5 6 5 3 2" xfId="44444"/>
    <cellStyle name="Normal 11 5 6 5 4" xfId="31725"/>
    <cellStyle name="Normal 11 5 6 6" xfId="11618"/>
    <cellStyle name="Normal 11 5 6 6 2" xfId="35041"/>
    <cellStyle name="Normal 11 5 6 7" xfId="19154"/>
    <cellStyle name="Normal 11 5 6 7 2" xfId="41711"/>
    <cellStyle name="Normal 11 5 6 8" xfId="28409"/>
    <cellStyle name="Normal 11 5 7" xfId="3831"/>
    <cellStyle name="Normal 11 5 7 2" xfId="19590"/>
    <cellStyle name="Normal 11 5 7 2 2" xfId="42127"/>
    <cellStyle name="Normal 11 5 7 3" xfId="21175"/>
    <cellStyle name="Normal 11 5 7 3 2" xfId="43626"/>
    <cellStyle name="Normal 11 5 7 4" xfId="22437"/>
    <cellStyle name="Normal 11 5 7 4 2" xfId="44859"/>
    <cellStyle name="Normal 11 5 8" xfId="6085"/>
    <cellStyle name="Normal 11 5 8 2" xfId="9419"/>
    <cellStyle name="Normal 11 5 8 2 2" xfId="16123"/>
    <cellStyle name="Normal 11 5 8 2 2 2" xfId="39544"/>
    <cellStyle name="Normal 11 5 8 2 3" xfId="27898"/>
    <cellStyle name="Normal 11 5 8 2 3 2" xfId="50143"/>
    <cellStyle name="Normal 11 5 8 2 4" xfId="32912"/>
    <cellStyle name="Normal 11 5 8 3" xfId="12807"/>
    <cellStyle name="Normal 11 5 8 3 2" xfId="36228"/>
    <cellStyle name="Normal 11 5 8 4" xfId="17849"/>
    <cellStyle name="Normal 11 5 8 4 2" xfId="41199"/>
    <cellStyle name="Normal 11 5 8 5" xfId="25593"/>
    <cellStyle name="Normal 11 5 8 5 2" xfId="47838"/>
    <cellStyle name="Normal 11 5 8 6" xfId="29596"/>
    <cellStyle name="Normal 11 5 9" xfId="7750"/>
    <cellStyle name="Normal 11 5 9 2" xfId="14465"/>
    <cellStyle name="Normal 11 5 9 2 2" xfId="37886"/>
    <cellStyle name="Normal 11 5 9 3" xfId="20716"/>
    <cellStyle name="Normal 11 5 9 3 2" xfId="43167"/>
    <cellStyle name="Normal 11 5 9 4" xfId="25631"/>
    <cellStyle name="Normal 11 5 9 4 2" xfId="47876"/>
    <cellStyle name="Normal 11 5 9 5" xfId="31254"/>
    <cellStyle name="Normal 11 6" xfId="1326"/>
    <cellStyle name="Normal 11 6 10" xfId="11159"/>
    <cellStyle name="Normal 11 6 10 2" xfId="21594"/>
    <cellStyle name="Normal 11 6 10 2 2" xfId="44043"/>
    <cellStyle name="Normal 11 6 10 3" xfId="34582"/>
    <cellStyle name="Normal 11 6 11" xfId="17958"/>
    <cellStyle name="Normal 11 6 11 2" xfId="41266"/>
    <cellStyle name="Normal 11 6 12" xfId="23538"/>
    <cellStyle name="Normal 11 6 12 2" xfId="45858"/>
    <cellStyle name="Normal 11 6 13" xfId="27950"/>
    <cellStyle name="Normal 11 6 2" xfId="1450"/>
    <cellStyle name="Normal 11 6 2 10" xfId="17959"/>
    <cellStyle name="Normal 11 6 2 10 2" xfId="41267"/>
    <cellStyle name="Normal 11 6 2 11" xfId="23539"/>
    <cellStyle name="Normal 11 6 2 11 2" xfId="45859"/>
    <cellStyle name="Normal 11 6 2 12" xfId="27986"/>
    <cellStyle name="Normal 11 6 2 2" xfId="1583"/>
    <cellStyle name="Normal 11 6 2 2 10" xfId="23540"/>
    <cellStyle name="Normal 11 6 2 2 10 2" xfId="45860"/>
    <cellStyle name="Normal 11 6 2 2 11" xfId="28024"/>
    <cellStyle name="Normal 11 6 2 2 2" xfId="1803"/>
    <cellStyle name="Normal 11 6 2 2 2 10" xfId="28155"/>
    <cellStyle name="Normal 11 6 2 2 2 2" xfId="2207"/>
    <cellStyle name="Normal 11 6 2 2 2 2 2" xfId="5478"/>
    <cellStyle name="Normal 11 6 2 2 2 2 2 2" xfId="7303"/>
    <cellStyle name="Normal 11 6 2 2 2 2 2 2 2" xfId="10634"/>
    <cellStyle name="Normal 11 6 2 2 2 2 2 2 2 2" xfId="17338"/>
    <cellStyle name="Normal 11 6 2 2 2 2 2 2 2 2 2" xfId="40759"/>
    <cellStyle name="Normal 11 6 2 2 2 2 2 2 2 3" xfId="23055"/>
    <cellStyle name="Normal 11 6 2 2 2 2 2 2 2 3 2" xfId="45477"/>
    <cellStyle name="Normal 11 6 2 2 2 2 2 2 2 4" xfId="34127"/>
    <cellStyle name="Normal 11 6 2 2 2 2 2 2 3" xfId="14022"/>
    <cellStyle name="Normal 11 6 2 2 2 2 2 2 3 2" xfId="37443"/>
    <cellStyle name="Normal 11 6 2 2 2 2 2 2 4" xfId="20227"/>
    <cellStyle name="Normal 11 6 2 2 2 2 2 2 4 2" xfId="42762"/>
    <cellStyle name="Normal 11 6 2 2 2 2 2 2 5" xfId="30811"/>
    <cellStyle name="Normal 11 6 2 2 2 2 2 3" xfId="8976"/>
    <cellStyle name="Normal 11 6 2 2 2 2 2 3 2" xfId="15680"/>
    <cellStyle name="Normal 11 6 2 2 2 2 2 3 2 2" xfId="39101"/>
    <cellStyle name="Normal 11 6 2 2 2 2 2 3 3" xfId="21195"/>
    <cellStyle name="Normal 11 6 2 2 2 2 2 3 3 2" xfId="43646"/>
    <cellStyle name="Normal 11 6 2 2 2 2 2 3 4" xfId="32469"/>
    <cellStyle name="Normal 11 6 2 2 2 2 2 4" xfId="12364"/>
    <cellStyle name="Normal 11 6 2 2 2 2 2 4 2" xfId="22240"/>
    <cellStyle name="Normal 11 6 2 2 2 2 2 4 2 2" xfId="44662"/>
    <cellStyle name="Normal 11 6 2 2 2 2 2 4 3" xfId="35785"/>
    <cellStyle name="Normal 11 6 2 2 2 2 2 5" xfId="19388"/>
    <cellStyle name="Normal 11 6 2 2 2 2 2 5 2" xfId="41930"/>
    <cellStyle name="Normal 11 6 2 2 2 2 2 6" xfId="29153"/>
    <cellStyle name="Normal 11 6 2 2 2 2 3" xfId="6399"/>
    <cellStyle name="Normal 11 6 2 2 2 2 3 2" xfId="9733"/>
    <cellStyle name="Normal 11 6 2 2 2 2 3 2 2" xfId="16437"/>
    <cellStyle name="Normal 11 6 2 2 2 2 3 2 2 2" xfId="39858"/>
    <cellStyle name="Normal 11 6 2 2 2 2 3 2 3" xfId="22648"/>
    <cellStyle name="Normal 11 6 2 2 2 2 3 2 3 2" xfId="45070"/>
    <cellStyle name="Normal 11 6 2 2 2 2 3 2 4" xfId="33226"/>
    <cellStyle name="Normal 11 6 2 2 2 2 3 3" xfId="13121"/>
    <cellStyle name="Normal 11 6 2 2 2 2 3 3 2" xfId="36542"/>
    <cellStyle name="Normal 11 6 2 2 2 2 3 4" xfId="19811"/>
    <cellStyle name="Normal 11 6 2 2 2 2 3 4 2" xfId="42346"/>
    <cellStyle name="Normal 11 6 2 2 2 2 3 5" xfId="29910"/>
    <cellStyle name="Normal 11 6 2 2 2 2 4" xfId="8066"/>
    <cellStyle name="Normal 11 6 2 2 2 2 4 2" xfId="14779"/>
    <cellStyle name="Normal 11 6 2 2 2 2 4 2 2" xfId="38200"/>
    <cellStyle name="Normal 11 6 2 2 2 2 4 3" xfId="20736"/>
    <cellStyle name="Normal 11 6 2 2 2 2 4 3 2" xfId="43187"/>
    <cellStyle name="Normal 11 6 2 2 2 2 4 4" xfId="31568"/>
    <cellStyle name="Normal 11 6 2 2 2 2 5" xfId="11461"/>
    <cellStyle name="Normal 11 6 2 2 2 2 5 2" xfId="21806"/>
    <cellStyle name="Normal 11 6 2 2 2 2 5 2 2" xfId="44248"/>
    <cellStyle name="Normal 11 6 2 2 2 2 5 3" xfId="34884"/>
    <cellStyle name="Normal 11 6 2 2 2 2 6" xfId="18561"/>
    <cellStyle name="Normal 11 6 2 2 2 2 6 2" xfId="41505"/>
    <cellStyle name="Normal 11 6 2 2 2 2 7" xfId="25806"/>
    <cellStyle name="Normal 11 6 2 2 2 2 7 2" xfId="48051"/>
    <cellStyle name="Normal 11 6 2 2 2 2 8" xfId="28252"/>
    <cellStyle name="Normal 11 6 2 2 2 3" xfId="2800"/>
    <cellStyle name="Normal 11 6 2 2 2 3 2" xfId="5892"/>
    <cellStyle name="Normal 11 6 2 2 2 3 2 2" xfId="7674"/>
    <cellStyle name="Normal 11 6 2 2 2 3 2 2 2" xfId="11003"/>
    <cellStyle name="Normal 11 6 2 2 2 3 2 2 2 2" xfId="17707"/>
    <cellStyle name="Normal 11 6 2 2 2 3 2 2 2 2 2" xfId="41128"/>
    <cellStyle name="Normal 11 6 2 2 2 3 2 2 2 3" xfId="34496"/>
    <cellStyle name="Normal 11 6 2 2 2 3 2 2 3" xfId="14391"/>
    <cellStyle name="Normal 11 6 2 2 2 3 2 2 3 2" xfId="37812"/>
    <cellStyle name="Normal 11 6 2 2 2 3 2 2 4" xfId="22855"/>
    <cellStyle name="Normal 11 6 2 2 2 3 2 2 4 2" xfId="45277"/>
    <cellStyle name="Normal 11 6 2 2 2 3 2 2 5" xfId="31180"/>
    <cellStyle name="Normal 11 6 2 2 2 3 2 3" xfId="9345"/>
    <cellStyle name="Normal 11 6 2 2 2 3 2 3 2" xfId="16049"/>
    <cellStyle name="Normal 11 6 2 2 2 3 2 3 2 2" xfId="39470"/>
    <cellStyle name="Normal 11 6 2 2 2 3 2 3 3" xfId="32838"/>
    <cellStyle name="Normal 11 6 2 2 2 3 2 4" xfId="12733"/>
    <cellStyle name="Normal 11 6 2 2 2 3 2 4 2" xfId="36154"/>
    <cellStyle name="Normal 11 6 2 2 2 3 2 5" xfId="20019"/>
    <cellStyle name="Normal 11 6 2 2 2 3 2 5 2" xfId="42554"/>
    <cellStyle name="Normal 11 6 2 2 2 3 2 6" xfId="29522"/>
    <cellStyle name="Normal 11 6 2 2 2 3 3" xfId="6775"/>
    <cellStyle name="Normal 11 6 2 2 2 3 3 2" xfId="10107"/>
    <cellStyle name="Normal 11 6 2 2 2 3 3 2 2" xfId="16811"/>
    <cellStyle name="Normal 11 6 2 2 2 3 3 2 2 2" xfId="40232"/>
    <cellStyle name="Normal 11 6 2 2 2 3 3 2 3" xfId="33600"/>
    <cellStyle name="Normal 11 6 2 2 2 3 3 3" xfId="13495"/>
    <cellStyle name="Normal 11 6 2 2 2 3 3 3 2" xfId="36916"/>
    <cellStyle name="Normal 11 6 2 2 2 3 3 4" xfId="21194"/>
    <cellStyle name="Normal 11 6 2 2 2 3 3 4 2" xfId="43645"/>
    <cellStyle name="Normal 11 6 2 2 2 3 3 5" xfId="30284"/>
    <cellStyle name="Normal 11 6 2 2 2 3 4" xfId="8441"/>
    <cellStyle name="Normal 11 6 2 2 2 3 4 2" xfId="15153"/>
    <cellStyle name="Normal 11 6 2 2 2 3 4 2 2" xfId="38574"/>
    <cellStyle name="Normal 11 6 2 2 2 3 4 3" xfId="22027"/>
    <cellStyle name="Normal 11 6 2 2 2 3 4 3 2" xfId="44455"/>
    <cellStyle name="Normal 11 6 2 2 2 3 4 4" xfId="31942"/>
    <cellStyle name="Normal 11 6 2 2 2 3 5" xfId="11835"/>
    <cellStyle name="Normal 11 6 2 2 2 3 5 2" xfId="35258"/>
    <cellStyle name="Normal 11 6 2 2 2 3 6" xfId="19165"/>
    <cellStyle name="Normal 11 6 2 2 2 3 6 2" xfId="41722"/>
    <cellStyle name="Normal 11 6 2 2 2 3 7" xfId="28626"/>
    <cellStyle name="Normal 11 6 2 2 2 4" xfId="3843"/>
    <cellStyle name="Normal 11 6 2 2 2 4 2" xfId="6955"/>
    <cellStyle name="Normal 11 6 2 2 2 4 2 2" xfId="10287"/>
    <cellStyle name="Normal 11 6 2 2 2 4 2 2 2" xfId="16991"/>
    <cellStyle name="Normal 11 6 2 2 2 4 2 2 2 2" xfId="40412"/>
    <cellStyle name="Normal 11 6 2 2 2 4 2 2 3" xfId="33780"/>
    <cellStyle name="Normal 11 6 2 2 2 4 2 3" xfId="13675"/>
    <cellStyle name="Normal 11 6 2 2 2 4 2 3 2" xfId="37096"/>
    <cellStyle name="Normal 11 6 2 2 2 4 2 4" xfId="22448"/>
    <cellStyle name="Normal 11 6 2 2 2 4 2 4 2" xfId="44870"/>
    <cellStyle name="Normal 11 6 2 2 2 4 2 5" xfId="30464"/>
    <cellStyle name="Normal 11 6 2 2 2 4 3" xfId="8622"/>
    <cellStyle name="Normal 11 6 2 2 2 4 3 2" xfId="15333"/>
    <cellStyle name="Normal 11 6 2 2 2 4 3 2 2" xfId="38754"/>
    <cellStyle name="Normal 11 6 2 2 2 4 3 3" xfId="32122"/>
    <cellStyle name="Normal 11 6 2 2 2 4 4" xfId="12015"/>
    <cellStyle name="Normal 11 6 2 2 2 4 4 2" xfId="35438"/>
    <cellStyle name="Normal 11 6 2 2 2 4 5" xfId="19601"/>
    <cellStyle name="Normal 11 6 2 2 2 4 5 2" xfId="42138"/>
    <cellStyle name="Normal 11 6 2 2 2 4 6" xfId="28806"/>
    <cellStyle name="Normal 11 6 2 2 2 5" xfId="6302"/>
    <cellStyle name="Normal 11 6 2 2 2 5 2" xfId="9636"/>
    <cellStyle name="Normal 11 6 2 2 2 5 2 2" xfId="16340"/>
    <cellStyle name="Normal 11 6 2 2 2 5 2 2 2" xfId="39761"/>
    <cellStyle name="Normal 11 6 2 2 2 5 2 3" xfId="33129"/>
    <cellStyle name="Normal 11 6 2 2 2 5 3" xfId="13024"/>
    <cellStyle name="Normal 11 6 2 2 2 5 3 2" xfId="36445"/>
    <cellStyle name="Normal 11 6 2 2 2 5 4" xfId="20735"/>
    <cellStyle name="Normal 11 6 2 2 2 5 4 2" xfId="43186"/>
    <cellStyle name="Normal 11 6 2 2 2 5 5" xfId="29813"/>
    <cellStyle name="Normal 11 6 2 2 2 6" xfId="7968"/>
    <cellStyle name="Normal 11 6 2 2 2 6 2" xfId="14682"/>
    <cellStyle name="Normal 11 6 2 2 2 6 2 2" xfId="38103"/>
    <cellStyle name="Normal 11 6 2 2 2 6 3" xfId="21597"/>
    <cellStyle name="Normal 11 6 2 2 2 6 3 2" xfId="44046"/>
    <cellStyle name="Normal 11 6 2 2 2 6 4" xfId="31471"/>
    <cellStyle name="Normal 11 6 2 2 2 7" xfId="11364"/>
    <cellStyle name="Normal 11 6 2 2 2 7 2" xfId="34787"/>
    <cellStyle name="Normal 11 6 2 2 2 8" xfId="17961"/>
    <cellStyle name="Normal 11 6 2 2 2 8 2" xfId="41269"/>
    <cellStyle name="Normal 11 6 2 2 2 9" xfId="23541"/>
    <cellStyle name="Normal 11 6 2 2 2 9 2" xfId="45861"/>
    <cellStyle name="Normal 11 6 2 2 3" xfId="2206"/>
    <cellStyle name="Normal 11 6 2 2 3 2" xfId="5477"/>
    <cellStyle name="Normal 11 6 2 2 3 2 2" xfId="7302"/>
    <cellStyle name="Normal 11 6 2 2 3 2 2 2" xfId="10633"/>
    <cellStyle name="Normal 11 6 2 2 3 2 2 2 2" xfId="17337"/>
    <cellStyle name="Normal 11 6 2 2 3 2 2 2 2 2" xfId="40758"/>
    <cellStyle name="Normal 11 6 2 2 3 2 2 2 3" xfId="23054"/>
    <cellStyle name="Normal 11 6 2 2 3 2 2 2 3 2" xfId="45476"/>
    <cellStyle name="Normal 11 6 2 2 3 2 2 2 4" xfId="34126"/>
    <cellStyle name="Normal 11 6 2 2 3 2 2 3" xfId="14021"/>
    <cellStyle name="Normal 11 6 2 2 3 2 2 3 2" xfId="37442"/>
    <cellStyle name="Normal 11 6 2 2 3 2 2 4" xfId="20226"/>
    <cellStyle name="Normal 11 6 2 2 3 2 2 4 2" xfId="42761"/>
    <cellStyle name="Normal 11 6 2 2 3 2 2 5" xfId="30810"/>
    <cellStyle name="Normal 11 6 2 2 3 2 3" xfId="8975"/>
    <cellStyle name="Normal 11 6 2 2 3 2 3 2" xfId="15679"/>
    <cellStyle name="Normal 11 6 2 2 3 2 3 2 2" xfId="39100"/>
    <cellStyle name="Normal 11 6 2 2 3 2 3 3" xfId="21196"/>
    <cellStyle name="Normal 11 6 2 2 3 2 3 3 2" xfId="43647"/>
    <cellStyle name="Normal 11 6 2 2 3 2 3 4" xfId="32468"/>
    <cellStyle name="Normal 11 6 2 2 3 2 4" xfId="12363"/>
    <cellStyle name="Normal 11 6 2 2 3 2 4 2" xfId="22239"/>
    <cellStyle name="Normal 11 6 2 2 3 2 4 2 2" xfId="44661"/>
    <cellStyle name="Normal 11 6 2 2 3 2 4 3" xfId="35784"/>
    <cellStyle name="Normal 11 6 2 2 3 2 5" xfId="19387"/>
    <cellStyle name="Normal 11 6 2 2 3 2 5 2" xfId="41929"/>
    <cellStyle name="Normal 11 6 2 2 3 2 6" xfId="29152"/>
    <cellStyle name="Normal 11 6 2 2 3 3" xfId="6398"/>
    <cellStyle name="Normal 11 6 2 2 3 3 2" xfId="9732"/>
    <cellStyle name="Normal 11 6 2 2 3 3 2 2" xfId="16436"/>
    <cellStyle name="Normal 11 6 2 2 3 3 2 2 2" xfId="39857"/>
    <cellStyle name="Normal 11 6 2 2 3 3 2 3" xfId="22647"/>
    <cellStyle name="Normal 11 6 2 2 3 3 2 3 2" xfId="45069"/>
    <cellStyle name="Normal 11 6 2 2 3 3 2 4" xfId="33225"/>
    <cellStyle name="Normal 11 6 2 2 3 3 3" xfId="13120"/>
    <cellStyle name="Normal 11 6 2 2 3 3 3 2" xfId="36541"/>
    <cellStyle name="Normal 11 6 2 2 3 3 4" xfId="19810"/>
    <cellStyle name="Normal 11 6 2 2 3 3 4 2" xfId="42345"/>
    <cellStyle name="Normal 11 6 2 2 3 3 5" xfId="29909"/>
    <cellStyle name="Normal 11 6 2 2 3 4" xfId="8065"/>
    <cellStyle name="Normal 11 6 2 2 3 4 2" xfId="14778"/>
    <cellStyle name="Normal 11 6 2 2 3 4 2 2" xfId="38199"/>
    <cellStyle name="Normal 11 6 2 2 3 4 3" xfId="20737"/>
    <cellStyle name="Normal 11 6 2 2 3 4 3 2" xfId="43188"/>
    <cellStyle name="Normal 11 6 2 2 3 4 4" xfId="31567"/>
    <cellStyle name="Normal 11 6 2 2 3 5" xfId="11460"/>
    <cellStyle name="Normal 11 6 2 2 3 5 2" xfId="21805"/>
    <cellStyle name="Normal 11 6 2 2 3 5 2 2" xfId="44247"/>
    <cellStyle name="Normal 11 6 2 2 3 5 3" xfId="34883"/>
    <cellStyle name="Normal 11 6 2 2 3 6" xfId="18560"/>
    <cellStyle name="Normal 11 6 2 2 3 6 2" xfId="41504"/>
    <cellStyle name="Normal 11 6 2 2 3 7" xfId="25805"/>
    <cellStyle name="Normal 11 6 2 2 3 7 2" xfId="48050"/>
    <cellStyle name="Normal 11 6 2 2 3 8" xfId="28251"/>
    <cellStyle name="Normal 11 6 2 2 4" xfId="2668"/>
    <cellStyle name="Normal 11 6 2 2 4 2" xfId="5761"/>
    <cellStyle name="Normal 11 6 2 2 4 2 2" xfId="7543"/>
    <cellStyle name="Normal 11 6 2 2 4 2 2 2" xfId="10872"/>
    <cellStyle name="Normal 11 6 2 2 4 2 2 2 2" xfId="17576"/>
    <cellStyle name="Normal 11 6 2 2 4 2 2 2 2 2" xfId="40997"/>
    <cellStyle name="Normal 11 6 2 2 4 2 2 2 3" xfId="34365"/>
    <cellStyle name="Normal 11 6 2 2 4 2 2 3" xfId="14260"/>
    <cellStyle name="Normal 11 6 2 2 4 2 2 3 2" xfId="37681"/>
    <cellStyle name="Normal 11 6 2 2 4 2 2 4" xfId="22854"/>
    <cellStyle name="Normal 11 6 2 2 4 2 2 4 2" xfId="45276"/>
    <cellStyle name="Normal 11 6 2 2 4 2 2 5" xfId="31049"/>
    <cellStyle name="Normal 11 6 2 2 4 2 3" xfId="9214"/>
    <cellStyle name="Normal 11 6 2 2 4 2 3 2" xfId="15918"/>
    <cellStyle name="Normal 11 6 2 2 4 2 3 2 2" xfId="39339"/>
    <cellStyle name="Normal 11 6 2 2 4 2 3 3" xfId="32707"/>
    <cellStyle name="Normal 11 6 2 2 4 2 4" xfId="12602"/>
    <cellStyle name="Normal 11 6 2 2 4 2 4 2" xfId="36023"/>
    <cellStyle name="Normal 11 6 2 2 4 2 5" xfId="20018"/>
    <cellStyle name="Normal 11 6 2 2 4 2 5 2" xfId="42553"/>
    <cellStyle name="Normal 11 6 2 2 4 2 6" xfId="29391"/>
    <cellStyle name="Normal 11 6 2 2 4 3" xfId="6644"/>
    <cellStyle name="Normal 11 6 2 2 4 3 2" xfId="9976"/>
    <cellStyle name="Normal 11 6 2 2 4 3 2 2" xfId="16680"/>
    <cellStyle name="Normal 11 6 2 2 4 3 2 2 2" xfId="40101"/>
    <cellStyle name="Normal 11 6 2 2 4 3 2 3" xfId="33469"/>
    <cellStyle name="Normal 11 6 2 2 4 3 3" xfId="13364"/>
    <cellStyle name="Normal 11 6 2 2 4 3 3 2" xfId="36785"/>
    <cellStyle name="Normal 11 6 2 2 4 3 4" xfId="21193"/>
    <cellStyle name="Normal 11 6 2 2 4 3 4 2" xfId="43644"/>
    <cellStyle name="Normal 11 6 2 2 4 3 5" xfId="30153"/>
    <cellStyle name="Normal 11 6 2 2 4 4" xfId="8310"/>
    <cellStyle name="Normal 11 6 2 2 4 4 2" xfId="15022"/>
    <cellStyle name="Normal 11 6 2 2 4 4 2 2" xfId="38443"/>
    <cellStyle name="Normal 11 6 2 2 4 4 3" xfId="22026"/>
    <cellStyle name="Normal 11 6 2 2 4 4 3 2" xfId="44454"/>
    <cellStyle name="Normal 11 6 2 2 4 4 4" xfId="31811"/>
    <cellStyle name="Normal 11 6 2 2 4 5" xfId="11704"/>
    <cellStyle name="Normal 11 6 2 2 4 5 2" xfId="35127"/>
    <cellStyle name="Normal 11 6 2 2 4 6" xfId="19164"/>
    <cellStyle name="Normal 11 6 2 2 4 6 2" xfId="41721"/>
    <cellStyle name="Normal 11 6 2 2 4 7" xfId="28495"/>
    <cellStyle name="Normal 11 6 2 2 5" xfId="3842"/>
    <cellStyle name="Normal 11 6 2 2 5 2" xfId="6954"/>
    <cellStyle name="Normal 11 6 2 2 5 2 2" xfId="10286"/>
    <cellStyle name="Normal 11 6 2 2 5 2 2 2" xfId="16990"/>
    <cellStyle name="Normal 11 6 2 2 5 2 2 2 2" xfId="40411"/>
    <cellStyle name="Normal 11 6 2 2 5 2 2 3" xfId="33779"/>
    <cellStyle name="Normal 11 6 2 2 5 2 3" xfId="13674"/>
    <cellStyle name="Normal 11 6 2 2 5 2 3 2" xfId="37095"/>
    <cellStyle name="Normal 11 6 2 2 5 2 4" xfId="22447"/>
    <cellStyle name="Normal 11 6 2 2 5 2 4 2" xfId="44869"/>
    <cellStyle name="Normal 11 6 2 2 5 2 5" xfId="30463"/>
    <cellStyle name="Normal 11 6 2 2 5 3" xfId="8621"/>
    <cellStyle name="Normal 11 6 2 2 5 3 2" xfId="15332"/>
    <cellStyle name="Normal 11 6 2 2 5 3 2 2" xfId="38753"/>
    <cellStyle name="Normal 11 6 2 2 5 3 3" xfId="32121"/>
    <cellStyle name="Normal 11 6 2 2 5 4" xfId="12014"/>
    <cellStyle name="Normal 11 6 2 2 5 4 2" xfId="35437"/>
    <cellStyle name="Normal 11 6 2 2 5 5" xfId="19600"/>
    <cellStyle name="Normal 11 6 2 2 5 5 2" xfId="42137"/>
    <cellStyle name="Normal 11 6 2 2 5 6" xfId="28805"/>
    <cellStyle name="Normal 11 6 2 2 6" xfId="6171"/>
    <cellStyle name="Normal 11 6 2 2 6 2" xfId="9505"/>
    <cellStyle name="Normal 11 6 2 2 6 2 2" xfId="16209"/>
    <cellStyle name="Normal 11 6 2 2 6 2 2 2" xfId="39630"/>
    <cellStyle name="Normal 11 6 2 2 6 2 3" xfId="32998"/>
    <cellStyle name="Normal 11 6 2 2 6 3" xfId="12893"/>
    <cellStyle name="Normal 11 6 2 2 6 3 2" xfId="36314"/>
    <cellStyle name="Normal 11 6 2 2 6 4" xfId="20734"/>
    <cellStyle name="Normal 11 6 2 2 6 4 2" xfId="43185"/>
    <cellStyle name="Normal 11 6 2 2 6 5" xfId="29682"/>
    <cellStyle name="Normal 11 6 2 2 7" xfId="7837"/>
    <cellStyle name="Normal 11 6 2 2 7 2" xfId="14551"/>
    <cellStyle name="Normal 11 6 2 2 7 2 2" xfId="37972"/>
    <cellStyle name="Normal 11 6 2 2 7 3" xfId="21596"/>
    <cellStyle name="Normal 11 6 2 2 7 3 2" xfId="44045"/>
    <cellStyle name="Normal 11 6 2 2 7 4" xfId="31340"/>
    <cellStyle name="Normal 11 6 2 2 8" xfId="11233"/>
    <cellStyle name="Normal 11 6 2 2 8 2" xfId="34656"/>
    <cellStyle name="Normal 11 6 2 2 9" xfId="17960"/>
    <cellStyle name="Normal 11 6 2 2 9 2" xfId="41268"/>
    <cellStyle name="Normal 11 6 2 3" xfId="1765"/>
    <cellStyle name="Normal 11 6 2 3 10" xfId="28117"/>
    <cellStyle name="Normal 11 6 2 3 2" xfId="2208"/>
    <cellStyle name="Normal 11 6 2 3 2 2" xfId="5479"/>
    <cellStyle name="Normal 11 6 2 3 2 2 2" xfId="7304"/>
    <cellStyle name="Normal 11 6 2 3 2 2 2 2" xfId="10635"/>
    <cellStyle name="Normal 11 6 2 3 2 2 2 2 2" xfId="17339"/>
    <cellStyle name="Normal 11 6 2 3 2 2 2 2 2 2" xfId="40760"/>
    <cellStyle name="Normal 11 6 2 3 2 2 2 2 3" xfId="23056"/>
    <cellStyle name="Normal 11 6 2 3 2 2 2 2 3 2" xfId="45478"/>
    <cellStyle name="Normal 11 6 2 3 2 2 2 2 4" xfId="34128"/>
    <cellStyle name="Normal 11 6 2 3 2 2 2 3" xfId="14023"/>
    <cellStyle name="Normal 11 6 2 3 2 2 2 3 2" xfId="37444"/>
    <cellStyle name="Normal 11 6 2 3 2 2 2 4" xfId="20228"/>
    <cellStyle name="Normal 11 6 2 3 2 2 2 4 2" xfId="42763"/>
    <cellStyle name="Normal 11 6 2 3 2 2 2 5" xfId="30812"/>
    <cellStyle name="Normal 11 6 2 3 2 2 3" xfId="8977"/>
    <cellStyle name="Normal 11 6 2 3 2 2 3 2" xfId="15681"/>
    <cellStyle name="Normal 11 6 2 3 2 2 3 2 2" xfId="39102"/>
    <cellStyle name="Normal 11 6 2 3 2 2 3 3" xfId="21198"/>
    <cellStyle name="Normal 11 6 2 3 2 2 3 3 2" xfId="43649"/>
    <cellStyle name="Normal 11 6 2 3 2 2 3 4" xfId="32470"/>
    <cellStyle name="Normal 11 6 2 3 2 2 4" xfId="12365"/>
    <cellStyle name="Normal 11 6 2 3 2 2 4 2" xfId="22241"/>
    <cellStyle name="Normal 11 6 2 3 2 2 4 2 2" xfId="44663"/>
    <cellStyle name="Normal 11 6 2 3 2 2 4 3" xfId="35786"/>
    <cellStyle name="Normal 11 6 2 3 2 2 5" xfId="19389"/>
    <cellStyle name="Normal 11 6 2 3 2 2 5 2" xfId="41931"/>
    <cellStyle name="Normal 11 6 2 3 2 2 6" xfId="29154"/>
    <cellStyle name="Normal 11 6 2 3 2 3" xfId="6400"/>
    <cellStyle name="Normal 11 6 2 3 2 3 2" xfId="9734"/>
    <cellStyle name="Normal 11 6 2 3 2 3 2 2" xfId="16438"/>
    <cellStyle name="Normal 11 6 2 3 2 3 2 2 2" xfId="39859"/>
    <cellStyle name="Normal 11 6 2 3 2 3 2 3" xfId="22649"/>
    <cellStyle name="Normal 11 6 2 3 2 3 2 3 2" xfId="45071"/>
    <cellStyle name="Normal 11 6 2 3 2 3 2 4" xfId="33227"/>
    <cellStyle name="Normal 11 6 2 3 2 3 3" xfId="13122"/>
    <cellStyle name="Normal 11 6 2 3 2 3 3 2" xfId="36543"/>
    <cellStyle name="Normal 11 6 2 3 2 3 4" xfId="19812"/>
    <cellStyle name="Normal 11 6 2 3 2 3 4 2" xfId="42347"/>
    <cellStyle name="Normal 11 6 2 3 2 3 5" xfId="29911"/>
    <cellStyle name="Normal 11 6 2 3 2 4" xfId="8067"/>
    <cellStyle name="Normal 11 6 2 3 2 4 2" xfId="14780"/>
    <cellStyle name="Normal 11 6 2 3 2 4 2 2" xfId="38201"/>
    <cellStyle name="Normal 11 6 2 3 2 4 3" xfId="20739"/>
    <cellStyle name="Normal 11 6 2 3 2 4 3 2" xfId="43190"/>
    <cellStyle name="Normal 11 6 2 3 2 4 4" xfId="31569"/>
    <cellStyle name="Normal 11 6 2 3 2 5" xfId="11462"/>
    <cellStyle name="Normal 11 6 2 3 2 5 2" xfId="21807"/>
    <cellStyle name="Normal 11 6 2 3 2 5 2 2" xfId="44249"/>
    <cellStyle name="Normal 11 6 2 3 2 5 3" xfId="34885"/>
    <cellStyle name="Normal 11 6 2 3 2 6" xfId="18562"/>
    <cellStyle name="Normal 11 6 2 3 2 6 2" xfId="41506"/>
    <cellStyle name="Normal 11 6 2 3 2 7" xfId="25807"/>
    <cellStyle name="Normal 11 6 2 3 2 7 2" xfId="48052"/>
    <cellStyle name="Normal 11 6 2 3 2 8" xfId="28253"/>
    <cellStyle name="Normal 11 6 2 3 3" xfId="2762"/>
    <cellStyle name="Normal 11 6 2 3 3 2" xfId="5854"/>
    <cellStyle name="Normal 11 6 2 3 3 2 2" xfId="7636"/>
    <cellStyle name="Normal 11 6 2 3 3 2 2 2" xfId="10965"/>
    <cellStyle name="Normal 11 6 2 3 3 2 2 2 2" xfId="17669"/>
    <cellStyle name="Normal 11 6 2 3 3 2 2 2 2 2" xfId="41090"/>
    <cellStyle name="Normal 11 6 2 3 3 2 2 2 3" xfId="34458"/>
    <cellStyle name="Normal 11 6 2 3 3 2 2 3" xfId="14353"/>
    <cellStyle name="Normal 11 6 2 3 3 2 2 3 2" xfId="37774"/>
    <cellStyle name="Normal 11 6 2 3 3 2 2 4" xfId="22856"/>
    <cellStyle name="Normal 11 6 2 3 3 2 2 4 2" xfId="45278"/>
    <cellStyle name="Normal 11 6 2 3 3 2 2 5" xfId="31142"/>
    <cellStyle name="Normal 11 6 2 3 3 2 3" xfId="9307"/>
    <cellStyle name="Normal 11 6 2 3 3 2 3 2" xfId="16011"/>
    <cellStyle name="Normal 11 6 2 3 3 2 3 2 2" xfId="39432"/>
    <cellStyle name="Normal 11 6 2 3 3 2 3 3" xfId="32800"/>
    <cellStyle name="Normal 11 6 2 3 3 2 4" xfId="12695"/>
    <cellStyle name="Normal 11 6 2 3 3 2 4 2" xfId="36116"/>
    <cellStyle name="Normal 11 6 2 3 3 2 5" xfId="20020"/>
    <cellStyle name="Normal 11 6 2 3 3 2 5 2" xfId="42555"/>
    <cellStyle name="Normal 11 6 2 3 3 2 6" xfId="29484"/>
    <cellStyle name="Normal 11 6 2 3 3 3" xfId="6737"/>
    <cellStyle name="Normal 11 6 2 3 3 3 2" xfId="10069"/>
    <cellStyle name="Normal 11 6 2 3 3 3 2 2" xfId="16773"/>
    <cellStyle name="Normal 11 6 2 3 3 3 2 2 2" xfId="40194"/>
    <cellStyle name="Normal 11 6 2 3 3 3 2 3" xfId="33562"/>
    <cellStyle name="Normal 11 6 2 3 3 3 3" xfId="13457"/>
    <cellStyle name="Normal 11 6 2 3 3 3 3 2" xfId="36878"/>
    <cellStyle name="Normal 11 6 2 3 3 3 4" xfId="21197"/>
    <cellStyle name="Normal 11 6 2 3 3 3 4 2" xfId="43648"/>
    <cellStyle name="Normal 11 6 2 3 3 3 5" xfId="30246"/>
    <cellStyle name="Normal 11 6 2 3 3 4" xfId="8403"/>
    <cellStyle name="Normal 11 6 2 3 3 4 2" xfId="15115"/>
    <cellStyle name="Normal 11 6 2 3 3 4 2 2" xfId="38536"/>
    <cellStyle name="Normal 11 6 2 3 3 4 3" xfId="22028"/>
    <cellStyle name="Normal 11 6 2 3 3 4 3 2" xfId="44456"/>
    <cellStyle name="Normal 11 6 2 3 3 4 4" xfId="31904"/>
    <cellStyle name="Normal 11 6 2 3 3 5" xfId="11797"/>
    <cellStyle name="Normal 11 6 2 3 3 5 2" xfId="35220"/>
    <cellStyle name="Normal 11 6 2 3 3 6" xfId="19166"/>
    <cellStyle name="Normal 11 6 2 3 3 6 2" xfId="41723"/>
    <cellStyle name="Normal 11 6 2 3 3 7" xfId="28588"/>
    <cellStyle name="Normal 11 6 2 3 4" xfId="3844"/>
    <cellStyle name="Normal 11 6 2 3 4 2" xfId="6956"/>
    <cellStyle name="Normal 11 6 2 3 4 2 2" xfId="10288"/>
    <cellStyle name="Normal 11 6 2 3 4 2 2 2" xfId="16992"/>
    <cellStyle name="Normal 11 6 2 3 4 2 2 2 2" xfId="40413"/>
    <cellStyle name="Normal 11 6 2 3 4 2 2 3" xfId="33781"/>
    <cellStyle name="Normal 11 6 2 3 4 2 3" xfId="13676"/>
    <cellStyle name="Normal 11 6 2 3 4 2 3 2" xfId="37097"/>
    <cellStyle name="Normal 11 6 2 3 4 2 4" xfId="22449"/>
    <cellStyle name="Normal 11 6 2 3 4 2 4 2" xfId="44871"/>
    <cellStyle name="Normal 11 6 2 3 4 2 5" xfId="30465"/>
    <cellStyle name="Normal 11 6 2 3 4 3" xfId="8623"/>
    <cellStyle name="Normal 11 6 2 3 4 3 2" xfId="15334"/>
    <cellStyle name="Normal 11 6 2 3 4 3 2 2" xfId="38755"/>
    <cellStyle name="Normal 11 6 2 3 4 3 3" xfId="32123"/>
    <cellStyle name="Normal 11 6 2 3 4 4" xfId="12016"/>
    <cellStyle name="Normal 11 6 2 3 4 4 2" xfId="35439"/>
    <cellStyle name="Normal 11 6 2 3 4 5" xfId="19602"/>
    <cellStyle name="Normal 11 6 2 3 4 5 2" xfId="42139"/>
    <cellStyle name="Normal 11 6 2 3 4 6" xfId="28807"/>
    <cellStyle name="Normal 11 6 2 3 5" xfId="6264"/>
    <cellStyle name="Normal 11 6 2 3 5 2" xfId="9598"/>
    <cellStyle name="Normal 11 6 2 3 5 2 2" xfId="16302"/>
    <cellStyle name="Normal 11 6 2 3 5 2 2 2" xfId="39723"/>
    <cellStyle name="Normal 11 6 2 3 5 2 3" xfId="33091"/>
    <cellStyle name="Normal 11 6 2 3 5 3" xfId="12986"/>
    <cellStyle name="Normal 11 6 2 3 5 3 2" xfId="36407"/>
    <cellStyle name="Normal 11 6 2 3 5 4" xfId="20738"/>
    <cellStyle name="Normal 11 6 2 3 5 4 2" xfId="43189"/>
    <cellStyle name="Normal 11 6 2 3 5 5" xfId="29775"/>
    <cellStyle name="Normal 11 6 2 3 6" xfId="7930"/>
    <cellStyle name="Normal 11 6 2 3 6 2" xfId="14644"/>
    <cellStyle name="Normal 11 6 2 3 6 2 2" xfId="38065"/>
    <cellStyle name="Normal 11 6 2 3 6 3" xfId="21598"/>
    <cellStyle name="Normal 11 6 2 3 6 3 2" xfId="44047"/>
    <cellStyle name="Normal 11 6 2 3 6 4" xfId="31433"/>
    <cellStyle name="Normal 11 6 2 3 7" xfId="11326"/>
    <cellStyle name="Normal 11 6 2 3 7 2" xfId="34749"/>
    <cellStyle name="Normal 11 6 2 3 8" xfId="17962"/>
    <cellStyle name="Normal 11 6 2 3 8 2" xfId="41270"/>
    <cellStyle name="Normal 11 6 2 3 9" xfId="23542"/>
    <cellStyle name="Normal 11 6 2 3 9 2" xfId="45862"/>
    <cellStyle name="Normal 11 6 2 4" xfId="2205"/>
    <cellStyle name="Normal 11 6 2 4 2" xfId="5476"/>
    <cellStyle name="Normal 11 6 2 4 2 2" xfId="7301"/>
    <cellStyle name="Normal 11 6 2 4 2 2 2" xfId="10632"/>
    <cellStyle name="Normal 11 6 2 4 2 2 2 2" xfId="17336"/>
    <cellStyle name="Normal 11 6 2 4 2 2 2 2 2" xfId="40757"/>
    <cellStyle name="Normal 11 6 2 4 2 2 2 3" xfId="23053"/>
    <cellStyle name="Normal 11 6 2 4 2 2 2 3 2" xfId="45475"/>
    <cellStyle name="Normal 11 6 2 4 2 2 2 4" xfId="34125"/>
    <cellStyle name="Normal 11 6 2 4 2 2 3" xfId="14020"/>
    <cellStyle name="Normal 11 6 2 4 2 2 3 2" xfId="37441"/>
    <cellStyle name="Normal 11 6 2 4 2 2 4" xfId="20225"/>
    <cellStyle name="Normal 11 6 2 4 2 2 4 2" xfId="42760"/>
    <cellStyle name="Normal 11 6 2 4 2 2 5" xfId="30809"/>
    <cellStyle name="Normal 11 6 2 4 2 3" xfId="8974"/>
    <cellStyle name="Normal 11 6 2 4 2 3 2" xfId="15678"/>
    <cellStyle name="Normal 11 6 2 4 2 3 2 2" xfId="39099"/>
    <cellStyle name="Normal 11 6 2 4 2 3 3" xfId="21199"/>
    <cellStyle name="Normal 11 6 2 4 2 3 3 2" xfId="43650"/>
    <cellStyle name="Normal 11 6 2 4 2 3 4" xfId="32467"/>
    <cellStyle name="Normal 11 6 2 4 2 4" xfId="12362"/>
    <cellStyle name="Normal 11 6 2 4 2 4 2" xfId="22238"/>
    <cellStyle name="Normal 11 6 2 4 2 4 2 2" xfId="44660"/>
    <cellStyle name="Normal 11 6 2 4 2 4 3" xfId="35783"/>
    <cellStyle name="Normal 11 6 2 4 2 5" xfId="19386"/>
    <cellStyle name="Normal 11 6 2 4 2 5 2" xfId="41928"/>
    <cellStyle name="Normal 11 6 2 4 2 6" xfId="25804"/>
    <cellStyle name="Normal 11 6 2 4 2 6 2" xfId="48049"/>
    <cellStyle name="Normal 11 6 2 4 2 7" xfId="29151"/>
    <cellStyle name="Normal 11 6 2 4 3" xfId="6397"/>
    <cellStyle name="Normal 11 6 2 4 3 2" xfId="9731"/>
    <cellStyle name="Normal 11 6 2 4 3 2 2" xfId="16435"/>
    <cellStyle name="Normal 11 6 2 4 3 2 2 2" xfId="39856"/>
    <cellStyle name="Normal 11 6 2 4 3 2 3" xfId="22646"/>
    <cellStyle name="Normal 11 6 2 4 3 2 3 2" xfId="45068"/>
    <cellStyle name="Normal 11 6 2 4 3 2 4" xfId="33224"/>
    <cellStyle name="Normal 11 6 2 4 3 3" xfId="13119"/>
    <cellStyle name="Normal 11 6 2 4 3 3 2" xfId="36540"/>
    <cellStyle name="Normal 11 6 2 4 3 4" xfId="19809"/>
    <cellStyle name="Normal 11 6 2 4 3 4 2" xfId="42344"/>
    <cellStyle name="Normal 11 6 2 4 3 5" xfId="29908"/>
    <cellStyle name="Normal 11 6 2 4 4" xfId="8064"/>
    <cellStyle name="Normal 11 6 2 4 4 2" xfId="14777"/>
    <cellStyle name="Normal 11 6 2 4 4 2 2" xfId="38198"/>
    <cellStyle name="Normal 11 6 2 4 4 3" xfId="20740"/>
    <cellStyle name="Normal 11 6 2 4 4 3 2" xfId="43191"/>
    <cellStyle name="Normal 11 6 2 4 4 4" xfId="31566"/>
    <cellStyle name="Normal 11 6 2 4 5" xfId="11459"/>
    <cellStyle name="Normal 11 6 2 4 5 2" xfId="21804"/>
    <cellStyle name="Normal 11 6 2 4 5 2 2" xfId="44246"/>
    <cellStyle name="Normal 11 6 2 4 5 3" xfId="34882"/>
    <cellStyle name="Normal 11 6 2 4 6" xfId="18559"/>
    <cellStyle name="Normal 11 6 2 4 6 2" xfId="41503"/>
    <cellStyle name="Normal 11 6 2 4 7" xfId="23439"/>
    <cellStyle name="Normal 11 6 2 4 7 2" xfId="45779"/>
    <cellStyle name="Normal 11 6 2 4 8" xfId="28250"/>
    <cellStyle name="Normal 11 6 2 5" xfId="2630"/>
    <cellStyle name="Normal 11 6 2 5 2" xfId="5723"/>
    <cellStyle name="Normal 11 6 2 5 2 2" xfId="7505"/>
    <cellStyle name="Normal 11 6 2 5 2 2 2" xfId="10834"/>
    <cellStyle name="Normal 11 6 2 5 2 2 2 2" xfId="17538"/>
    <cellStyle name="Normal 11 6 2 5 2 2 2 2 2" xfId="40959"/>
    <cellStyle name="Normal 11 6 2 5 2 2 2 3" xfId="34327"/>
    <cellStyle name="Normal 11 6 2 5 2 2 3" xfId="14222"/>
    <cellStyle name="Normal 11 6 2 5 2 2 3 2" xfId="37643"/>
    <cellStyle name="Normal 11 6 2 5 2 2 4" xfId="20582"/>
    <cellStyle name="Normal 11 6 2 5 2 2 4 2" xfId="43033"/>
    <cellStyle name="Normal 11 6 2 5 2 2 5" xfId="31011"/>
    <cellStyle name="Normal 11 6 2 5 2 3" xfId="9176"/>
    <cellStyle name="Normal 11 6 2 5 2 3 2" xfId="15880"/>
    <cellStyle name="Normal 11 6 2 5 2 3 2 2" xfId="39301"/>
    <cellStyle name="Normal 11 6 2 5 2 3 3" xfId="21500"/>
    <cellStyle name="Normal 11 6 2 5 2 3 3 2" xfId="43951"/>
    <cellStyle name="Normal 11 6 2 5 2 3 4" xfId="32669"/>
    <cellStyle name="Normal 11 6 2 5 2 4" xfId="12564"/>
    <cellStyle name="Normal 11 6 2 5 2 4 2" xfId="22853"/>
    <cellStyle name="Normal 11 6 2 5 2 4 2 2" xfId="45275"/>
    <cellStyle name="Normal 11 6 2 5 2 4 3" xfId="35985"/>
    <cellStyle name="Normal 11 6 2 5 2 5" xfId="20017"/>
    <cellStyle name="Normal 11 6 2 5 2 5 2" xfId="42552"/>
    <cellStyle name="Normal 11 6 2 5 2 6" xfId="27926"/>
    <cellStyle name="Normal 11 6 2 5 2 6 2" xfId="50171"/>
    <cellStyle name="Normal 11 6 2 5 2 7" xfId="29353"/>
    <cellStyle name="Normal 11 6 2 5 3" xfId="6606"/>
    <cellStyle name="Normal 11 6 2 5 3 2" xfId="9938"/>
    <cellStyle name="Normal 11 6 2 5 3 2 2" xfId="16642"/>
    <cellStyle name="Normal 11 6 2 5 3 2 2 2" xfId="40063"/>
    <cellStyle name="Normal 11 6 2 5 3 2 3" xfId="33431"/>
    <cellStyle name="Normal 11 6 2 5 3 3" xfId="13326"/>
    <cellStyle name="Normal 11 6 2 5 3 3 2" xfId="36747"/>
    <cellStyle name="Normal 11 6 2 5 3 4" xfId="20484"/>
    <cellStyle name="Normal 11 6 2 5 3 4 2" xfId="42937"/>
    <cellStyle name="Normal 11 6 2 5 3 5" xfId="30115"/>
    <cellStyle name="Normal 11 6 2 5 4" xfId="8272"/>
    <cellStyle name="Normal 11 6 2 5 4 2" xfId="14984"/>
    <cellStyle name="Normal 11 6 2 5 4 2 2" xfId="38405"/>
    <cellStyle name="Normal 11 6 2 5 4 3" xfId="21041"/>
    <cellStyle name="Normal 11 6 2 5 4 3 2" xfId="43492"/>
    <cellStyle name="Normal 11 6 2 5 4 4" xfId="31773"/>
    <cellStyle name="Normal 11 6 2 5 5" xfId="11666"/>
    <cellStyle name="Normal 11 6 2 5 5 2" xfId="22025"/>
    <cellStyle name="Normal 11 6 2 5 5 2 2" xfId="44453"/>
    <cellStyle name="Normal 11 6 2 5 5 3" xfId="35089"/>
    <cellStyle name="Normal 11 6 2 5 6" xfId="19163"/>
    <cellStyle name="Normal 11 6 2 5 6 2" xfId="41720"/>
    <cellStyle name="Normal 11 6 2 5 7" xfId="25621"/>
    <cellStyle name="Normal 11 6 2 5 7 2" xfId="47866"/>
    <cellStyle name="Normal 11 6 2 5 8" xfId="28457"/>
    <cellStyle name="Normal 11 6 2 6" xfId="3841"/>
    <cellStyle name="Normal 11 6 2 6 2" xfId="6953"/>
    <cellStyle name="Normal 11 6 2 6 2 2" xfId="10285"/>
    <cellStyle name="Normal 11 6 2 6 2 2 2" xfId="16989"/>
    <cellStyle name="Normal 11 6 2 6 2 2 2 2" xfId="40410"/>
    <cellStyle name="Normal 11 6 2 6 2 2 3" xfId="33778"/>
    <cellStyle name="Normal 11 6 2 6 2 3" xfId="13673"/>
    <cellStyle name="Normal 11 6 2 6 2 3 2" xfId="37094"/>
    <cellStyle name="Normal 11 6 2 6 2 4" xfId="20529"/>
    <cellStyle name="Normal 11 6 2 6 2 4 2" xfId="42982"/>
    <cellStyle name="Normal 11 6 2 6 2 5" xfId="30462"/>
    <cellStyle name="Normal 11 6 2 6 3" xfId="8620"/>
    <cellStyle name="Normal 11 6 2 6 3 2" xfId="15331"/>
    <cellStyle name="Normal 11 6 2 6 3 2 2" xfId="38752"/>
    <cellStyle name="Normal 11 6 2 6 3 3" xfId="21192"/>
    <cellStyle name="Normal 11 6 2 6 3 3 2" xfId="43643"/>
    <cellStyle name="Normal 11 6 2 6 3 4" xfId="32120"/>
    <cellStyle name="Normal 11 6 2 6 4" xfId="12013"/>
    <cellStyle name="Normal 11 6 2 6 4 2" xfId="22446"/>
    <cellStyle name="Normal 11 6 2 6 4 2 2" xfId="44868"/>
    <cellStyle name="Normal 11 6 2 6 4 3" xfId="35436"/>
    <cellStyle name="Normal 11 6 2 6 5" xfId="19599"/>
    <cellStyle name="Normal 11 6 2 6 5 2" xfId="42136"/>
    <cellStyle name="Normal 11 6 2 6 6" xfId="25658"/>
    <cellStyle name="Normal 11 6 2 6 6 2" xfId="47903"/>
    <cellStyle name="Normal 11 6 2 6 7" xfId="28804"/>
    <cellStyle name="Normal 11 6 2 7" xfId="6133"/>
    <cellStyle name="Normal 11 6 2 7 2" xfId="9467"/>
    <cellStyle name="Normal 11 6 2 7 2 2" xfId="16171"/>
    <cellStyle name="Normal 11 6 2 7 2 2 2" xfId="39592"/>
    <cellStyle name="Normal 11 6 2 7 2 3" xfId="32960"/>
    <cellStyle name="Normal 11 6 2 7 3" xfId="12855"/>
    <cellStyle name="Normal 11 6 2 7 3 2" xfId="36276"/>
    <cellStyle name="Normal 11 6 2 7 4" xfId="17850"/>
    <cellStyle name="Normal 11 6 2 7 4 2" xfId="41200"/>
    <cellStyle name="Normal 11 6 2 7 5" xfId="29644"/>
    <cellStyle name="Normal 11 6 2 8" xfId="7799"/>
    <cellStyle name="Normal 11 6 2 8 2" xfId="14513"/>
    <cellStyle name="Normal 11 6 2 8 2 2" xfId="37934"/>
    <cellStyle name="Normal 11 6 2 8 3" xfId="20733"/>
    <cellStyle name="Normal 11 6 2 8 3 2" xfId="43184"/>
    <cellStyle name="Normal 11 6 2 8 4" xfId="31302"/>
    <cellStyle name="Normal 11 6 2 9" xfId="11195"/>
    <cellStyle name="Normal 11 6 2 9 2" xfId="21595"/>
    <cellStyle name="Normal 11 6 2 9 2 2" xfId="44044"/>
    <cellStyle name="Normal 11 6 2 9 3" xfId="34618"/>
    <cellStyle name="Normal 11 6 3" xfId="1582"/>
    <cellStyle name="Normal 11 6 3 10" xfId="23543"/>
    <cellStyle name="Normal 11 6 3 10 2" xfId="45863"/>
    <cellStyle name="Normal 11 6 3 11" xfId="28023"/>
    <cellStyle name="Normal 11 6 3 2" xfId="1802"/>
    <cellStyle name="Normal 11 6 3 2 10" xfId="28154"/>
    <cellStyle name="Normal 11 6 3 2 2" xfId="2210"/>
    <cellStyle name="Normal 11 6 3 2 2 2" xfId="5481"/>
    <cellStyle name="Normal 11 6 3 2 2 2 2" xfId="7306"/>
    <cellStyle name="Normal 11 6 3 2 2 2 2 2" xfId="10637"/>
    <cellStyle name="Normal 11 6 3 2 2 2 2 2 2" xfId="17341"/>
    <cellStyle name="Normal 11 6 3 2 2 2 2 2 2 2" xfId="40762"/>
    <cellStyle name="Normal 11 6 3 2 2 2 2 2 3" xfId="23058"/>
    <cellStyle name="Normal 11 6 3 2 2 2 2 2 3 2" xfId="45480"/>
    <cellStyle name="Normal 11 6 3 2 2 2 2 2 4" xfId="34130"/>
    <cellStyle name="Normal 11 6 3 2 2 2 2 3" xfId="14025"/>
    <cellStyle name="Normal 11 6 3 2 2 2 2 3 2" xfId="37446"/>
    <cellStyle name="Normal 11 6 3 2 2 2 2 4" xfId="20230"/>
    <cellStyle name="Normal 11 6 3 2 2 2 2 4 2" xfId="42765"/>
    <cellStyle name="Normal 11 6 3 2 2 2 2 5" xfId="30814"/>
    <cellStyle name="Normal 11 6 3 2 2 2 3" xfId="8979"/>
    <cellStyle name="Normal 11 6 3 2 2 2 3 2" xfId="15683"/>
    <cellStyle name="Normal 11 6 3 2 2 2 3 2 2" xfId="39104"/>
    <cellStyle name="Normal 11 6 3 2 2 2 3 3" xfId="21202"/>
    <cellStyle name="Normal 11 6 3 2 2 2 3 3 2" xfId="43653"/>
    <cellStyle name="Normal 11 6 3 2 2 2 3 4" xfId="32472"/>
    <cellStyle name="Normal 11 6 3 2 2 2 4" xfId="12367"/>
    <cellStyle name="Normal 11 6 3 2 2 2 4 2" xfId="22243"/>
    <cellStyle name="Normal 11 6 3 2 2 2 4 2 2" xfId="44665"/>
    <cellStyle name="Normal 11 6 3 2 2 2 4 3" xfId="35788"/>
    <cellStyle name="Normal 11 6 3 2 2 2 5" xfId="19391"/>
    <cellStyle name="Normal 11 6 3 2 2 2 5 2" xfId="41933"/>
    <cellStyle name="Normal 11 6 3 2 2 2 6" xfId="29156"/>
    <cellStyle name="Normal 11 6 3 2 2 3" xfId="6402"/>
    <cellStyle name="Normal 11 6 3 2 2 3 2" xfId="9736"/>
    <cellStyle name="Normal 11 6 3 2 2 3 2 2" xfId="16440"/>
    <cellStyle name="Normal 11 6 3 2 2 3 2 2 2" xfId="39861"/>
    <cellStyle name="Normal 11 6 3 2 2 3 2 3" xfId="22651"/>
    <cellStyle name="Normal 11 6 3 2 2 3 2 3 2" xfId="45073"/>
    <cellStyle name="Normal 11 6 3 2 2 3 2 4" xfId="33229"/>
    <cellStyle name="Normal 11 6 3 2 2 3 3" xfId="13124"/>
    <cellStyle name="Normal 11 6 3 2 2 3 3 2" xfId="36545"/>
    <cellStyle name="Normal 11 6 3 2 2 3 4" xfId="19814"/>
    <cellStyle name="Normal 11 6 3 2 2 3 4 2" xfId="42349"/>
    <cellStyle name="Normal 11 6 3 2 2 3 5" xfId="29913"/>
    <cellStyle name="Normal 11 6 3 2 2 4" xfId="8069"/>
    <cellStyle name="Normal 11 6 3 2 2 4 2" xfId="14782"/>
    <cellStyle name="Normal 11 6 3 2 2 4 2 2" xfId="38203"/>
    <cellStyle name="Normal 11 6 3 2 2 4 3" xfId="20743"/>
    <cellStyle name="Normal 11 6 3 2 2 4 3 2" xfId="43194"/>
    <cellStyle name="Normal 11 6 3 2 2 4 4" xfId="31571"/>
    <cellStyle name="Normal 11 6 3 2 2 5" xfId="11464"/>
    <cellStyle name="Normal 11 6 3 2 2 5 2" xfId="21809"/>
    <cellStyle name="Normal 11 6 3 2 2 5 2 2" xfId="44251"/>
    <cellStyle name="Normal 11 6 3 2 2 5 3" xfId="34887"/>
    <cellStyle name="Normal 11 6 3 2 2 6" xfId="18564"/>
    <cellStyle name="Normal 11 6 3 2 2 6 2" xfId="41508"/>
    <cellStyle name="Normal 11 6 3 2 2 7" xfId="25809"/>
    <cellStyle name="Normal 11 6 3 2 2 7 2" xfId="48054"/>
    <cellStyle name="Normal 11 6 3 2 2 8" xfId="28255"/>
    <cellStyle name="Normal 11 6 3 2 3" xfId="2799"/>
    <cellStyle name="Normal 11 6 3 2 3 2" xfId="5891"/>
    <cellStyle name="Normal 11 6 3 2 3 2 2" xfId="7673"/>
    <cellStyle name="Normal 11 6 3 2 3 2 2 2" xfId="11002"/>
    <cellStyle name="Normal 11 6 3 2 3 2 2 2 2" xfId="17706"/>
    <cellStyle name="Normal 11 6 3 2 3 2 2 2 2 2" xfId="41127"/>
    <cellStyle name="Normal 11 6 3 2 3 2 2 2 3" xfId="34495"/>
    <cellStyle name="Normal 11 6 3 2 3 2 2 3" xfId="14390"/>
    <cellStyle name="Normal 11 6 3 2 3 2 2 3 2" xfId="37811"/>
    <cellStyle name="Normal 11 6 3 2 3 2 2 4" xfId="22858"/>
    <cellStyle name="Normal 11 6 3 2 3 2 2 4 2" xfId="45280"/>
    <cellStyle name="Normal 11 6 3 2 3 2 2 5" xfId="31179"/>
    <cellStyle name="Normal 11 6 3 2 3 2 3" xfId="9344"/>
    <cellStyle name="Normal 11 6 3 2 3 2 3 2" xfId="16048"/>
    <cellStyle name="Normal 11 6 3 2 3 2 3 2 2" xfId="39469"/>
    <cellStyle name="Normal 11 6 3 2 3 2 3 3" xfId="32837"/>
    <cellStyle name="Normal 11 6 3 2 3 2 4" xfId="12732"/>
    <cellStyle name="Normal 11 6 3 2 3 2 4 2" xfId="36153"/>
    <cellStyle name="Normal 11 6 3 2 3 2 5" xfId="20022"/>
    <cellStyle name="Normal 11 6 3 2 3 2 5 2" xfId="42557"/>
    <cellStyle name="Normal 11 6 3 2 3 2 6" xfId="29521"/>
    <cellStyle name="Normal 11 6 3 2 3 3" xfId="6774"/>
    <cellStyle name="Normal 11 6 3 2 3 3 2" xfId="10106"/>
    <cellStyle name="Normal 11 6 3 2 3 3 2 2" xfId="16810"/>
    <cellStyle name="Normal 11 6 3 2 3 3 2 2 2" xfId="40231"/>
    <cellStyle name="Normal 11 6 3 2 3 3 2 3" xfId="33599"/>
    <cellStyle name="Normal 11 6 3 2 3 3 3" xfId="13494"/>
    <cellStyle name="Normal 11 6 3 2 3 3 3 2" xfId="36915"/>
    <cellStyle name="Normal 11 6 3 2 3 3 4" xfId="21201"/>
    <cellStyle name="Normal 11 6 3 2 3 3 4 2" xfId="43652"/>
    <cellStyle name="Normal 11 6 3 2 3 3 5" xfId="30283"/>
    <cellStyle name="Normal 11 6 3 2 3 4" xfId="8440"/>
    <cellStyle name="Normal 11 6 3 2 3 4 2" xfId="15152"/>
    <cellStyle name="Normal 11 6 3 2 3 4 2 2" xfId="38573"/>
    <cellStyle name="Normal 11 6 3 2 3 4 3" xfId="22030"/>
    <cellStyle name="Normal 11 6 3 2 3 4 3 2" xfId="44458"/>
    <cellStyle name="Normal 11 6 3 2 3 4 4" xfId="31941"/>
    <cellStyle name="Normal 11 6 3 2 3 5" xfId="11834"/>
    <cellStyle name="Normal 11 6 3 2 3 5 2" xfId="35257"/>
    <cellStyle name="Normal 11 6 3 2 3 6" xfId="19168"/>
    <cellStyle name="Normal 11 6 3 2 3 6 2" xfId="41725"/>
    <cellStyle name="Normal 11 6 3 2 3 7" xfId="28625"/>
    <cellStyle name="Normal 11 6 3 2 4" xfId="3846"/>
    <cellStyle name="Normal 11 6 3 2 4 2" xfId="6958"/>
    <cellStyle name="Normal 11 6 3 2 4 2 2" xfId="10290"/>
    <cellStyle name="Normal 11 6 3 2 4 2 2 2" xfId="16994"/>
    <cellStyle name="Normal 11 6 3 2 4 2 2 2 2" xfId="40415"/>
    <cellStyle name="Normal 11 6 3 2 4 2 2 3" xfId="33783"/>
    <cellStyle name="Normal 11 6 3 2 4 2 3" xfId="13678"/>
    <cellStyle name="Normal 11 6 3 2 4 2 3 2" xfId="37099"/>
    <cellStyle name="Normal 11 6 3 2 4 2 4" xfId="22451"/>
    <cellStyle name="Normal 11 6 3 2 4 2 4 2" xfId="44873"/>
    <cellStyle name="Normal 11 6 3 2 4 2 5" xfId="30467"/>
    <cellStyle name="Normal 11 6 3 2 4 3" xfId="8625"/>
    <cellStyle name="Normal 11 6 3 2 4 3 2" xfId="15336"/>
    <cellStyle name="Normal 11 6 3 2 4 3 2 2" xfId="38757"/>
    <cellStyle name="Normal 11 6 3 2 4 3 3" xfId="32125"/>
    <cellStyle name="Normal 11 6 3 2 4 4" xfId="12018"/>
    <cellStyle name="Normal 11 6 3 2 4 4 2" xfId="35441"/>
    <cellStyle name="Normal 11 6 3 2 4 5" xfId="19604"/>
    <cellStyle name="Normal 11 6 3 2 4 5 2" xfId="42141"/>
    <cellStyle name="Normal 11 6 3 2 4 6" xfId="28809"/>
    <cellStyle name="Normal 11 6 3 2 5" xfId="6301"/>
    <cellStyle name="Normal 11 6 3 2 5 2" xfId="9635"/>
    <cellStyle name="Normal 11 6 3 2 5 2 2" xfId="16339"/>
    <cellStyle name="Normal 11 6 3 2 5 2 2 2" xfId="39760"/>
    <cellStyle name="Normal 11 6 3 2 5 2 3" xfId="33128"/>
    <cellStyle name="Normal 11 6 3 2 5 3" xfId="13023"/>
    <cellStyle name="Normal 11 6 3 2 5 3 2" xfId="36444"/>
    <cellStyle name="Normal 11 6 3 2 5 4" xfId="20742"/>
    <cellStyle name="Normal 11 6 3 2 5 4 2" xfId="43193"/>
    <cellStyle name="Normal 11 6 3 2 5 5" xfId="29812"/>
    <cellStyle name="Normal 11 6 3 2 6" xfId="7967"/>
    <cellStyle name="Normal 11 6 3 2 6 2" xfId="14681"/>
    <cellStyle name="Normal 11 6 3 2 6 2 2" xfId="38102"/>
    <cellStyle name="Normal 11 6 3 2 6 3" xfId="21600"/>
    <cellStyle name="Normal 11 6 3 2 6 3 2" xfId="44049"/>
    <cellStyle name="Normal 11 6 3 2 6 4" xfId="31470"/>
    <cellStyle name="Normal 11 6 3 2 7" xfId="11363"/>
    <cellStyle name="Normal 11 6 3 2 7 2" xfId="34786"/>
    <cellStyle name="Normal 11 6 3 2 8" xfId="17964"/>
    <cellStyle name="Normal 11 6 3 2 8 2" xfId="41272"/>
    <cellStyle name="Normal 11 6 3 2 9" xfId="23544"/>
    <cellStyle name="Normal 11 6 3 2 9 2" xfId="45864"/>
    <cellStyle name="Normal 11 6 3 3" xfId="2209"/>
    <cellStyle name="Normal 11 6 3 3 2" xfId="5480"/>
    <cellStyle name="Normal 11 6 3 3 2 2" xfId="7305"/>
    <cellStyle name="Normal 11 6 3 3 2 2 2" xfId="10636"/>
    <cellStyle name="Normal 11 6 3 3 2 2 2 2" xfId="17340"/>
    <cellStyle name="Normal 11 6 3 3 2 2 2 2 2" xfId="40761"/>
    <cellStyle name="Normal 11 6 3 3 2 2 2 3" xfId="23057"/>
    <cellStyle name="Normal 11 6 3 3 2 2 2 3 2" xfId="45479"/>
    <cellStyle name="Normal 11 6 3 3 2 2 2 4" xfId="34129"/>
    <cellStyle name="Normal 11 6 3 3 2 2 3" xfId="14024"/>
    <cellStyle name="Normal 11 6 3 3 2 2 3 2" xfId="37445"/>
    <cellStyle name="Normal 11 6 3 3 2 2 4" xfId="20229"/>
    <cellStyle name="Normal 11 6 3 3 2 2 4 2" xfId="42764"/>
    <cellStyle name="Normal 11 6 3 3 2 2 5" xfId="30813"/>
    <cellStyle name="Normal 11 6 3 3 2 3" xfId="8978"/>
    <cellStyle name="Normal 11 6 3 3 2 3 2" xfId="15682"/>
    <cellStyle name="Normal 11 6 3 3 2 3 2 2" xfId="39103"/>
    <cellStyle name="Normal 11 6 3 3 2 3 3" xfId="21203"/>
    <cellStyle name="Normal 11 6 3 3 2 3 3 2" xfId="43654"/>
    <cellStyle name="Normal 11 6 3 3 2 3 4" xfId="32471"/>
    <cellStyle name="Normal 11 6 3 3 2 4" xfId="12366"/>
    <cellStyle name="Normal 11 6 3 3 2 4 2" xfId="22242"/>
    <cellStyle name="Normal 11 6 3 3 2 4 2 2" xfId="44664"/>
    <cellStyle name="Normal 11 6 3 3 2 4 3" xfId="35787"/>
    <cellStyle name="Normal 11 6 3 3 2 5" xfId="19390"/>
    <cellStyle name="Normal 11 6 3 3 2 5 2" xfId="41932"/>
    <cellStyle name="Normal 11 6 3 3 2 6" xfId="29155"/>
    <cellStyle name="Normal 11 6 3 3 3" xfId="6401"/>
    <cellStyle name="Normal 11 6 3 3 3 2" xfId="9735"/>
    <cellStyle name="Normal 11 6 3 3 3 2 2" xfId="16439"/>
    <cellStyle name="Normal 11 6 3 3 3 2 2 2" xfId="39860"/>
    <cellStyle name="Normal 11 6 3 3 3 2 3" xfId="22650"/>
    <cellStyle name="Normal 11 6 3 3 3 2 3 2" xfId="45072"/>
    <cellStyle name="Normal 11 6 3 3 3 2 4" xfId="33228"/>
    <cellStyle name="Normal 11 6 3 3 3 3" xfId="13123"/>
    <cellStyle name="Normal 11 6 3 3 3 3 2" xfId="36544"/>
    <cellStyle name="Normal 11 6 3 3 3 4" xfId="19813"/>
    <cellStyle name="Normal 11 6 3 3 3 4 2" xfId="42348"/>
    <cellStyle name="Normal 11 6 3 3 3 5" xfId="29912"/>
    <cellStyle name="Normal 11 6 3 3 4" xfId="8068"/>
    <cellStyle name="Normal 11 6 3 3 4 2" xfId="14781"/>
    <cellStyle name="Normal 11 6 3 3 4 2 2" xfId="38202"/>
    <cellStyle name="Normal 11 6 3 3 4 3" xfId="20744"/>
    <cellStyle name="Normal 11 6 3 3 4 3 2" xfId="43195"/>
    <cellStyle name="Normal 11 6 3 3 4 4" xfId="31570"/>
    <cellStyle name="Normal 11 6 3 3 5" xfId="11463"/>
    <cellStyle name="Normal 11 6 3 3 5 2" xfId="21808"/>
    <cellStyle name="Normal 11 6 3 3 5 2 2" xfId="44250"/>
    <cellStyle name="Normal 11 6 3 3 5 3" xfId="34886"/>
    <cellStyle name="Normal 11 6 3 3 6" xfId="18563"/>
    <cellStyle name="Normal 11 6 3 3 6 2" xfId="41507"/>
    <cellStyle name="Normal 11 6 3 3 7" xfId="25808"/>
    <cellStyle name="Normal 11 6 3 3 7 2" xfId="48053"/>
    <cellStyle name="Normal 11 6 3 3 8" xfId="28254"/>
    <cellStyle name="Normal 11 6 3 4" xfId="2667"/>
    <cellStyle name="Normal 11 6 3 4 2" xfId="5760"/>
    <cellStyle name="Normal 11 6 3 4 2 2" xfId="7542"/>
    <cellStyle name="Normal 11 6 3 4 2 2 2" xfId="10871"/>
    <cellStyle name="Normal 11 6 3 4 2 2 2 2" xfId="17575"/>
    <cellStyle name="Normal 11 6 3 4 2 2 2 2 2" xfId="40996"/>
    <cellStyle name="Normal 11 6 3 4 2 2 2 3" xfId="34364"/>
    <cellStyle name="Normal 11 6 3 4 2 2 3" xfId="14259"/>
    <cellStyle name="Normal 11 6 3 4 2 2 3 2" xfId="37680"/>
    <cellStyle name="Normal 11 6 3 4 2 2 4" xfId="22857"/>
    <cellStyle name="Normal 11 6 3 4 2 2 4 2" xfId="45279"/>
    <cellStyle name="Normal 11 6 3 4 2 2 5" xfId="31048"/>
    <cellStyle name="Normal 11 6 3 4 2 3" xfId="9213"/>
    <cellStyle name="Normal 11 6 3 4 2 3 2" xfId="15917"/>
    <cellStyle name="Normal 11 6 3 4 2 3 2 2" xfId="39338"/>
    <cellStyle name="Normal 11 6 3 4 2 3 3" xfId="32706"/>
    <cellStyle name="Normal 11 6 3 4 2 4" xfId="12601"/>
    <cellStyle name="Normal 11 6 3 4 2 4 2" xfId="36022"/>
    <cellStyle name="Normal 11 6 3 4 2 5" xfId="20021"/>
    <cellStyle name="Normal 11 6 3 4 2 5 2" xfId="42556"/>
    <cellStyle name="Normal 11 6 3 4 2 6" xfId="29390"/>
    <cellStyle name="Normal 11 6 3 4 3" xfId="6643"/>
    <cellStyle name="Normal 11 6 3 4 3 2" xfId="9975"/>
    <cellStyle name="Normal 11 6 3 4 3 2 2" xfId="16679"/>
    <cellStyle name="Normal 11 6 3 4 3 2 2 2" xfId="40100"/>
    <cellStyle name="Normal 11 6 3 4 3 2 3" xfId="33468"/>
    <cellStyle name="Normal 11 6 3 4 3 3" xfId="13363"/>
    <cellStyle name="Normal 11 6 3 4 3 3 2" xfId="36784"/>
    <cellStyle name="Normal 11 6 3 4 3 4" xfId="21200"/>
    <cellStyle name="Normal 11 6 3 4 3 4 2" xfId="43651"/>
    <cellStyle name="Normal 11 6 3 4 3 5" xfId="30152"/>
    <cellStyle name="Normal 11 6 3 4 4" xfId="8309"/>
    <cellStyle name="Normal 11 6 3 4 4 2" xfId="15021"/>
    <cellStyle name="Normal 11 6 3 4 4 2 2" xfId="38442"/>
    <cellStyle name="Normal 11 6 3 4 4 3" xfId="22029"/>
    <cellStyle name="Normal 11 6 3 4 4 3 2" xfId="44457"/>
    <cellStyle name="Normal 11 6 3 4 4 4" xfId="31810"/>
    <cellStyle name="Normal 11 6 3 4 5" xfId="11703"/>
    <cellStyle name="Normal 11 6 3 4 5 2" xfId="35126"/>
    <cellStyle name="Normal 11 6 3 4 6" xfId="19167"/>
    <cellStyle name="Normal 11 6 3 4 6 2" xfId="41724"/>
    <cellStyle name="Normal 11 6 3 4 7" xfId="28494"/>
    <cellStyle name="Normal 11 6 3 5" xfId="3845"/>
    <cellStyle name="Normal 11 6 3 5 2" xfId="6957"/>
    <cellStyle name="Normal 11 6 3 5 2 2" xfId="10289"/>
    <cellStyle name="Normal 11 6 3 5 2 2 2" xfId="16993"/>
    <cellStyle name="Normal 11 6 3 5 2 2 2 2" xfId="40414"/>
    <cellStyle name="Normal 11 6 3 5 2 2 3" xfId="33782"/>
    <cellStyle name="Normal 11 6 3 5 2 3" xfId="13677"/>
    <cellStyle name="Normal 11 6 3 5 2 3 2" xfId="37098"/>
    <cellStyle name="Normal 11 6 3 5 2 4" xfId="22450"/>
    <cellStyle name="Normal 11 6 3 5 2 4 2" xfId="44872"/>
    <cellStyle name="Normal 11 6 3 5 2 5" xfId="30466"/>
    <cellStyle name="Normal 11 6 3 5 3" xfId="8624"/>
    <cellStyle name="Normal 11 6 3 5 3 2" xfId="15335"/>
    <cellStyle name="Normal 11 6 3 5 3 2 2" xfId="38756"/>
    <cellStyle name="Normal 11 6 3 5 3 3" xfId="32124"/>
    <cellStyle name="Normal 11 6 3 5 4" xfId="12017"/>
    <cellStyle name="Normal 11 6 3 5 4 2" xfId="35440"/>
    <cellStyle name="Normal 11 6 3 5 5" xfId="19603"/>
    <cellStyle name="Normal 11 6 3 5 5 2" xfId="42140"/>
    <cellStyle name="Normal 11 6 3 5 6" xfId="28808"/>
    <cellStyle name="Normal 11 6 3 6" xfId="6170"/>
    <cellStyle name="Normal 11 6 3 6 2" xfId="9504"/>
    <cellStyle name="Normal 11 6 3 6 2 2" xfId="16208"/>
    <cellStyle name="Normal 11 6 3 6 2 2 2" xfId="39629"/>
    <cellStyle name="Normal 11 6 3 6 2 3" xfId="32997"/>
    <cellStyle name="Normal 11 6 3 6 3" xfId="12892"/>
    <cellStyle name="Normal 11 6 3 6 3 2" xfId="36313"/>
    <cellStyle name="Normal 11 6 3 6 4" xfId="20741"/>
    <cellStyle name="Normal 11 6 3 6 4 2" xfId="43192"/>
    <cellStyle name="Normal 11 6 3 6 5" xfId="29681"/>
    <cellStyle name="Normal 11 6 3 7" xfId="7836"/>
    <cellStyle name="Normal 11 6 3 7 2" xfId="14550"/>
    <cellStyle name="Normal 11 6 3 7 2 2" xfId="37971"/>
    <cellStyle name="Normal 11 6 3 7 3" xfId="21599"/>
    <cellStyle name="Normal 11 6 3 7 3 2" xfId="44048"/>
    <cellStyle name="Normal 11 6 3 7 4" xfId="31339"/>
    <cellStyle name="Normal 11 6 3 8" xfId="11232"/>
    <cellStyle name="Normal 11 6 3 8 2" xfId="34655"/>
    <cellStyle name="Normal 11 6 3 9" xfId="17963"/>
    <cellStyle name="Normal 11 6 3 9 2" xfId="41271"/>
    <cellStyle name="Normal 11 6 4" xfId="1729"/>
    <cellStyle name="Normal 11 6 4 10" xfId="28081"/>
    <cellStyle name="Normal 11 6 4 2" xfId="2211"/>
    <cellStyle name="Normal 11 6 4 2 2" xfId="5482"/>
    <cellStyle name="Normal 11 6 4 2 2 2" xfId="7307"/>
    <cellStyle name="Normal 11 6 4 2 2 2 2" xfId="10638"/>
    <cellStyle name="Normal 11 6 4 2 2 2 2 2" xfId="17342"/>
    <cellStyle name="Normal 11 6 4 2 2 2 2 2 2" xfId="40763"/>
    <cellStyle name="Normal 11 6 4 2 2 2 2 3" xfId="23059"/>
    <cellStyle name="Normal 11 6 4 2 2 2 2 3 2" xfId="45481"/>
    <cellStyle name="Normal 11 6 4 2 2 2 2 4" xfId="34131"/>
    <cellStyle name="Normal 11 6 4 2 2 2 3" xfId="14026"/>
    <cellStyle name="Normal 11 6 4 2 2 2 3 2" xfId="37447"/>
    <cellStyle name="Normal 11 6 4 2 2 2 4" xfId="20231"/>
    <cellStyle name="Normal 11 6 4 2 2 2 4 2" xfId="42766"/>
    <cellStyle name="Normal 11 6 4 2 2 2 5" xfId="30815"/>
    <cellStyle name="Normal 11 6 4 2 2 3" xfId="8980"/>
    <cellStyle name="Normal 11 6 4 2 2 3 2" xfId="15684"/>
    <cellStyle name="Normal 11 6 4 2 2 3 2 2" xfId="39105"/>
    <cellStyle name="Normal 11 6 4 2 2 3 3" xfId="21205"/>
    <cellStyle name="Normal 11 6 4 2 2 3 3 2" xfId="43656"/>
    <cellStyle name="Normal 11 6 4 2 2 3 4" xfId="32473"/>
    <cellStyle name="Normal 11 6 4 2 2 4" xfId="12368"/>
    <cellStyle name="Normal 11 6 4 2 2 4 2" xfId="22244"/>
    <cellStyle name="Normal 11 6 4 2 2 4 2 2" xfId="44666"/>
    <cellStyle name="Normal 11 6 4 2 2 4 3" xfId="35789"/>
    <cellStyle name="Normal 11 6 4 2 2 5" xfId="19392"/>
    <cellStyle name="Normal 11 6 4 2 2 5 2" xfId="41934"/>
    <cellStyle name="Normal 11 6 4 2 2 6" xfId="29157"/>
    <cellStyle name="Normal 11 6 4 2 3" xfId="6403"/>
    <cellStyle name="Normal 11 6 4 2 3 2" xfId="9737"/>
    <cellStyle name="Normal 11 6 4 2 3 2 2" xfId="16441"/>
    <cellStyle name="Normal 11 6 4 2 3 2 2 2" xfId="39862"/>
    <cellStyle name="Normal 11 6 4 2 3 2 3" xfId="22652"/>
    <cellStyle name="Normal 11 6 4 2 3 2 3 2" xfId="45074"/>
    <cellStyle name="Normal 11 6 4 2 3 2 4" xfId="33230"/>
    <cellStyle name="Normal 11 6 4 2 3 3" xfId="13125"/>
    <cellStyle name="Normal 11 6 4 2 3 3 2" xfId="36546"/>
    <cellStyle name="Normal 11 6 4 2 3 4" xfId="19815"/>
    <cellStyle name="Normal 11 6 4 2 3 4 2" xfId="42350"/>
    <cellStyle name="Normal 11 6 4 2 3 5" xfId="29914"/>
    <cellStyle name="Normal 11 6 4 2 4" xfId="8070"/>
    <cellStyle name="Normal 11 6 4 2 4 2" xfId="14783"/>
    <cellStyle name="Normal 11 6 4 2 4 2 2" xfId="38204"/>
    <cellStyle name="Normal 11 6 4 2 4 3" xfId="20746"/>
    <cellStyle name="Normal 11 6 4 2 4 3 2" xfId="43197"/>
    <cellStyle name="Normal 11 6 4 2 4 4" xfId="31572"/>
    <cellStyle name="Normal 11 6 4 2 5" xfId="11465"/>
    <cellStyle name="Normal 11 6 4 2 5 2" xfId="21810"/>
    <cellStyle name="Normal 11 6 4 2 5 2 2" xfId="44252"/>
    <cellStyle name="Normal 11 6 4 2 5 3" xfId="34888"/>
    <cellStyle name="Normal 11 6 4 2 6" xfId="18565"/>
    <cellStyle name="Normal 11 6 4 2 6 2" xfId="41509"/>
    <cellStyle name="Normal 11 6 4 2 7" xfId="25810"/>
    <cellStyle name="Normal 11 6 4 2 7 2" xfId="48055"/>
    <cellStyle name="Normal 11 6 4 2 8" xfId="28256"/>
    <cellStyle name="Normal 11 6 4 3" xfId="2726"/>
    <cellStyle name="Normal 11 6 4 3 2" xfId="5818"/>
    <cellStyle name="Normal 11 6 4 3 2 2" xfId="7600"/>
    <cellStyle name="Normal 11 6 4 3 2 2 2" xfId="10929"/>
    <cellStyle name="Normal 11 6 4 3 2 2 2 2" xfId="17633"/>
    <cellStyle name="Normal 11 6 4 3 2 2 2 2 2" xfId="41054"/>
    <cellStyle name="Normal 11 6 4 3 2 2 2 3" xfId="34422"/>
    <cellStyle name="Normal 11 6 4 3 2 2 3" xfId="14317"/>
    <cellStyle name="Normal 11 6 4 3 2 2 3 2" xfId="37738"/>
    <cellStyle name="Normal 11 6 4 3 2 2 4" xfId="22859"/>
    <cellStyle name="Normal 11 6 4 3 2 2 4 2" xfId="45281"/>
    <cellStyle name="Normal 11 6 4 3 2 2 5" xfId="31106"/>
    <cellStyle name="Normal 11 6 4 3 2 3" xfId="9271"/>
    <cellStyle name="Normal 11 6 4 3 2 3 2" xfId="15975"/>
    <cellStyle name="Normal 11 6 4 3 2 3 2 2" xfId="39396"/>
    <cellStyle name="Normal 11 6 4 3 2 3 3" xfId="32764"/>
    <cellStyle name="Normal 11 6 4 3 2 4" xfId="12659"/>
    <cellStyle name="Normal 11 6 4 3 2 4 2" xfId="36080"/>
    <cellStyle name="Normal 11 6 4 3 2 5" xfId="20023"/>
    <cellStyle name="Normal 11 6 4 3 2 5 2" xfId="42558"/>
    <cellStyle name="Normal 11 6 4 3 2 6" xfId="29448"/>
    <cellStyle name="Normal 11 6 4 3 3" xfId="6701"/>
    <cellStyle name="Normal 11 6 4 3 3 2" xfId="10033"/>
    <cellStyle name="Normal 11 6 4 3 3 2 2" xfId="16737"/>
    <cellStyle name="Normal 11 6 4 3 3 2 2 2" xfId="40158"/>
    <cellStyle name="Normal 11 6 4 3 3 2 3" xfId="33526"/>
    <cellStyle name="Normal 11 6 4 3 3 3" xfId="13421"/>
    <cellStyle name="Normal 11 6 4 3 3 3 2" xfId="36842"/>
    <cellStyle name="Normal 11 6 4 3 3 4" xfId="21204"/>
    <cellStyle name="Normal 11 6 4 3 3 4 2" xfId="43655"/>
    <cellStyle name="Normal 11 6 4 3 3 5" xfId="30210"/>
    <cellStyle name="Normal 11 6 4 3 4" xfId="8367"/>
    <cellStyle name="Normal 11 6 4 3 4 2" xfId="15079"/>
    <cellStyle name="Normal 11 6 4 3 4 2 2" xfId="38500"/>
    <cellStyle name="Normal 11 6 4 3 4 3" xfId="22031"/>
    <cellStyle name="Normal 11 6 4 3 4 3 2" xfId="44459"/>
    <cellStyle name="Normal 11 6 4 3 4 4" xfId="31868"/>
    <cellStyle name="Normal 11 6 4 3 5" xfId="11761"/>
    <cellStyle name="Normal 11 6 4 3 5 2" xfId="35184"/>
    <cellStyle name="Normal 11 6 4 3 6" xfId="19169"/>
    <cellStyle name="Normal 11 6 4 3 6 2" xfId="41726"/>
    <cellStyle name="Normal 11 6 4 3 7" xfId="28552"/>
    <cellStyle name="Normal 11 6 4 4" xfId="3847"/>
    <cellStyle name="Normal 11 6 4 4 2" xfId="6959"/>
    <cellStyle name="Normal 11 6 4 4 2 2" xfId="10291"/>
    <cellStyle name="Normal 11 6 4 4 2 2 2" xfId="16995"/>
    <cellStyle name="Normal 11 6 4 4 2 2 2 2" xfId="40416"/>
    <cellStyle name="Normal 11 6 4 4 2 2 3" xfId="33784"/>
    <cellStyle name="Normal 11 6 4 4 2 3" xfId="13679"/>
    <cellStyle name="Normal 11 6 4 4 2 3 2" xfId="37100"/>
    <cellStyle name="Normal 11 6 4 4 2 4" xfId="22452"/>
    <cellStyle name="Normal 11 6 4 4 2 4 2" xfId="44874"/>
    <cellStyle name="Normal 11 6 4 4 2 5" xfId="30468"/>
    <cellStyle name="Normal 11 6 4 4 3" xfId="8626"/>
    <cellStyle name="Normal 11 6 4 4 3 2" xfId="15337"/>
    <cellStyle name="Normal 11 6 4 4 3 2 2" xfId="38758"/>
    <cellStyle name="Normal 11 6 4 4 3 3" xfId="32126"/>
    <cellStyle name="Normal 11 6 4 4 4" xfId="12019"/>
    <cellStyle name="Normal 11 6 4 4 4 2" xfId="35442"/>
    <cellStyle name="Normal 11 6 4 4 5" xfId="19605"/>
    <cellStyle name="Normal 11 6 4 4 5 2" xfId="42142"/>
    <cellStyle name="Normal 11 6 4 4 6" xfId="28810"/>
    <cellStyle name="Normal 11 6 4 5" xfId="6228"/>
    <cellStyle name="Normal 11 6 4 5 2" xfId="9562"/>
    <cellStyle name="Normal 11 6 4 5 2 2" xfId="16266"/>
    <cellStyle name="Normal 11 6 4 5 2 2 2" xfId="39687"/>
    <cellStyle name="Normal 11 6 4 5 2 3" xfId="33055"/>
    <cellStyle name="Normal 11 6 4 5 3" xfId="12950"/>
    <cellStyle name="Normal 11 6 4 5 3 2" xfId="36371"/>
    <cellStyle name="Normal 11 6 4 5 4" xfId="20745"/>
    <cellStyle name="Normal 11 6 4 5 4 2" xfId="43196"/>
    <cellStyle name="Normal 11 6 4 5 5" xfId="29739"/>
    <cellStyle name="Normal 11 6 4 6" xfId="7894"/>
    <cellStyle name="Normal 11 6 4 6 2" xfId="14608"/>
    <cellStyle name="Normal 11 6 4 6 2 2" xfId="38029"/>
    <cellStyle name="Normal 11 6 4 6 3" xfId="21601"/>
    <cellStyle name="Normal 11 6 4 6 3 2" xfId="44050"/>
    <cellStyle name="Normal 11 6 4 6 4" xfId="31397"/>
    <cellStyle name="Normal 11 6 4 7" xfId="11290"/>
    <cellStyle name="Normal 11 6 4 7 2" xfId="34713"/>
    <cellStyle name="Normal 11 6 4 8" xfId="17965"/>
    <cellStyle name="Normal 11 6 4 8 2" xfId="41273"/>
    <cellStyle name="Normal 11 6 4 9" xfId="23545"/>
    <cellStyle name="Normal 11 6 4 9 2" xfId="45865"/>
    <cellStyle name="Normal 11 6 5" xfId="2204"/>
    <cellStyle name="Normal 11 6 5 2" xfId="5475"/>
    <cellStyle name="Normal 11 6 5 2 2" xfId="7300"/>
    <cellStyle name="Normal 11 6 5 2 2 2" xfId="10631"/>
    <cellStyle name="Normal 11 6 5 2 2 2 2" xfId="17335"/>
    <cellStyle name="Normal 11 6 5 2 2 2 2 2" xfId="40756"/>
    <cellStyle name="Normal 11 6 5 2 2 2 3" xfId="23052"/>
    <cellStyle name="Normal 11 6 5 2 2 2 3 2" xfId="45474"/>
    <cellStyle name="Normal 11 6 5 2 2 2 4" xfId="34124"/>
    <cellStyle name="Normal 11 6 5 2 2 3" xfId="14019"/>
    <cellStyle name="Normal 11 6 5 2 2 3 2" xfId="37440"/>
    <cellStyle name="Normal 11 6 5 2 2 4" xfId="20224"/>
    <cellStyle name="Normal 11 6 5 2 2 4 2" xfId="42759"/>
    <cellStyle name="Normal 11 6 5 2 2 5" xfId="30808"/>
    <cellStyle name="Normal 11 6 5 2 3" xfId="8973"/>
    <cellStyle name="Normal 11 6 5 2 3 2" xfId="15677"/>
    <cellStyle name="Normal 11 6 5 2 3 2 2" xfId="39098"/>
    <cellStyle name="Normal 11 6 5 2 3 3" xfId="21206"/>
    <cellStyle name="Normal 11 6 5 2 3 3 2" xfId="43657"/>
    <cellStyle name="Normal 11 6 5 2 3 4" xfId="32466"/>
    <cellStyle name="Normal 11 6 5 2 4" xfId="12361"/>
    <cellStyle name="Normal 11 6 5 2 4 2" xfId="22237"/>
    <cellStyle name="Normal 11 6 5 2 4 2 2" xfId="44659"/>
    <cellStyle name="Normal 11 6 5 2 4 3" xfId="35782"/>
    <cellStyle name="Normal 11 6 5 2 5" xfId="19385"/>
    <cellStyle name="Normal 11 6 5 2 5 2" xfId="41927"/>
    <cellStyle name="Normal 11 6 5 2 6" xfId="25803"/>
    <cellStyle name="Normal 11 6 5 2 6 2" xfId="48048"/>
    <cellStyle name="Normal 11 6 5 2 7" xfId="29150"/>
    <cellStyle name="Normal 11 6 5 3" xfId="6396"/>
    <cellStyle name="Normal 11 6 5 3 2" xfId="9730"/>
    <cellStyle name="Normal 11 6 5 3 2 2" xfId="16434"/>
    <cellStyle name="Normal 11 6 5 3 2 2 2" xfId="39855"/>
    <cellStyle name="Normal 11 6 5 3 2 3" xfId="22645"/>
    <cellStyle name="Normal 11 6 5 3 2 3 2" xfId="45067"/>
    <cellStyle name="Normal 11 6 5 3 2 4" xfId="33223"/>
    <cellStyle name="Normal 11 6 5 3 3" xfId="13118"/>
    <cellStyle name="Normal 11 6 5 3 3 2" xfId="36539"/>
    <cellStyle name="Normal 11 6 5 3 4" xfId="19808"/>
    <cellStyle name="Normal 11 6 5 3 4 2" xfId="42343"/>
    <cellStyle name="Normal 11 6 5 3 5" xfId="29907"/>
    <cellStyle name="Normal 11 6 5 4" xfId="8063"/>
    <cellStyle name="Normal 11 6 5 4 2" xfId="14776"/>
    <cellStyle name="Normal 11 6 5 4 2 2" xfId="38197"/>
    <cellStyle name="Normal 11 6 5 4 3" xfId="20747"/>
    <cellStyle name="Normal 11 6 5 4 3 2" xfId="43198"/>
    <cellStyle name="Normal 11 6 5 4 4" xfId="31565"/>
    <cellStyle name="Normal 11 6 5 5" xfId="11458"/>
    <cellStyle name="Normal 11 6 5 5 2" xfId="21803"/>
    <cellStyle name="Normal 11 6 5 5 2 2" xfId="44245"/>
    <cellStyle name="Normal 11 6 5 5 3" xfId="34881"/>
    <cellStyle name="Normal 11 6 5 6" xfId="18558"/>
    <cellStyle name="Normal 11 6 5 6 2" xfId="41502"/>
    <cellStyle name="Normal 11 6 5 7" xfId="23257"/>
    <cellStyle name="Normal 11 6 5 7 2" xfId="45649"/>
    <cellStyle name="Normal 11 6 5 8" xfId="28249"/>
    <cellStyle name="Normal 11 6 6" xfId="2593"/>
    <cellStyle name="Normal 11 6 6 2" xfId="5687"/>
    <cellStyle name="Normal 11 6 6 2 2" xfId="7470"/>
    <cellStyle name="Normal 11 6 6 2 2 2" xfId="10799"/>
    <cellStyle name="Normal 11 6 6 2 2 2 2" xfId="17503"/>
    <cellStyle name="Normal 11 6 6 2 2 2 2 2" xfId="40924"/>
    <cellStyle name="Normal 11 6 6 2 2 2 3" xfId="34292"/>
    <cellStyle name="Normal 11 6 6 2 2 3" xfId="14187"/>
    <cellStyle name="Normal 11 6 6 2 2 3 2" xfId="37608"/>
    <cellStyle name="Normal 11 6 6 2 2 4" xfId="20581"/>
    <cellStyle name="Normal 11 6 6 2 2 4 2" xfId="43032"/>
    <cellStyle name="Normal 11 6 6 2 2 5" xfId="30976"/>
    <cellStyle name="Normal 11 6 6 2 3" xfId="9141"/>
    <cellStyle name="Normal 11 6 6 2 3 2" xfId="15845"/>
    <cellStyle name="Normal 11 6 6 2 3 2 2" xfId="39266"/>
    <cellStyle name="Normal 11 6 6 2 3 3" xfId="21499"/>
    <cellStyle name="Normal 11 6 6 2 3 3 2" xfId="43950"/>
    <cellStyle name="Normal 11 6 6 2 3 4" xfId="32634"/>
    <cellStyle name="Normal 11 6 6 2 4" xfId="12529"/>
    <cellStyle name="Normal 11 6 6 2 4 2" xfId="22852"/>
    <cellStyle name="Normal 11 6 6 2 4 2 2" xfId="45274"/>
    <cellStyle name="Normal 11 6 6 2 4 3" xfId="35950"/>
    <cellStyle name="Normal 11 6 6 2 5" xfId="20016"/>
    <cellStyle name="Normal 11 6 6 2 5 2" xfId="42551"/>
    <cellStyle name="Normal 11 6 6 2 6" xfId="27907"/>
    <cellStyle name="Normal 11 6 6 2 6 2" xfId="50152"/>
    <cellStyle name="Normal 11 6 6 2 7" xfId="29318"/>
    <cellStyle name="Normal 11 6 6 3" xfId="6570"/>
    <cellStyle name="Normal 11 6 6 3 2" xfId="9902"/>
    <cellStyle name="Normal 11 6 6 3 2 2" xfId="16606"/>
    <cellStyle name="Normal 11 6 6 3 2 2 2" xfId="40027"/>
    <cellStyle name="Normal 11 6 6 3 2 3" xfId="33395"/>
    <cellStyle name="Normal 11 6 6 3 3" xfId="13290"/>
    <cellStyle name="Normal 11 6 6 3 3 2" xfId="36711"/>
    <cellStyle name="Normal 11 6 6 3 4" xfId="20483"/>
    <cellStyle name="Normal 11 6 6 3 4 2" xfId="42936"/>
    <cellStyle name="Normal 11 6 6 3 5" xfId="30079"/>
    <cellStyle name="Normal 11 6 6 4" xfId="8236"/>
    <cellStyle name="Normal 11 6 6 4 2" xfId="14948"/>
    <cellStyle name="Normal 11 6 6 4 2 2" xfId="38369"/>
    <cellStyle name="Normal 11 6 6 4 3" xfId="21040"/>
    <cellStyle name="Normal 11 6 6 4 3 2" xfId="43491"/>
    <cellStyle name="Normal 11 6 6 4 4" xfId="31737"/>
    <cellStyle name="Normal 11 6 6 5" xfId="11630"/>
    <cellStyle name="Normal 11 6 6 5 2" xfId="22024"/>
    <cellStyle name="Normal 11 6 6 5 2 2" xfId="44452"/>
    <cellStyle name="Normal 11 6 6 5 3" xfId="35053"/>
    <cellStyle name="Normal 11 6 6 6" xfId="19162"/>
    <cellStyle name="Normal 11 6 6 6 2" xfId="41719"/>
    <cellStyle name="Normal 11 6 6 7" xfId="25602"/>
    <cellStyle name="Normal 11 6 6 7 2" xfId="47847"/>
    <cellStyle name="Normal 11 6 6 8" xfId="28421"/>
    <cellStyle name="Normal 11 6 7" xfId="3840"/>
    <cellStyle name="Normal 11 6 7 2" xfId="6952"/>
    <cellStyle name="Normal 11 6 7 2 2" xfId="10284"/>
    <cellStyle name="Normal 11 6 7 2 2 2" xfId="16988"/>
    <cellStyle name="Normal 11 6 7 2 2 2 2" xfId="40409"/>
    <cellStyle name="Normal 11 6 7 2 2 3" xfId="33777"/>
    <cellStyle name="Normal 11 6 7 2 3" xfId="13672"/>
    <cellStyle name="Normal 11 6 7 2 3 2" xfId="37093"/>
    <cellStyle name="Normal 11 6 7 2 4" xfId="20528"/>
    <cellStyle name="Normal 11 6 7 2 4 2" xfId="42981"/>
    <cellStyle name="Normal 11 6 7 2 5" xfId="30461"/>
    <cellStyle name="Normal 11 6 7 3" xfId="8619"/>
    <cellStyle name="Normal 11 6 7 3 2" xfId="15330"/>
    <cellStyle name="Normal 11 6 7 3 2 2" xfId="38751"/>
    <cellStyle name="Normal 11 6 7 3 3" xfId="21191"/>
    <cellStyle name="Normal 11 6 7 3 3 2" xfId="43642"/>
    <cellStyle name="Normal 11 6 7 3 4" xfId="32119"/>
    <cellStyle name="Normal 11 6 7 4" xfId="12012"/>
    <cellStyle name="Normal 11 6 7 4 2" xfId="22445"/>
    <cellStyle name="Normal 11 6 7 4 2 2" xfId="44867"/>
    <cellStyle name="Normal 11 6 7 4 3" xfId="35435"/>
    <cellStyle name="Normal 11 6 7 5" xfId="19598"/>
    <cellStyle name="Normal 11 6 7 5 2" xfId="42135"/>
    <cellStyle name="Normal 11 6 7 6" xfId="25639"/>
    <cellStyle name="Normal 11 6 7 6 2" xfId="47884"/>
    <cellStyle name="Normal 11 6 7 7" xfId="28803"/>
    <cellStyle name="Normal 11 6 8" xfId="6097"/>
    <cellStyle name="Normal 11 6 8 2" xfId="9431"/>
    <cellStyle name="Normal 11 6 8 2 2" xfId="16135"/>
    <cellStyle name="Normal 11 6 8 2 2 2" xfId="39556"/>
    <cellStyle name="Normal 11 6 8 2 3" xfId="32924"/>
    <cellStyle name="Normal 11 6 8 3" xfId="12819"/>
    <cellStyle name="Normal 11 6 8 3 2" xfId="36240"/>
    <cellStyle name="Normal 11 6 8 4" xfId="18296"/>
    <cellStyle name="Normal 11 6 8 4 2" xfId="41429"/>
    <cellStyle name="Normal 11 6 8 5" xfId="29608"/>
    <cellStyle name="Normal 11 6 9" xfId="7762"/>
    <cellStyle name="Normal 11 6 9 2" xfId="14477"/>
    <cellStyle name="Normal 11 6 9 2 2" xfId="37898"/>
    <cellStyle name="Normal 11 6 9 3" xfId="20732"/>
    <cellStyle name="Normal 11 6 9 3 2" xfId="43183"/>
    <cellStyle name="Normal 11 6 9 4" xfId="31266"/>
    <cellStyle name="Normal 11 7" xfId="1473"/>
    <cellStyle name="Normal 11 7 10" xfId="23546"/>
    <cellStyle name="Normal 11 7 10 2" xfId="45866"/>
    <cellStyle name="Normal 11 7 11" xfId="28003"/>
    <cellStyle name="Normal 11 7 2" xfId="1584"/>
    <cellStyle name="Normal 11 7 2 2" xfId="18567"/>
    <cellStyle name="Normal 11 7 3" xfId="1782"/>
    <cellStyle name="Normal 11 7 3 10" xfId="28134"/>
    <cellStyle name="Normal 11 7 3 2" xfId="2212"/>
    <cellStyle name="Normal 11 7 3 2 2" xfId="5483"/>
    <cellStyle name="Normal 11 7 3 2 2 2" xfId="7308"/>
    <cellStyle name="Normal 11 7 3 2 2 2 2" xfId="10639"/>
    <cellStyle name="Normal 11 7 3 2 2 2 2 2" xfId="17343"/>
    <cellStyle name="Normal 11 7 3 2 2 2 2 2 2" xfId="40764"/>
    <cellStyle name="Normal 11 7 3 2 2 2 2 3" xfId="23060"/>
    <cellStyle name="Normal 11 7 3 2 2 2 2 3 2" xfId="45482"/>
    <cellStyle name="Normal 11 7 3 2 2 2 2 4" xfId="34132"/>
    <cellStyle name="Normal 11 7 3 2 2 2 3" xfId="14027"/>
    <cellStyle name="Normal 11 7 3 2 2 2 3 2" xfId="37448"/>
    <cellStyle name="Normal 11 7 3 2 2 2 4" xfId="20232"/>
    <cellStyle name="Normal 11 7 3 2 2 2 4 2" xfId="42767"/>
    <cellStyle name="Normal 11 7 3 2 2 2 5" xfId="30816"/>
    <cellStyle name="Normal 11 7 3 2 2 3" xfId="8981"/>
    <cellStyle name="Normal 11 7 3 2 2 3 2" xfId="15685"/>
    <cellStyle name="Normal 11 7 3 2 2 3 2 2" xfId="39106"/>
    <cellStyle name="Normal 11 7 3 2 2 3 3" xfId="21208"/>
    <cellStyle name="Normal 11 7 3 2 2 3 3 2" xfId="43659"/>
    <cellStyle name="Normal 11 7 3 2 2 3 4" xfId="32474"/>
    <cellStyle name="Normal 11 7 3 2 2 4" xfId="12369"/>
    <cellStyle name="Normal 11 7 3 2 2 4 2" xfId="22245"/>
    <cellStyle name="Normal 11 7 3 2 2 4 2 2" xfId="44667"/>
    <cellStyle name="Normal 11 7 3 2 2 4 3" xfId="35790"/>
    <cellStyle name="Normal 11 7 3 2 2 5" xfId="19393"/>
    <cellStyle name="Normal 11 7 3 2 2 5 2" xfId="41935"/>
    <cellStyle name="Normal 11 7 3 2 2 6" xfId="29158"/>
    <cellStyle name="Normal 11 7 3 2 3" xfId="6404"/>
    <cellStyle name="Normal 11 7 3 2 3 2" xfId="9738"/>
    <cellStyle name="Normal 11 7 3 2 3 2 2" xfId="16442"/>
    <cellStyle name="Normal 11 7 3 2 3 2 2 2" xfId="39863"/>
    <cellStyle name="Normal 11 7 3 2 3 2 3" xfId="22653"/>
    <cellStyle name="Normal 11 7 3 2 3 2 3 2" xfId="45075"/>
    <cellStyle name="Normal 11 7 3 2 3 2 4" xfId="33231"/>
    <cellStyle name="Normal 11 7 3 2 3 3" xfId="13126"/>
    <cellStyle name="Normal 11 7 3 2 3 3 2" xfId="36547"/>
    <cellStyle name="Normal 11 7 3 2 3 4" xfId="19816"/>
    <cellStyle name="Normal 11 7 3 2 3 4 2" xfId="42351"/>
    <cellStyle name="Normal 11 7 3 2 3 5" xfId="29915"/>
    <cellStyle name="Normal 11 7 3 2 4" xfId="8071"/>
    <cellStyle name="Normal 11 7 3 2 4 2" xfId="14784"/>
    <cellStyle name="Normal 11 7 3 2 4 2 2" xfId="38205"/>
    <cellStyle name="Normal 11 7 3 2 4 3" xfId="20749"/>
    <cellStyle name="Normal 11 7 3 2 4 3 2" xfId="43200"/>
    <cellStyle name="Normal 11 7 3 2 4 4" xfId="31573"/>
    <cellStyle name="Normal 11 7 3 2 5" xfId="11466"/>
    <cellStyle name="Normal 11 7 3 2 5 2" xfId="21812"/>
    <cellStyle name="Normal 11 7 3 2 5 2 2" xfId="44253"/>
    <cellStyle name="Normal 11 7 3 2 5 3" xfId="34889"/>
    <cellStyle name="Normal 11 7 3 2 6" xfId="18568"/>
    <cellStyle name="Normal 11 7 3 2 6 2" xfId="41510"/>
    <cellStyle name="Normal 11 7 3 2 7" xfId="25812"/>
    <cellStyle name="Normal 11 7 3 2 7 2" xfId="48057"/>
    <cellStyle name="Normal 11 7 3 2 8" xfId="28257"/>
    <cellStyle name="Normal 11 7 3 3" xfId="2779"/>
    <cellStyle name="Normal 11 7 3 3 2" xfId="5871"/>
    <cellStyle name="Normal 11 7 3 3 2 2" xfId="7653"/>
    <cellStyle name="Normal 11 7 3 3 2 2 2" xfId="10982"/>
    <cellStyle name="Normal 11 7 3 3 2 2 2 2" xfId="17686"/>
    <cellStyle name="Normal 11 7 3 3 2 2 2 2 2" xfId="41107"/>
    <cellStyle name="Normal 11 7 3 3 2 2 2 3" xfId="34475"/>
    <cellStyle name="Normal 11 7 3 3 2 2 3" xfId="14370"/>
    <cellStyle name="Normal 11 7 3 3 2 2 3 2" xfId="37791"/>
    <cellStyle name="Normal 11 7 3 3 2 2 4" xfId="22860"/>
    <cellStyle name="Normal 11 7 3 3 2 2 4 2" xfId="45282"/>
    <cellStyle name="Normal 11 7 3 3 2 2 5" xfId="31159"/>
    <cellStyle name="Normal 11 7 3 3 2 3" xfId="9324"/>
    <cellStyle name="Normal 11 7 3 3 2 3 2" xfId="16028"/>
    <cellStyle name="Normal 11 7 3 3 2 3 2 2" xfId="39449"/>
    <cellStyle name="Normal 11 7 3 3 2 3 3" xfId="32817"/>
    <cellStyle name="Normal 11 7 3 3 2 4" xfId="12712"/>
    <cellStyle name="Normal 11 7 3 3 2 4 2" xfId="36133"/>
    <cellStyle name="Normal 11 7 3 3 2 5" xfId="20024"/>
    <cellStyle name="Normal 11 7 3 3 2 5 2" xfId="42559"/>
    <cellStyle name="Normal 11 7 3 3 2 6" xfId="29501"/>
    <cellStyle name="Normal 11 7 3 3 3" xfId="6754"/>
    <cellStyle name="Normal 11 7 3 3 3 2" xfId="10086"/>
    <cellStyle name="Normal 11 7 3 3 3 2 2" xfId="16790"/>
    <cellStyle name="Normal 11 7 3 3 3 2 2 2" xfId="40211"/>
    <cellStyle name="Normal 11 7 3 3 3 2 3" xfId="33579"/>
    <cellStyle name="Normal 11 7 3 3 3 3" xfId="13474"/>
    <cellStyle name="Normal 11 7 3 3 3 3 2" xfId="36895"/>
    <cellStyle name="Normal 11 7 3 3 3 4" xfId="21207"/>
    <cellStyle name="Normal 11 7 3 3 3 4 2" xfId="43658"/>
    <cellStyle name="Normal 11 7 3 3 3 5" xfId="30263"/>
    <cellStyle name="Normal 11 7 3 3 4" xfId="8420"/>
    <cellStyle name="Normal 11 7 3 3 4 2" xfId="15132"/>
    <cellStyle name="Normal 11 7 3 3 4 2 2" xfId="38553"/>
    <cellStyle name="Normal 11 7 3 3 4 3" xfId="22032"/>
    <cellStyle name="Normal 11 7 3 3 4 3 2" xfId="44460"/>
    <cellStyle name="Normal 11 7 3 3 4 4" xfId="31921"/>
    <cellStyle name="Normal 11 7 3 3 5" xfId="11814"/>
    <cellStyle name="Normal 11 7 3 3 5 2" xfId="35237"/>
    <cellStyle name="Normal 11 7 3 3 6" xfId="19170"/>
    <cellStyle name="Normal 11 7 3 3 6 2" xfId="41727"/>
    <cellStyle name="Normal 11 7 3 3 7" xfId="28605"/>
    <cellStyle name="Normal 11 7 3 4" xfId="3849"/>
    <cellStyle name="Normal 11 7 3 4 2" xfId="6961"/>
    <cellStyle name="Normal 11 7 3 4 2 2" xfId="10293"/>
    <cellStyle name="Normal 11 7 3 4 2 2 2" xfId="16997"/>
    <cellStyle name="Normal 11 7 3 4 2 2 2 2" xfId="40418"/>
    <cellStyle name="Normal 11 7 3 4 2 2 3" xfId="33786"/>
    <cellStyle name="Normal 11 7 3 4 2 3" xfId="13681"/>
    <cellStyle name="Normal 11 7 3 4 2 3 2" xfId="37102"/>
    <cellStyle name="Normal 11 7 3 4 2 4" xfId="22453"/>
    <cellStyle name="Normal 11 7 3 4 2 4 2" xfId="44875"/>
    <cellStyle name="Normal 11 7 3 4 2 5" xfId="30470"/>
    <cellStyle name="Normal 11 7 3 4 3" xfId="8628"/>
    <cellStyle name="Normal 11 7 3 4 3 2" xfId="15339"/>
    <cellStyle name="Normal 11 7 3 4 3 2 2" xfId="38760"/>
    <cellStyle name="Normal 11 7 3 4 3 3" xfId="32128"/>
    <cellStyle name="Normal 11 7 3 4 4" xfId="12021"/>
    <cellStyle name="Normal 11 7 3 4 4 2" xfId="35444"/>
    <cellStyle name="Normal 11 7 3 4 5" xfId="19606"/>
    <cellStyle name="Normal 11 7 3 4 5 2" xfId="42143"/>
    <cellStyle name="Normal 11 7 3 4 6" xfId="28812"/>
    <cellStyle name="Normal 11 7 3 5" xfId="6281"/>
    <cellStyle name="Normal 11 7 3 5 2" xfId="9615"/>
    <cellStyle name="Normal 11 7 3 5 2 2" xfId="16319"/>
    <cellStyle name="Normal 11 7 3 5 2 2 2" xfId="39740"/>
    <cellStyle name="Normal 11 7 3 5 2 3" xfId="33108"/>
    <cellStyle name="Normal 11 7 3 5 3" xfId="13003"/>
    <cellStyle name="Normal 11 7 3 5 3 2" xfId="36424"/>
    <cellStyle name="Normal 11 7 3 5 4" xfId="20748"/>
    <cellStyle name="Normal 11 7 3 5 4 2" xfId="43199"/>
    <cellStyle name="Normal 11 7 3 5 5" xfId="29792"/>
    <cellStyle name="Normal 11 7 3 6" xfId="7947"/>
    <cellStyle name="Normal 11 7 3 6 2" xfId="14661"/>
    <cellStyle name="Normal 11 7 3 6 2 2" xfId="38082"/>
    <cellStyle name="Normal 11 7 3 6 3" xfId="21602"/>
    <cellStyle name="Normal 11 7 3 6 3 2" xfId="44051"/>
    <cellStyle name="Normal 11 7 3 6 4" xfId="31450"/>
    <cellStyle name="Normal 11 7 3 7" xfId="11343"/>
    <cellStyle name="Normal 11 7 3 7 2" xfId="34766"/>
    <cellStyle name="Normal 11 7 3 8" xfId="17966"/>
    <cellStyle name="Normal 11 7 3 8 2" xfId="41274"/>
    <cellStyle name="Normal 11 7 3 9" xfId="23548"/>
    <cellStyle name="Normal 11 7 3 9 2" xfId="45867"/>
    <cellStyle name="Normal 11 7 4" xfId="2213"/>
    <cellStyle name="Normal 11 7 4 2" xfId="5484"/>
    <cellStyle name="Normal 11 7 4 2 2" xfId="7309"/>
    <cellStyle name="Normal 11 7 4 2 2 2" xfId="10640"/>
    <cellStyle name="Normal 11 7 4 2 2 2 2" xfId="17344"/>
    <cellStyle name="Normal 11 7 4 2 2 2 2 2" xfId="40765"/>
    <cellStyle name="Normal 11 7 4 2 2 2 3" xfId="20233"/>
    <cellStyle name="Normal 11 7 4 2 2 2 3 2" xfId="42768"/>
    <cellStyle name="Normal 11 7 4 2 2 2 4" xfId="34133"/>
    <cellStyle name="Normal 11 7 4 2 2 3" xfId="14028"/>
    <cellStyle name="Normal 11 7 4 2 2 3 2" xfId="22246"/>
    <cellStyle name="Normal 11 7 4 2 2 3 2 2" xfId="44668"/>
    <cellStyle name="Normal 11 7 4 2 2 3 3" xfId="37449"/>
    <cellStyle name="Normal 11 7 4 2 2 4" xfId="19394"/>
    <cellStyle name="Normal 11 7 4 2 2 4 2" xfId="41936"/>
    <cellStyle name="Normal 11 7 4 2 2 5" xfId="30817"/>
    <cellStyle name="Normal 11 7 4 2 3" xfId="8982"/>
    <cellStyle name="Normal 11 7 4 2 3 2" xfId="15686"/>
    <cellStyle name="Normal 11 7 4 2 3 2 2" xfId="22654"/>
    <cellStyle name="Normal 11 7 4 2 3 2 2 2" xfId="45076"/>
    <cellStyle name="Normal 11 7 4 2 3 2 3" xfId="39107"/>
    <cellStyle name="Normal 11 7 4 2 3 3" xfId="19817"/>
    <cellStyle name="Normal 11 7 4 2 3 3 2" xfId="42352"/>
    <cellStyle name="Normal 11 7 4 2 3 4" xfId="32475"/>
    <cellStyle name="Normal 11 7 4 2 4" xfId="12370"/>
    <cellStyle name="Normal 11 7 4 2 4 2" xfId="21813"/>
    <cellStyle name="Normal 11 7 4 2 4 2 2" xfId="44254"/>
    <cellStyle name="Normal 11 7 4 2 4 3" xfId="35791"/>
    <cellStyle name="Normal 11 7 4 2 5" xfId="18569"/>
    <cellStyle name="Normal 11 7 4 2 5 2" xfId="41511"/>
    <cellStyle name="Normal 11 7 4 2 6" xfId="25811"/>
    <cellStyle name="Normal 11 7 4 2 6 2" xfId="48056"/>
    <cellStyle name="Normal 11 7 4 2 7" xfId="29159"/>
    <cellStyle name="Normal 11 7 4 3" xfId="6405"/>
    <cellStyle name="Normal 11 7 4 3 2" xfId="9739"/>
    <cellStyle name="Normal 11 7 4 3 2 2" xfId="16443"/>
    <cellStyle name="Normal 11 7 4 3 2 2 2" xfId="39864"/>
    <cellStyle name="Normal 11 7 4 3 2 3" xfId="20025"/>
    <cellStyle name="Normal 11 7 4 3 2 3 2" xfId="42560"/>
    <cellStyle name="Normal 11 7 4 3 2 4" xfId="33232"/>
    <cellStyle name="Normal 11 7 4 3 3" xfId="13127"/>
    <cellStyle name="Normal 11 7 4 3 3 2" xfId="22033"/>
    <cellStyle name="Normal 11 7 4 3 3 2 2" xfId="44461"/>
    <cellStyle name="Normal 11 7 4 3 3 3" xfId="36548"/>
    <cellStyle name="Normal 11 7 4 3 4" xfId="19171"/>
    <cellStyle name="Normal 11 7 4 3 4 2" xfId="41728"/>
    <cellStyle name="Normal 11 7 4 3 5" xfId="29916"/>
    <cellStyle name="Normal 11 7 4 4" xfId="8072"/>
    <cellStyle name="Normal 11 7 4 4 2" xfId="14785"/>
    <cellStyle name="Normal 11 7 4 4 2 2" xfId="22454"/>
    <cellStyle name="Normal 11 7 4 4 2 2 2" xfId="44876"/>
    <cellStyle name="Normal 11 7 4 4 2 3" xfId="38206"/>
    <cellStyle name="Normal 11 7 4 4 3" xfId="19607"/>
    <cellStyle name="Normal 11 7 4 4 3 2" xfId="42144"/>
    <cellStyle name="Normal 11 7 4 4 4" xfId="31574"/>
    <cellStyle name="Normal 11 7 4 5" xfId="11467"/>
    <cellStyle name="Normal 11 7 4 5 2" xfId="21603"/>
    <cellStyle name="Normal 11 7 4 5 2 2" xfId="44052"/>
    <cellStyle name="Normal 11 7 4 5 3" xfId="34890"/>
    <cellStyle name="Normal 11 7 4 6" xfId="17967"/>
    <cellStyle name="Normal 11 7 4 6 2" xfId="41275"/>
    <cellStyle name="Normal 11 7 4 7" xfId="23440"/>
    <cellStyle name="Normal 11 7 4 7 2" xfId="45780"/>
    <cellStyle name="Normal 11 7 4 8" xfId="28258"/>
    <cellStyle name="Normal 11 7 5" xfId="2647"/>
    <cellStyle name="Normal 11 7 5 2" xfId="5740"/>
    <cellStyle name="Normal 11 7 5 2 2" xfId="7522"/>
    <cellStyle name="Normal 11 7 5 2 2 2" xfId="10851"/>
    <cellStyle name="Normal 11 7 5 2 2 2 2" xfId="17555"/>
    <cellStyle name="Normal 11 7 5 2 2 2 2 2" xfId="40976"/>
    <cellStyle name="Normal 11 7 5 2 2 2 3" xfId="34344"/>
    <cellStyle name="Normal 11 7 5 2 2 3" xfId="14239"/>
    <cellStyle name="Normal 11 7 5 2 2 3 2" xfId="37660"/>
    <cellStyle name="Normal 11 7 5 2 2 4" xfId="20530"/>
    <cellStyle name="Normal 11 7 5 2 2 4 2" xfId="42983"/>
    <cellStyle name="Normal 11 7 5 2 2 5" xfId="31028"/>
    <cellStyle name="Normal 11 7 5 2 3" xfId="9193"/>
    <cellStyle name="Normal 11 7 5 2 3 2" xfId="15897"/>
    <cellStyle name="Normal 11 7 5 2 3 2 2" xfId="39318"/>
    <cellStyle name="Normal 11 7 5 2 3 3" xfId="21209"/>
    <cellStyle name="Normal 11 7 5 2 3 3 2" xfId="43660"/>
    <cellStyle name="Normal 11 7 5 2 3 4" xfId="32686"/>
    <cellStyle name="Normal 11 7 5 2 4" xfId="12581"/>
    <cellStyle name="Normal 11 7 5 2 4 2" xfId="36002"/>
    <cellStyle name="Normal 11 7 5 2 5" xfId="18225"/>
    <cellStyle name="Normal 11 7 5 2 5 2" xfId="41417"/>
    <cellStyle name="Normal 11 7 5 2 6" xfId="27909"/>
    <cellStyle name="Normal 11 7 5 2 6 2" xfId="50154"/>
    <cellStyle name="Normal 11 7 5 2 7" xfId="29370"/>
    <cellStyle name="Normal 11 7 5 3" xfId="6623"/>
    <cellStyle name="Normal 11 7 5 3 2" xfId="9955"/>
    <cellStyle name="Normal 11 7 5 3 2 2" xfId="16659"/>
    <cellStyle name="Normal 11 7 5 3 2 2 2" xfId="40080"/>
    <cellStyle name="Normal 11 7 5 3 2 3" xfId="33448"/>
    <cellStyle name="Normal 11 7 5 3 3" xfId="13343"/>
    <cellStyle name="Normal 11 7 5 3 3 2" xfId="36764"/>
    <cellStyle name="Normal 11 7 5 3 4" xfId="18388"/>
    <cellStyle name="Normal 11 7 5 3 4 2" xfId="41440"/>
    <cellStyle name="Normal 11 7 5 3 5" xfId="30132"/>
    <cellStyle name="Normal 11 7 5 4" xfId="8289"/>
    <cellStyle name="Normal 11 7 5 4 2" xfId="15001"/>
    <cellStyle name="Normal 11 7 5 4 2 2" xfId="38422"/>
    <cellStyle name="Normal 11 7 5 4 3" xfId="20750"/>
    <cellStyle name="Normal 11 7 5 4 3 2" xfId="43201"/>
    <cellStyle name="Normal 11 7 5 4 4" xfId="31790"/>
    <cellStyle name="Normal 11 7 5 5" xfId="11683"/>
    <cellStyle name="Normal 11 7 5 5 2" xfId="21811"/>
    <cellStyle name="Normal 11 7 5 5 3" xfId="35106"/>
    <cellStyle name="Normal 11 7 5 6" xfId="18566"/>
    <cellStyle name="Normal 11 7 5 7" xfId="17891"/>
    <cellStyle name="Normal 11 7 5 7 2" xfId="41207"/>
    <cellStyle name="Normal 11 7 5 8" xfId="25604"/>
    <cellStyle name="Normal 11 7 5 8 2" xfId="47849"/>
    <cellStyle name="Normal 11 7 5 9" xfId="28474"/>
    <cellStyle name="Normal 11 7 6" xfId="3848"/>
    <cellStyle name="Normal 11 7 6 2" xfId="6960"/>
    <cellStyle name="Normal 11 7 6 2 2" xfId="10292"/>
    <cellStyle name="Normal 11 7 6 2 2 2" xfId="16996"/>
    <cellStyle name="Normal 11 7 6 2 2 2 2" xfId="40417"/>
    <cellStyle name="Normal 11 7 6 2 2 3" xfId="33785"/>
    <cellStyle name="Normal 11 7 6 2 3" xfId="13680"/>
    <cellStyle name="Normal 11 7 6 2 3 2" xfId="37101"/>
    <cellStyle name="Normal 11 7 6 2 4" xfId="30469"/>
    <cellStyle name="Normal 11 7 6 3" xfId="8627"/>
    <cellStyle name="Normal 11 7 6 3 2" xfId="15338"/>
    <cellStyle name="Normal 11 7 6 3 2 2" xfId="38759"/>
    <cellStyle name="Normal 11 7 6 3 3" xfId="32127"/>
    <cellStyle name="Normal 11 7 6 4" xfId="12020"/>
    <cellStyle name="Normal 11 7 6 4 2" xfId="35443"/>
    <cellStyle name="Normal 11 7 6 5" xfId="20422"/>
    <cellStyle name="Normal 11 7 6 6" xfId="25641"/>
    <cellStyle name="Normal 11 7 6 6 2" xfId="47886"/>
    <cellStyle name="Normal 11 7 6 7" xfId="28811"/>
    <cellStyle name="Normal 11 7 7" xfId="6150"/>
    <cellStyle name="Normal 11 7 7 2" xfId="9484"/>
    <cellStyle name="Normal 11 7 7 2 2" xfId="16188"/>
    <cellStyle name="Normal 11 7 7 2 2 2" xfId="39609"/>
    <cellStyle name="Normal 11 7 7 2 3" xfId="32977"/>
    <cellStyle name="Normal 11 7 7 3" xfId="12872"/>
    <cellStyle name="Normal 11 7 7 3 2" xfId="36293"/>
    <cellStyle name="Normal 11 7 7 4" xfId="29661"/>
    <cellStyle name="Normal 11 7 8" xfId="7816"/>
    <cellStyle name="Normal 11 7 8 2" xfId="14530"/>
    <cellStyle name="Normal 11 7 8 2 2" xfId="37951"/>
    <cellStyle name="Normal 11 7 8 3" xfId="31319"/>
    <cellStyle name="Normal 11 7 9" xfId="11212"/>
    <cellStyle name="Normal 11 7 9 2" xfId="34635"/>
    <cellStyle name="Normal 11 8" xfId="1575"/>
    <cellStyle name="Normal 11 9" xfId="25585"/>
    <cellStyle name="Normal 11 9 2" xfId="27890"/>
    <cellStyle name="Normal 11 9 2 2" xfId="50135"/>
    <cellStyle name="Normal 11 9 3" xfId="47830"/>
    <cellStyle name="Normal 110" xfId="1224"/>
    <cellStyle name="Normal 110 2" xfId="23442"/>
    <cellStyle name="Normal 110 3" xfId="23328"/>
    <cellStyle name="Normal 111" xfId="1225"/>
    <cellStyle name="Normal 111 2" xfId="23782"/>
    <cellStyle name="Normal 111 3" xfId="23329"/>
    <cellStyle name="Normal 112" xfId="1226"/>
    <cellStyle name="Normal 112 2" xfId="23781"/>
    <cellStyle name="Normal 112 3" xfId="23330"/>
    <cellStyle name="Normal 113" xfId="1227"/>
    <cellStyle name="Normal 113 2" xfId="23780"/>
    <cellStyle name="Normal 113 3" xfId="23331"/>
    <cellStyle name="Normal 114" xfId="1228"/>
    <cellStyle name="Normal 114 2" xfId="23779"/>
    <cellStyle name="Normal 114 3" xfId="23332"/>
    <cellStyle name="Normal 115" xfId="1229"/>
    <cellStyle name="Normal 115 2" xfId="23778"/>
    <cellStyle name="Normal 115 3" xfId="23226"/>
    <cellStyle name="Normal 116" xfId="1231"/>
    <cellStyle name="Normal 116 2" xfId="23777"/>
    <cellStyle name="Normal 116 3" xfId="23227"/>
    <cellStyle name="Normal 117" xfId="1232"/>
    <cellStyle name="Normal 117 2" xfId="23776"/>
    <cellStyle name="Normal 117 3" xfId="23228"/>
    <cellStyle name="Normal 118" xfId="1230"/>
    <cellStyle name="Normal 118 2" xfId="18570"/>
    <cellStyle name="Normal 118 3" xfId="23335"/>
    <cellStyle name="Normal 119" xfId="1233"/>
    <cellStyle name="Normal 119 2" xfId="18571"/>
    <cellStyle name="Normal 119 3" xfId="23336"/>
    <cellStyle name="Normal 12" xfId="462"/>
    <cellStyle name="Normal 12 2" xfId="463"/>
    <cellStyle name="Normal 12 2 2" xfId="1141"/>
    <cellStyle name="Normal 12 2 2 2" xfId="3850"/>
    <cellStyle name="Normal 12 2 2 3" xfId="5243"/>
    <cellStyle name="Normal 12 2 3" xfId="1075"/>
    <cellStyle name="Normal 12 2 3 2" xfId="18573"/>
    <cellStyle name="Normal 12 2 4" xfId="18572"/>
    <cellStyle name="Normal 12 3" xfId="1140"/>
    <cellStyle name="Normal 12 3 2" xfId="3852"/>
    <cellStyle name="Normal 12 3 3" xfId="3853"/>
    <cellStyle name="Normal 12 3 4" xfId="3851"/>
    <cellStyle name="Normal 12 4" xfId="1074"/>
    <cellStyle name="Normal 12 4 2" xfId="3855"/>
    <cellStyle name="Normal 12 4 3" xfId="3854"/>
    <cellStyle name="Normal 12 5" xfId="1585"/>
    <cellStyle name="Normal 12 5 2" xfId="3857"/>
    <cellStyle name="Normal 12 5 2 2" xfId="23481"/>
    <cellStyle name="Normal 12 5 2 2 2" xfId="45815"/>
    <cellStyle name="Normal 12 5 3" xfId="5110"/>
    <cellStyle name="Normal 12 5 3 2" xfId="7180"/>
    <cellStyle name="Normal 12 5 3 2 2" xfId="10511"/>
    <cellStyle name="Normal 12 5 3 2 2 2" xfId="17215"/>
    <cellStyle name="Normal 12 5 3 2 2 2 2" xfId="40636"/>
    <cellStyle name="Normal 12 5 3 2 2 3" xfId="34004"/>
    <cellStyle name="Normal 12 5 3 2 3" xfId="13899"/>
    <cellStyle name="Normal 12 5 3 2 3 2" xfId="37320"/>
    <cellStyle name="Normal 12 5 3 2 4" xfId="26022"/>
    <cellStyle name="Normal 12 5 3 2 4 2" xfId="48267"/>
    <cellStyle name="Normal 12 5 3 2 5" xfId="30688"/>
    <cellStyle name="Normal 12 5 3 3" xfId="8851"/>
    <cellStyle name="Normal 12 5 3 3 2" xfId="15557"/>
    <cellStyle name="Normal 12 5 3 3 2 2" xfId="38978"/>
    <cellStyle name="Normal 12 5 3 3 3" xfId="32346"/>
    <cellStyle name="Normal 12 5 3 4" xfId="12240"/>
    <cellStyle name="Normal 12 5 3 4 2" xfId="35662"/>
    <cellStyle name="Normal 12 5 3 5" xfId="23811"/>
    <cellStyle name="Normal 12 5 3 5 2" xfId="46075"/>
    <cellStyle name="Normal 12 5 3 6" xfId="29030"/>
    <cellStyle name="Normal 12 5 4" xfId="3856"/>
    <cellStyle name="Normal 12 5 4 2" xfId="6962"/>
    <cellStyle name="Normal 12 5 4 2 2" xfId="10294"/>
    <cellStyle name="Normal 12 5 4 2 2 2" xfId="16998"/>
    <cellStyle name="Normal 12 5 4 2 2 2 2" xfId="40419"/>
    <cellStyle name="Normal 12 5 4 2 2 3" xfId="33787"/>
    <cellStyle name="Normal 12 5 4 2 3" xfId="13682"/>
    <cellStyle name="Normal 12 5 4 2 3 2" xfId="37103"/>
    <cellStyle name="Normal 12 5 4 2 4" xfId="25813"/>
    <cellStyle name="Normal 12 5 4 2 4 2" xfId="48058"/>
    <cellStyle name="Normal 12 5 4 2 5" xfId="30471"/>
    <cellStyle name="Normal 12 5 4 3" xfId="8629"/>
    <cellStyle name="Normal 12 5 4 3 2" xfId="15340"/>
    <cellStyle name="Normal 12 5 4 3 2 2" xfId="38761"/>
    <cellStyle name="Normal 12 5 4 3 3" xfId="32129"/>
    <cellStyle name="Normal 12 5 4 4" xfId="12022"/>
    <cellStyle name="Normal 12 5 4 4 2" xfId="35445"/>
    <cellStyle name="Normal 12 5 4 5" xfId="23441"/>
    <cellStyle name="Normal 12 5 4 5 2" xfId="45781"/>
    <cellStyle name="Normal 12 5 4 6" xfId="28813"/>
    <cellStyle name="Normal 12 5 5" xfId="23367"/>
    <cellStyle name="Normal 12 5 5 2" xfId="45712"/>
    <cellStyle name="Normal 12 6" xfId="3858"/>
    <cellStyle name="Normal 12 6 2" xfId="5109"/>
    <cellStyle name="Normal 120" xfId="1234"/>
    <cellStyle name="Normal 120 2" xfId="18574"/>
    <cellStyle name="Normal 120 3" xfId="23337"/>
    <cellStyle name="Normal 121" xfId="1242"/>
    <cellStyle name="Normal 121 2" xfId="18575"/>
    <cellStyle name="Normal 121 3" xfId="23338"/>
    <cellStyle name="Normal 122" xfId="1243"/>
    <cellStyle name="Normal 122 2" xfId="18576"/>
    <cellStyle name="Normal 123" xfId="1254"/>
    <cellStyle name="Normal 123 2" xfId="18577"/>
    <cellStyle name="Normal 124" xfId="1253"/>
    <cellStyle name="Normal 124 2" xfId="18578"/>
    <cellStyle name="Normal 125" xfId="1255"/>
    <cellStyle name="Normal 125 2" xfId="18579"/>
    <cellStyle name="Normal 126" xfId="1256"/>
    <cellStyle name="Normal 126 2" xfId="18580"/>
    <cellStyle name="Normal 127" xfId="1260"/>
    <cellStyle name="Normal 127 2" xfId="18581"/>
    <cellStyle name="Normal 128" xfId="1257"/>
    <cellStyle name="Normal 128 2" xfId="18582"/>
    <cellStyle name="Normal 129" xfId="1261"/>
    <cellStyle name="Normal 129 10" xfId="11154"/>
    <cellStyle name="Normal 129 10 2" xfId="21604"/>
    <cellStyle name="Normal 129 10 2 2" xfId="44053"/>
    <cellStyle name="Normal 129 10 3" xfId="34577"/>
    <cellStyle name="Normal 129 11" xfId="17971"/>
    <cellStyle name="Normal 129 11 2" xfId="41276"/>
    <cellStyle name="Normal 129 12" xfId="23553"/>
    <cellStyle name="Normal 129 12 2" xfId="45868"/>
    <cellStyle name="Normal 129 13" xfId="23339"/>
    <cellStyle name="Normal 129 14" xfId="27945"/>
    <cellStyle name="Normal 129 2" xfId="1445"/>
    <cellStyle name="Normal 129 2 10" xfId="17972"/>
    <cellStyle name="Normal 129 2 10 2" xfId="41277"/>
    <cellStyle name="Normal 129 2 11" xfId="23554"/>
    <cellStyle name="Normal 129 2 11 2" xfId="45869"/>
    <cellStyle name="Normal 129 2 12" xfId="27981"/>
    <cellStyle name="Normal 129 2 2" xfId="1587"/>
    <cellStyle name="Normal 129 2 2 10" xfId="23555"/>
    <cellStyle name="Normal 129 2 2 10 2" xfId="45870"/>
    <cellStyle name="Normal 129 2 2 11" xfId="28026"/>
    <cellStyle name="Normal 129 2 2 2" xfId="1805"/>
    <cellStyle name="Normal 129 2 2 2 10" xfId="28157"/>
    <cellStyle name="Normal 129 2 2 2 2" xfId="2218"/>
    <cellStyle name="Normal 129 2 2 2 2 2" xfId="5489"/>
    <cellStyle name="Normal 129 2 2 2 2 2 2" xfId="7313"/>
    <cellStyle name="Normal 129 2 2 2 2 2 2 2" xfId="10644"/>
    <cellStyle name="Normal 129 2 2 2 2 2 2 2 2" xfId="17348"/>
    <cellStyle name="Normal 129 2 2 2 2 2 2 2 2 2" xfId="40769"/>
    <cellStyle name="Normal 129 2 2 2 2 2 2 2 3" xfId="23064"/>
    <cellStyle name="Normal 129 2 2 2 2 2 2 2 3 2" xfId="45486"/>
    <cellStyle name="Normal 129 2 2 2 2 2 2 2 4" xfId="34137"/>
    <cellStyle name="Normal 129 2 2 2 2 2 2 3" xfId="14032"/>
    <cellStyle name="Normal 129 2 2 2 2 2 2 3 2" xfId="37453"/>
    <cellStyle name="Normal 129 2 2 2 2 2 2 4" xfId="20237"/>
    <cellStyle name="Normal 129 2 2 2 2 2 2 4 2" xfId="42772"/>
    <cellStyle name="Normal 129 2 2 2 2 2 2 5" xfId="30821"/>
    <cellStyle name="Normal 129 2 2 2 2 2 3" xfId="8986"/>
    <cellStyle name="Normal 129 2 2 2 2 2 3 2" xfId="15690"/>
    <cellStyle name="Normal 129 2 2 2 2 2 3 2 2" xfId="39111"/>
    <cellStyle name="Normal 129 2 2 2 2 2 3 3" xfId="21214"/>
    <cellStyle name="Normal 129 2 2 2 2 2 3 3 2" xfId="43665"/>
    <cellStyle name="Normal 129 2 2 2 2 2 3 4" xfId="32479"/>
    <cellStyle name="Normal 129 2 2 2 2 2 4" xfId="12374"/>
    <cellStyle name="Normal 129 2 2 2 2 2 4 2" xfId="22250"/>
    <cellStyle name="Normal 129 2 2 2 2 2 4 2 2" xfId="44672"/>
    <cellStyle name="Normal 129 2 2 2 2 2 4 3" xfId="35795"/>
    <cellStyle name="Normal 129 2 2 2 2 2 5" xfId="19398"/>
    <cellStyle name="Normal 129 2 2 2 2 2 5 2" xfId="41940"/>
    <cellStyle name="Normal 129 2 2 2 2 2 6" xfId="29163"/>
    <cellStyle name="Normal 129 2 2 2 2 3" xfId="6409"/>
    <cellStyle name="Normal 129 2 2 2 2 3 2" xfId="9743"/>
    <cellStyle name="Normal 129 2 2 2 2 3 2 2" xfId="16447"/>
    <cellStyle name="Normal 129 2 2 2 2 3 2 2 2" xfId="39868"/>
    <cellStyle name="Normal 129 2 2 2 2 3 2 3" xfId="22658"/>
    <cellStyle name="Normal 129 2 2 2 2 3 2 3 2" xfId="45080"/>
    <cellStyle name="Normal 129 2 2 2 2 3 2 4" xfId="33236"/>
    <cellStyle name="Normal 129 2 2 2 2 3 3" xfId="13131"/>
    <cellStyle name="Normal 129 2 2 2 2 3 3 2" xfId="36552"/>
    <cellStyle name="Normal 129 2 2 2 2 3 4" xfId="19821"/>
    <cellStyle name="Normal 129 2 2 2 2 3 4 2" xfId="42356"/>
    <cellStyle name="Normal 129 2 2 2 2 3 5" xfId="29920"/>
    <cellStyle name="Normal 129 2 2 2 2 4" xfId="8076"/>
    <cellStyle name="Normal 129 2 2 2 2 4 2" xfId="14789"/>
    <cellStyle name="Normal 129 2 2 2 2 4 2 2" xfId="38210"/>
    <cellStyle name="Normal 129 2 2 2 2 4 3" xfId="20755"/>
    <cellStyle name="Normal 129 2 2 2 2 4 3 2" xfId="43206"/>
    <cellStyle name="Normal 129 2 2 2 2 4 4" xfId="31578"/>
    <cellStyle name="Normal 129 2 2 2 2 5" xfId="11471"/>
    <cellStyle name="Normal 129 2 2 2 2 5 2" xfId="21817"/>
    <cellStyle name="Normal 129 2 2 2 2 5 2 2" xfId="44258"/>
    <cellStyle name="Normal 129 2 2 2 2 5 3" xfId="34894"/>
    <cellStyle name="Normal 129 2 2 2 2 6" xfId="18586"/>
    <cellStyle name="Normal 129 2 2 2 2 6 2" xfId="41515"/>
    <cellStyle name="Normal 129 2 2 2 2 7" xfId="25817"/>
    <cellStyle name="Normal 129 2 2 2 2 7 2" xfId="48062"/>
    <cellStyle name="Normal 129 2 2 2 2 8" xfId="28262"/>
    <cellStyle name="Normal 129 2 2 2 3" xfId="2802"/>
    <cellStyle name="Normal 129 2 2 2 3 2" xfId="5894"/>
    <cellStyle name="Normal 129 2 2 2 3 2 2" xfId="7676"/>
    <cellStyle name="Normal 129 2 2 2 3 2 2 2" xfId="11005"/>
    <cellStyle name="Normal 129 2 2 2 3 2 2 2 2" xfId="17709"/>
    <cellStyle name="Normal 129 2 2 2 3 2 2 2 2 2" xfId="41130"/>
    <cellStyle name="Normal 129 2 2 2 3 2 2 2 3" xfId="34498"/>
    <cellStyle name="Normal 129 2 2 2 3 2 2 3" xfId="14393"/>
    <cellStyle name="Normal 129 2 2 2 3 2 2 3 2" xfId="37814"/>
    <cellStyle name="Normal 129 2 2 2 3 2 2 4" xfId="22864"/>
    <cellStyle name="Normal 129 2 2 2 3 2 2 4 2" xfId="45286"/>
    <cellStyle name="Normal 129 2 2 2 3 2 2 5" xfId="31182"/>
    <cellStyle name="Normal 129 2 2 2 3 2 3" xfId="9347"/>
    <cellStyle name="Normal 129 2 2 2 3 2 3 2" xfId="16051"/>
    <cellStyle name="Normal 129 2 2 2 3 2 3 2 2" xfId="39472"/>
    <cellStyle name="Normal 129 2 2 2 3 2 3 3" xfId="32840"/>
    <cellStyle name="Normal 129 2 2 2 3 2 4" xfId="12735"/>
    <cellStyle name="Normal 129 2 2 2 3 2 4 2" xfId="36156"/>
    <cellStyle name="Normal 129 2 2 2 3 2 5" xfId="20029"/>
    <cellStyle name="Normal 129 2 2 2 3 2 5 2" xfId="42564"/>
    <cellStyle name="Normal 129 2 2 2 3 2 6" xfId="29524"/>
    <cellStyle name="Normal 129 2 2 2 3 3" xfId="6777"/>
    <cellStyle name="Normal 129 2 2 2 3 3 2" xfId="10109"/>
    <cellStyle name="Normal 129 2 2 2 3 3 2 2" xfId="16813"/>
    <cellStyle name="Normal 129 2 2 2 3 3 2 2 2" xfId="40234"/>
    <cellStyle name="Normal 129 2 2 2 3 3 2 3" xfId="33602"/>
    <cellStyle name="Normal 129 2 2 2 3 3 3" xfId="13497"/>
    <cellStyle name="Normal 129 2 2 2 3 3 3 2" xfId="36918"/>
    <cellStyle name="Normal 129 2 2 2 3 3 4" xfId="21213"/>
    <cellStyle name="Normal 129 2 2 2 3 3 4 2" xfId="43664"/>
    <cellStyle name="Normal 129 2 2 2 3 3 5" xfId="30286"/>
    <cellStyle name="Normal 129 2 2 2 3 4" xfId="8443"/>
    <cellStyle name="Normal 129 2 2 2 3 4 2" xfId="15155"/>
    <cellStyle name="Normal 129 2 2 2 3 4 2 2" xfId="38576"/>
    <cellStyle name="Normal 129 2 2 2 3 4 3" xfId="22037"/>
    <cellStyle name="Normal 129 2 2 2 3 4 3 2" xfId="44465"/>
    <cellStyle name="Normal 129 2 2 2 3 4 4" xfId="31944"/>
    <cellStyle name="Normal 129 2 2 2 3 5" xfId="11837"/>
    <cellStyle name="Normal 129 2 2 2 3 5 2" xfId="35260"/>
    <cellStyle name="Normal 129 2 2 2 3 6" xfId="19175"/>
    <cellStyle name="Normal 129 2 2 2 3 6 2" xfId="41732"/>
    <cellStyle name="Normal 129 2 2 2 3 7" xfId="28628"/>
    <cellStyle name="Normal 129 2 2 2 4" xfId="3862"/>
    <cellStyle name="Normal 129 2 2 2 4 2" xfId="6966"/>
    <cellStyle name="Normal 129 2 2 2 4 2 2" xfId="10298"/>
    <cellStyle name="Normal 129 2 2 2 4 2 2 2" xfId="17002"/>
    <cellStyle name="Normal 129 2 2 2 4 2 2 2 2" xfId="40423"/>
    <cellStyle name="Normal 129 2 2 2 4 2 2 3" xfId="33791"/>
    <cellStyle name="Normal 129 2 2 2 4 2 3" xfId="13686"/>
    <cellStyle name="Normal 129 2 2 2 4 2 3 2" xfId="37107"/>
    <cellStyle name="Normal 129 2 2 2 4 2 4" xfId="22458"/>
    <cellStyle name="Normal 129 2 2 2 4 2 4 2" xfId="44880"/>
    <cellStyle name="Normal 129 2 2 2 4 2 5" xfId="30475"/>
    <cellStyle name="Normal 129 2 2 2 4 3" xfId="8633"/>
    <cellStyle name="Normal 129 2 2 2 4 3 2" xfId="15344"/>
    <cellStyle name="Normal 129 2 2 2 4 3 2 2" xfId="38765"/>
    <cellStyle name="Normal 129 2 2 2 4 3 3" xfId="32133"/>
    <cellStyle name="Normal 129 2 2 2 4 4" xfId="12026"/>
    <cellStyle name="Normal 129 2 2 2 4 4 2" xfId="35449"/>
    <cellStyle name="Normal 129 2 2 2 4 5" xfId="19611"/>
    <cellStyle name="Normal 129 2 2 2 4 5 2" xfId="42148"/>
    <cellStyle name="Normal 129 2 2 2 4 6" xfId="28817"/>
    <cellStyle name="Normal 129 2 2 2 5" xfId="6304"/>
    <cellStyle name="Normal 129 2 2 2 5 2" xfId="9638"/>
    <cellStyle name="Normal 129 2 2 2 5 2 2" xfId="16342"/>
    <cellStyle name="Normal 129 2 2 2 5 2 2 2" xfId="39763"/>
    <cellStyle name="Normal 129 2 2 2 5 2 3" xfId="33131"/>
    <cellStyle name="Normal 129 2 2 2 5 3" xfId="13026"/>
    <cellStyle name="Normal 129 2 2 2 5 3 2" xfId="36447"/>
    <cellStyle name="Normal 129 2 2 2 5 4" xfId="20754"/>
    <cellStyle name="Normal 129 2 2 2 5 4 2" xfId="43205"/>
    <cellStyle name="Normal 129 2 2 2 5 5" xfId="29815"/>
    <cellStyle name="Normal 129 2 2 2 6" xfId="7970"/>
    <cellStyle name="Normal 129 2 2 2 6 2" xfId="14684"/>
    <cellStyle name="Normal 129 2 2 2 6 2 2" xfId="38105"/>
    <cellStyle name="Normal 129 2 2 2 6 3" xfId="21607"/>
    <cellStyle name="Normal 129 2 2 2 6 3 2" xfId="44056"/>
    <cellStyle name="Normal 129 2 2 2 6 4" xfId="31473"/>
    <cellStyle name="Normal 129 2 2 2 7" xfId="11366"/>
    <cellStyle name="Normal 129 2 2 2 7 2" xfId="34789"/>
    <cellStyle name="Normal 129 2 2 2 8" xfId="17974"/>
    <cellStyle name="Normal 129 2 2 2 8 2" xfId="41279"/>
    <cellStyle name="Normal 129 2 2 2 9" xfId="23556"/>
    <cellStyle name="Normal 129 2 2 2 9 2" xfId="45871"/>
    <cellStyle name="Normal 129 2 2 3" xfId="2217"/>
    <cellStyle name="Normal 129 2 2 3 2" xfId="5488"/>
    <cellStyle name="Normal 129 2 2 3 2 2" xfId="7312"/>
    <cellStyle name="Normal 129 2 2 3 2 2 2" xfId="10643"/>
    <cellStyle name="Normal 129 2 2 3 2 2 2 2" xfId="17347"/>
    <cellStyle name="Normal 129 2 2 3 2 2 2 2 2" xfId="40768"/>
    <cellStyle name="Normal 129 2 2 3 2 2 2 3" xfId="23063"/>
    <cellStyle name="Normal 129 2 2 3 2 2 2 3 2" xfId="45485"/>
    <cellStyle name="Normal 129 2 2 3 2 2 2 4" xfId="34136"/>
    <cellStyle name="Normal 129 2 2 3 2 2 3" xfId="14031"/>
    <cellStyle name="Normal 129 2 2 3 2 2 3 2" xfId="37452"/>
    <cellStyle name="Normal 129 2 2 3 2 2 4" xfId="20236"/>
    <cellStyle name="Normal 129 2 2 3 2 2 4 2" xfId="42771"/>
    <cellStyle name="Normal 129 2 2 3 2 2 5" xfId="30820"/>
    <cellStyle name="Normal 129 2 2 3 2 3" xfId="8985"/>
    <cellStyle name="Normal 129 2 2 3 2 3 2" xfId="15689"/>
    <cellStyle name="Normal 129 2 2 3 2 3 2 2" xfId="39110"/>
    <cellStyle name="Normal 129 2 2 3 2 3 3" xfId="21215"/>
    <cellStyle name="Normal 129 2 2 3 2 3 3 2" xfId="43666"/>
    <cellStyle name="Normal 129 2 2 3 2 3 4" xfId="32478"/>
    <cellStyle name="Normal 129 2 2 3 2 4" xfId="12373"/>
    <cellStyle name="Normal 129 2 2 3 2 4 2" xfId="22249"/>
    <cellStyle name="Normal 129 2 2 3 2 4 2 2" xfId="44671"/>
    <cellStyle name="Normal 129 2 2 3 2 4 3" xfId="35794"/>
    <cellStyle name="Normal 129 2 2 3 2 5" xfId="19397"/>
    <cellStyle name="Normal 129 2 2 3 2 5 2" xfId="41939"/>
    <cellStyle name="Normal 129 2 2 3 2 6" xfId="29162"/>
    <cellStyle name="Normal 129 2 2 3 3" xfId="6408"/>
    <cellStyle name="Normal 129 2 2 3 3 2" xfId="9742"/>
    <cellStyle name="Normal 129 2 2 3 3 2 2" xfId="16446"/>
    <cellStyle name="Normal 129 2 2 3 3 2 2 2" xfId="39867"/>
    <cellStyle name="Normal 129 2 2 3 3 2 3" xfId="22657"/>
    <cellStyle name="Normal 129 2 2 3 3 2 3 2" xfId="45079"/>
    <cellStyle name="Normal 129 2 2 3 3 2 4" xfId="33235"/>
    <cellStyle name="Normal 129 2 2 3 3 3" xfId="13130"/>
    <cellStyle name="Normal 129 2 2 3 3 3 2" xfId="36551"/>
    <cellStyle name="Normal 129 2 2 3 3 4" xfId="19820"/>
    <cellStyle name="Normal 129 2 2 3 3 4 2" xfId="42355"/>
    <cellStyle name="Normal 129 2 2 3 3 5" xfId="29919"/>
    <cellStyle name="Normal 129 2 2 3 4" xfId="8075"/>
    <cellStyle name="Normal 129 2 2 3 4 2" xfId="14788"/>
    <cellStyle name="Normal 129 2 2 3 4 2 2" xfId="38209"/>
    <cellStyle name="Normal 129 2 2 3 4 3" xfId="20756"/>
    <cellStyle name="Normal 129 2 2 3 4 3 2" xfId="43207"/>
    <cellStyle name="Normal 129 2 2 3 4 4" xfId="31577"/>
    <cellStyle name="Normal 129 2 2 3 5" xfId="11470"/>
    <cellStyle name="Normal 129 2 2 3 5 2" xfId="21816"/>
    <cellStyle name="Normal 129 2 2 3 5 2 2" xfId="44257"/>
    <cellStyle name="Normal 129 2 2 3 5 3" xfId="34893"/>
    <cellStyle name="Normal 129 2 2 3 6" xfId="18585"/>
    <cellStyle name="Normal 129 2 2 3 6 2" xfId="41514"/>
    <cellStyle name="Normal 129 2 2 3 7" xfId="25816"/>
    <cellStyle name="Normal 129 2 2 3 7 2" xfId="48061"/>
    <cellStyle name="Normal 129 2 2 3 8" xfId="28261"/>
    <cellStyle name="Normal 129 2 2 4" xfId="2670"/>
    <cellStyle name="Normal 129 2 2 4 2" xfId="5763"/>
    <cellStyle name="Normal 129 2 2 4 2 2" xfId="7545"/>
    <cellStyle name="Normal 129 2 2 4 2 2 2" xfId="10874"/>
    <cellStyle name="Normal 129 2 2 4 2 2 2 2" xfId="17578"/>
    <cellStyle name="Normal 129 2 2 4 2 2 2 2 2" xfId="40999"/>
    <cellStyle name="Normal 129 2 2 4 2 2 2 3" xfId="34367"/>
    <cellStyle name="Normal 129 2 2 4 2 2 3" xfId="14262"/>
    <cellStyle name="Normal 129 2 2 4 2 2 3 2" xfId="37683"/>
    <cellStyle name="Normal 129 2 2 4 2 2 4" xfId="22863"/>
    <cellStyle name="Normal 129 2 2 4 2 2 4 2" xfId="45285"/>
    <cellStyle name="Normal 129 2 2 4 2 2 5" xfId="31051"/>
    <cellStyle name="Normal 129 2 2 4 2 3" xfId="9216"/>
    <cellStyle name="Normal 129 2 2 4 2 3 2" xfId="15920"/>
    <cellStyle name="Normal 129 2 2 4 2 3 2 2" xfId="39341"/>
    <cellStyle name="Normal 129 2 2 4 2 3 3" xfId="32709"/>
    <cellStyle name="Normal 129 2 2 4 2 4" xfId="12604"/>
    <cellStyle name="Normal 129 2 2 4 2 4 2" xfId="36025"/>
    <cellStyle name="Normal 129 2 2 4 2 5" xfId="20028"/>
    <cellStyle name="Normal 129 2 2 4 2 5 2" xfId="42563"/>
    <cellStyle name="Normal 129 2 2 4 2 6" xfId="29393"/>
    <cellStyle name="Normal 129 2 2 4 3" xfId="6646"/>
    <cellStyle name="Normal 129 2 2 4 3 2" xfId="9978"/>
    <cellStyle name="Normal 129 2 2 4 3 2 2" xfId="16682"/>
    <cellStyle name="Normal 129 2 2 4 3 2 2 2" xfId="40103"/>
    <cellStyle name="Normal 129 2 2 4 3 2 3" xfId="33471"/>
    <cellStyle name="Normal 129 2 2 4 3 3" xfId="13366"/>
    <cellStyle name="Normal 129 2 2 4 3 3 2" xfId="36787"/>
    <cellStyle name="Normal 129 2 2 4 3 4" xfId="21212"/>
    <cellStyle name="Normal 129 2 2 4 3 4 2" xfId="43663"/>
    <cellStyle name="Normal 129 2 2 4 3 5" xfId="30155"/>
    <cellStyle name="Normal 129 2 2 4 4" xfId="8312"/>
    <cellStyle name="Normal 129 2 2 4 4 2" xfId="15024"/>
    <cellStyle name="Normal 129 2 2 4 4 2 2" xfId="38445"/>
    <cellStyle name="Normal 129 2 2 4 4 3" xfId="22036"/>
    <cellStyle name="Normal 129 2 2 4 4 3 2" xfId="44464"/>
    <cellStyle name="Normal 129 2 2 4 4 4" xfId="31813"/>
    <cellStyle name="Normal 129 2 2 4 5" xfId="11706"/>
    <cellStyle name="Normal 129 2 2 4 5 2" xfId="35129"/>
    <cellStyle name="Normal 129 2 2 4 6" xfId="19174"/>
    <cellStyle name="Normal 129 2 2 4 6 2" xfId="41731"/>
    <cellStyle name="Normal 129 2 2 4 7" xfId="28497"/>
    <cellStyle name="Normal 129 2 2 5" xfId="3861"/>
    <cellStyle name="Normal 129 2 2 5 2" xfId="6965"/>
    <cellStyle name="Normal 129 2 2 5 2 2" xfId="10297"/>
    <cellStyle name="Normal 129 2 2 5 2 2 2" xfId="17001"/>
    <cellStyle name="Normal 129 2 2 5 2 2 2 2" xfId="40422"/>
    <cellStyle name="Normal 129 2 2 5 2 2 3" xfId="33790"/>
    <cellStyle name="Normal 129 2 2 5 2 3" xfId="13685"/>
    <cellStyle name="Normal 129 2 2 5 2 3 2" xfId="37106"/>
    <cellStyle name="Normal 129 2 2 5 2 4" xfId="22457"/>
    <cellStyle name="Normal 129 2 2 5 2 4 2" xfId="44879"/>
    <cellStyle name="Normal 129 2 2 5 2 5" xfId="30474"/>
    <cellStyle name="Normal 129 2 2 5 3" xfId="8632"/>
    <cellStyle name="Normal 129 2 2 5 3 2" xfId="15343"/>
    <cellStyle name="Normal 129 2 2 5 3 2 2" xfId="38764"/>
    <cellStyle name="Normal 129 2 2 5 3 3" xfId="32132"/>
    <cellStyle name="Normal 129 2 2 5 4" xfId="12025"/>
    <cellStyle name="Normal 129 2 2 5 4 2" xfId="35448"/>
    <cellStyle name="Normal 129 2 2 5 5" xfId="19610"/>
    <cellStyle name="Normal 129 2 2 5 5 2" xfId="42147"/>
    <cellStyle name="Normal 129 2 2 5 6" xfId="28816"/>
    <cellStyle name="Normal 129 2 2 6" xfId="6173"/>
    <cellStyle name="Normal 129 2 2 6 2" xfId="9507"/>
    <cellStyle name="Normal 129 2 2 6 2 2" xfId="16211"/>
    <cellStyle name="Normal 129 2 2 6 2 2 2" xfId="39632"/>
    <cellStyle name="Normal 129 2 2 6 2 3" xfId="33000"/>
    <cellStyle name="Normal 129 2 2 6 3" xfId="12895"/>
    <cellStyle name="Normal 129 2 2 6 3 2" xfId="36316"/>
    <cellStyle name="Normal 129 2 2 6 4" xfId="20753"/>
    <cellStyle name="Normal 129 2 2 6 4 2" xfId="43204"/>
    <cellStyle name="Normal 129 2 2 6 5" xfId="29684"/>
    <cellStyle name="Normal 129 2 2 7" xfId="7839"/>
    <cellStyle name="Normal 129 2 2 7 2" xfId="14553"/>
    <cellStyle name="Normal 129 2 2 7 2 2" xfId="37974"/>
    <cellStyle name="Normal 129 2 2 7 3" xfId="21606"/>
    <cellStyle name="Normal 129 2 2 7 3 2" xfId="44055"/>
    <cellStyle name="Normal 129 2 2 7 4" xfId="31342"/>
    <cellStyle name="Normal 129 2 2 8" xfId="11235"/>
    <cellStyle name="Normal 129 2 2 8 2" xfId="34658"/>
    <cellStyle name="Normal 129 2 2 9" xfId="17973"/>
    <cellStyle name="Normal 129 2 2 9 2" xfId="41278"/>
    <cellStyle name="Normal 129 2 3" xfId="1760"/>
    <cellStyle name="Normal 129 2 3 10" xfId="28112"/>
    <cellStyle name="Normal 129 2 3 2" xfId="2219"/>
    <cellStyle name="Normal 129 2 3 2 2" xfId="5490"/>
    <cellStyle name="Normal 129 2 3 2 2 2" xfId="7314"/>
    <cellStyle name="Normal 129 2 3 2 2 2 2" xfId="10645"/>
    <cellStyle name="Normal 129 2 3 2 2 2 2 2" xfId="17349"/>
    <cellStyle name="Normal 129 2 3 2 2 2 2 2 2" xfId="40770"/>
    <cellStyle name="Normal 129 2 3 2 2 2 2 3" xfId="23065"/>
    <cellStyle name="Normal 129 2 3 2 2 2 2 3 2" xfId="45487"/>
    <cellStyle name="Normal 129 2 3 2 2 2 2 4" xfId="34138"/>
    <cellStyle name="Normal 129 2 3 2 2 2 3" xfId="14033"/>
    <cellStyle name="Normal 129 2 3 2 2 2 3 2" xfId="37454"/>
    <cellStyle name="Normal 129 2 3 2 2 2 4" xfId="20238"/>
    <cellStyle name="Normal 129 2 3 2 2 2 4 2" xfId="42773"/>
    <cellStyle name="Normal 129 2 3 2 2 2 5" xfId="30822"/>
    <cellStyle name="Normal 129 2 3 2 2 3" xfId="8987"/>
    <cellStyle name="Normal 129 2 3 2 2 3 2" xfId="15691"/>
    <cellStyle name="Normal 129 2 3 2 2 3 2 2" xfId="39112"/>
    <cellStyle name="Normal 129 2 3 2 2 3 3" xfId="21217"/>
    <cellStyle name="Normal 129 2 3 2 2 3 3 2" xfId="43668"/>
    <cellStyle name="Normal 129 2 3 2 2 3 4" xfId="32480"/>
    <cellStyle name="Normal 129 2 3 2 2 4" xfId="12375"/>
    <cellStyle name="Normal 129 2 3 2 2 4 2" xfId="22251"/>
    <cellStyle name="Normal 129 2 3 2 2 4 2 2" xfId="44673"/>
    <cellStyle name="Normal 129 2 3 2 2 4 3" xfId="35796"/>
    <cellStyle name="Normal 129 2 3 2 2 5" xfId="19399"/>
    <cellStyle name="Normal 129 2 3 2 2 5 2" xfId="41941"/>
    <cellStyle name="Normal 129 2 3 2 2 6" xfId="29164"/>
    <cellStyle name="Normal 129 2 3 2 3" xfId="6410"/>
    <cellStyle name="Normal 129 2 3 2 3 2" xfId="9744"/>
    <cellStyle name="Normal 129 2 3 2 3 2 2" xfId="16448"/>
    <cellStyle name="Normal 129 2 3 2 3 2 2 2" xfId="39869"/>
    <cellStyle name="Normal 129 2 3 2 3 2 3" xfId="22659"/>
    <cellStyle name="Normal 129 2 3 2 3 2 3 2" xfId="45081"/>
    <cellStyle name="Normal 129 2 3 2 3 2 4" xfId="33237"/>
    <cellStyle name="Normal 129 2 3 2 3 3" xfId="13132"/>
    <cellStyle name="Normal 129 2 3 2 3 3 2" xfId="36553"/>
    <cellStyle name="Normal 129 2 3 2 3 4" xfId="19822"/>
    <cellStyle name="Normal 129 2 3 2 3 4 2" xfId="42357"/>
    <cellStyle name="Normal 129 2 3 2 3 5" xfId="29921"/>
    <cellStyle name="Normal 129 2 3 2 4" xfId="8077"/>
    <cellStyle name="Normal 129 2 3 2 4 2" xfId="14790"/>
    <cellStyle name="Normal 129 2 3 2 4 2 2" xfId="38211"/>
    <cellStyle name="Normal 129 2 3 2 4 3" xfId="20758"/>
    <cellStyle name="Normal 129 2 3 2 4 3 2" xfId="43209"/>
    <cellStyle name="Normal 129 2 3 2 4 4" xfId="31579"/>
    <cellStyle name="Normal 129 2 3 2 5" xfId="11472"/>
    <cellStyle name="Normal 129 2 3 2 5 2" xfId="21818"/>
    <cellStyle name="Normal 129 2 3 2 5 2 2" xfId="44259"/>
    <cellStyle name="Normal 129 2 3 2 5 3" xfId="34895"/>
    <cellStyle name="Normal 129 2 3 2 6" xfId="18587"/>
    <cellStyle name="Normal 129 2 3 2 6 2" xfId="41516"/>
    <cellStyle name="Normal 129 2 3 2 7" xfId="25818"/>
    <cellStyle name="Normal 129 2 3 2 7 2" xfId="48063"/>
    <cellStyle name="Normal 129 2 3 2 8" xfId="28263"/>
    <cellStyle name="Normal 129 2 3 3" xfId="2757"/>
    <cellStyle name="Normal 129 2 3 3 2" xfId="5849"/>
    <cellStyle name="Normal 129 2 3 3 2 2" xfId="7631"/>
    <cellStyle name="Normal 129 2 3 3 2 2 2" xfId="10960"/>
    <cellStyle name="Normal 129 2 3 3 2 2 2 2" xfId="17664"/>
    <cellStyle name="Normal 129 2 3 3 2 2 2 2 2" xfId="41085"/>
    <cellStyle name="Normal 129 2 3 3 2 2 2 3" xfId="34453"/>
    <cellStyle name="Normal 129 2 3 3 2 2 3" xfId="14348"/>
    <cellStyle name="Normal 129 2 3 3 2 2 3 2" xfId="37769"/>
    <cellStyle name="Normal 129 2 3 3 2 2 4" xfId="22865"/>
    <cellStyle name="Normal 129 2 3 3 2 2 4 2" xfId="45287"/>
    <cellStyle name="Normal 129 2 3 3 2 2 5" xfId="31137"/>
    <cellStyle name="Normal 129 2 3 3 2 3" xfId="9302"/>
    <cellStyle name="Normal 129 2 3 3 2 3 2" xfId="16006"/>
    <cellStyle name="Normal 129 2 3 3 2 3 2 2" xfId="39427"/>
    <cellStyle name="Normal 129 2 3 3 2 3 3" xfId="32795"/>
    <cellStyle name="Normal 129 2 3 3 2 4" xfId="12690"/>
    <cellStyle name="Normal 129 2 3 3 2 4 2" xfId="36111"/>
    <cellStyle name="Normal 129 2 3 3 2 5" xfId="20030"/>
    <cellStyle name="Normal 129 2 3 3 2 5 2" xfId="42565"/>
    <cellStyle name="Normal 129 2 3 3 2 6" xfId="29479"/>
    <cellStyle name="Normal 129 2 3 3 3" xfId="6732"/>
    <cellStyle name="Normal 129 2 3 3 3 2" xfId="10064"/>
    <cellStyle name="Normal 129 2 3 3 3 2 2" xfId="16768"/>
    <cellStyle name="Normal 129 2 3 3 3 2 2 2" xfId="40189"/>
    <cellStyle name="Normal 129 2 3 3 3 2 3" xfId="33557"/>
    <cellStyle name="Normal 129 2 3 3 3 3" xfId="13452"/>
    <cellStyle name="Normal 129 2 3 3 3 3 2" xfId="36873"/>
    <cellStyle name="Normal 129 2 3 3 3 4" xfId="21216"/>
    <cellStyle name="Normal 129 2 3 3 3 4 2" xfId="43667"/>
    <cellStyle name="Normal 129 2 3 3 3 5" xfId="30241"/>
    <cellStyle name="Normal 129 2 3 3 4" xfId="8398"/>
    <cellStyle name="Normal 129 2 3 3 4 2" xfId="15110"/>
    <cellStyle name="Normal 129 2 3 3 4 2 2" xfId="38531"/>
    <cellStyle name="Normal 129 2 3 3 4 3" xfId="22038"/>
    <cellStyle name="Normal 129 2 3 3 4 3 2" xfId="44466"/>
    <cellStyle name="Normal 129 2 3 3 4 4" xfId="31899"/>
    <cellStyle name="Normal 129 2 3 3 5" xfId="11792"/>
    <cellStyle name="Normal 129 2 3 3 5 2" xfId="35215"/>
    <cellStyle name="Normal 129 2 3 3 6" xfId="19176"/>
    <cellStyle name="Normal 129 2 3 3 6 2" xfId="41733"/>
    <cellStyle name="Normal 129 2 3 3 7" xfId="28583"/>
    <cellStyle name="Normal 129 2 3 4" xfId="3863"/>
    <cellStyle name="Normal 129 2 3 4 2" xfId="6967"/>
    <cellStyle name="Normal 129 2 3 4 2 2" xfId="10299"/>
    <cellStyle name="Normal 129 2 3 4 2 2 2" xfId="17003"/>
    <cellStyle name="Normal 129 2 3 4 2 2 2 2" xfId="40424"/>
    <cellStyle name="Normal 129 2 3 4 2 2 3" xfId="33792"/>
    <cellStyle name="Normal 129 2 3 4 2 3" xfId="13687"/>
    <cellStyle name="Normal 129 2 3 4 2 3 2" xfId="37108"/>
    <cellStyle name="Normal 129 2 3 4 2 4" xfId="22459"/>
    <cellStyle name="Normal 129 2 3 4 2 4 2" xfId="44881"/>
    <cellStyle name="Normal 129 2 3 4 2 5" xfId="30476"/>
    <cellStyle name="Normal 129 2 3 4 3" xfId="8634"/>
    <cellStyle name="Normal 129 2 3 4 3 2" xfId="15345"/>
    <cellStyle name="Normal 129 2 3 4 3 2 2" xfId="38766"/>
    <cellStyle name="Normal 129 2 3 4 3 3" xfId="32134"/>
    <cellStyle name="Normal 129 2 3 4 4" xfId="12027"/>
    <cellStyle name="Normal 129 2 3 4 4 2" xfId="35450"/>
    <cellStyle name="Normal 129 2 3 4 5" xfId="19612"/>
    <cellStyle name="Normal 129 2 3 4 5 2" xfId="42149"/>
    <cellStyle name="Normal 129 2 3 4 6" xfId="28818"/>
    <cellStyle name="Normal 129 2 3 5" xfId="6259"/>
    <cellStyle name="Normal 129 2 3 5 2" xfId="9593"/>
    <cellStyle name="Normal 129 2 3 5 2 2" xfId="16297"/>
    <cellStyle name="Normal 129 2 3 5 2 2 2" xfId="39718"/>
    <cellStyle name="Normal 129 2 3 5 2 3" xfId="33086"/>
    <cellStyle name="Normal 129 2 3 5 3" xfId="12981"/>
    <cellStyle name="Normal 129 2 3 5 3 2" xfId="36402"/>
    <cellStyle name="Normal 129 2 3 5 4" xfId="20757"/>
    <cellStyle name="Normal 129 2 3 5 4 2" xfId="43208"/>
    <cellStyle name="Normal 129 2 3 5 5" xfId="29770"/>
    <cellStyle name="Normal 129 2 3 6" xfId="7925"/>
    <cellStyle name="Normal 129 2 3 6 2" xfId="14639"/>
    <cellStyle name="Normal 129 2 3 6 2 2" xfId="38060"/>
    <cellStyle name="Normal 129 2 3 6 3" xfId="21608"/>
    <cellStyle name="Normal 129 2 3 6 3 2" xfId="44057"/>
    <cellStyle name="Normal 129 2 3 6 4" xfId="31428"/>
    <cellStyle name="Normal 129 2 3 7" xfId="11321"/>
    <cellStyle name="Normal 129 2 3 7 2" xfId="34744"/>
    <cellStyle name="Normal 129 2 3 8" xfId="17975"/>
    <cellStyle name="Normal 129 2 3 8 2" xfId="41280"/>
    <cellStyle name="Normal 129 2 3 9" xfId="23557"/>
    <cellStyle name="Normal 129 2 3 9 2" xfId="45872"/>
    <cellStyle name="Normal 129 2 4" xfId="2216"/>
    <cellStyle name="Normal 129 2 4 2" xfId="5487"/>
    <cellStyle name="Normal 129 2 4 2 2" xfId="7311"/>
    <cellStyle name="Normal 129 2 4 2 2 2" xfId="10642"/>
    <cellStyle name="Normal 129 2 4 2 2 2 2" xfId="17346"/>
    <cellStyle name="Normal 129 2 4 2 2 2 2 2" xfId="40767"/>
    <cellStyle name="Normal 129 2 4 2 2 2 3" xfId="23062"/>
    <cellStyle name="Normal 129 2 4 2 2 2 3 2" xfId="45484"/>
    <cellStyle name="Normal 129 2 4 2 2 2 4" xfId="34135"/>
    <cellStyle name="Normal 129 2 4 2 2 3" xfId="14030"/>
    <cellStyle name="Normal 129 2 4 2 2 3 2" xfId="37451"/>
    <cellStyle name="Normal 129 2 4 2 2 4" xfId="20235"/>
    <cellStyle name="Normal 129 2 4 2 2 4 2" xfId="42770"/>
    <cellStyle name="Normal 129 2 4 2 2 5" xfId="30819"/>
    <cellStyle name="Normal 129 2 4 2 3" xfId="8984"/>
    <cellStyle name="Normal 129 2 4 2 3 2" xfId="15688"/>
    <cellStyle name="Normal 129 2 4 2 3 2 2" xfId="39109"/>
    <cellStyle name="Normal 129 2 4 2 3 3" xfId="21218"/>
    <cellStyle name="Normal 129 2 4 2 3 3 2" xfId="43669"/>
    <cellStyle name="Normal 129 2 4 2 3 4" xfId="32477"/>
    <cellStyle name="Normal 129 2 4 2 4" xfId="12372"/>
    <cellStyle name="Normal 129 2 4 2 4 2" xfId="22248"/>
    <cellStyle name="Normal 129 2 4 2 4 2 2" xfId="44670"/>
    <cellStyle name="Normal 129 2 4 2 4 3" xfId="35793"/>
    <cellStyle name="Normal 129 2 4 2 5" xfId="19396"/>
    <cellStyle name="Normal 129 2 4 2 5 2" xfId="41938"/>
    <cellStyle name="Normal 129 2 4 2 6" xfId="29161"/>
    <cellStyle name="Normal 129 2 4 3" xfId="6407"/>
    <cellStyle name="Normal 129 2 4 3 2" xfId="9741"/>
    <cellStyle name="Normal 129 2 4 3 2 2" xfId="16445"/>
    <cellStyle name="Normal 129 2 4 3 2 2 2" xfId="39866"/>
    <cellStyle name="Normal 129 2 4 3 2 3" xfId="22656"/>
    <cellStyle name="Normal 129 2 4 3 2 3 2" xfId="45078"/>
    <cellStyle name="Normal 129 2 4 3 2 4" xfId="33234"/>
    <cellStyle name="Normal 129 2 4 3 3" xfId="13129"/>
    <cellStyle name="Normal 129 2 4 3 3 2" xfId="36550"/>
    <cellStyle name="Normal 129 2 4 3 4" xfId="19819"/>
    <cellStyle name="Normal 129 2 4 3 4 2" xfId="42354"/>
    <cellStyle name="Normal 129 2 4 3 5" xfId="29918"/>
    <cellStyle name="Normal 129 2 4 4" xfId="8074"/>
    <cellStyle name="Normal 129 2 4 4 2" xfId="14787"/>
    <cellStyle name="Normal 129 2 4 4 2 2" xfId="38208"/>
    <cellStyle name="Normal 129 2 4 4 3" xfId="20759"/>
    <cellStyle name="Normal 129 2 4 4 3 2" xfId="43210"/>
    <cellStyle name="Normal 129 2 4 4 4" xfId="31576"/>
    <cellStyle name="Normal 129 2 4 5" xfId="11469"/>
    <cellStyle name="Normal 129 2 4 5 2" xfId="21815"/>
    <cellStyle name="Normal 129 2 4 5 2 2" xfId="44256"/>
    <cellStyle name="Normal 129 2 4 5 3" xfId="34892"/>
    <cellStyle name="Normal 129 2 4 6" xfId="18584"/>
    <cellStyle name="Normal 129 2 4 6 2" xfId="41513"/>
    <cellStyle name="Normal 129 2 4 7" xfId="25815"/>
    <cellStyle name="Normal 129 2 4 7 2" xfId="48060"/>
    <cellStyle name="Normal 129 2 4 8" xfId="28260"/>
    <cellStyle name="Normal 129 2 5" xfId="2625"/>
    <cellStyle name="Normal 129 2 5 2" xfId="5718"/>
    <cellStyle name="Normal 129 2 5 2 2" xfId="7500"/>
    <cellStyle name="Normal 129 2 5 2 2 2" xfId="10829"/>
    <cellStyle name="Normal 129 2 5 2 2 2 2" xfId="17533"/>
    <cellStyle name="Normal 129 2 5 2 2 2 2 2" xfId="40954"/>
    <cellStyle name="Normal 129 2 5 2 2 2 3" xfId="34322"/>
    <cellStyle name="Normal 129 2 5 2 2 3" xfId="14217"/>
    <cellStyle name="Normal 129 2 5 2 2 3 2" xfId="37638"/>
    <cellStyle name="Normal 129 2 5 2 2 4" xfId="20584"/>
    <cellStyle name="Normal 129 2 5 2 2 4 2" xfId="43035"/>
    <cellStyle name="Normal 129 2 5 2 2 5" xfId="31006"/>
    <cellStyle name="Normal 129 2 5 2 3" xfId="9171"/>
    <cellStyle name="Normal 129 2 5 2 3 2" xfId="15875"/>
    <cellStyle name="Normal 129 2 5 2 3 2 2" xfId="39296"/>
    <cellStyle name="Normal 129 2 5 2 3 3" xfId="21502"/>
    <cellStyle name="Normal 129 2 5 2 3 3 2" xfId="43953"/>
    <cellStyle name="Normal 129 2 5 2 3 4" xfId="32664"/>
    <cellStyle name="Normal 129 2 5 2 4" xfId="12559"/>
    <cellStyle name="Normal 129 2 5 2 4 2" xfId="22862"/>
    <cellStyle name="Normal 129 2 5 2 4 2 2" xfId="45284"/>
    <cellStyle name="Normal 129 2 5 2 4 3" xfId="35980"/>
    <cellStyle name="Normal 129 2 5 2 5" xfId="20027"/>
    <cellStyle name="Normal 129 2 5 2 5 2" xfId="42562"/>
    <cellStyle name="Normal 129 2 5 2 6" xfId="29348"/>
    <cellStyle name="Normal 129 2 5 3" xfId="6601"/>
    <cellStyle name="Normal 129 2 5 3 2" xfId="9933"/>
    <cellStyle name="Normal 129 2 5 3 2 2" xfId="16637"/>
    <cellStyle name="Normal 129 2 5 3 2 2 2" xfId="40058"/>
    <cellStyle name="Normal 129 2 5 3 2 3" xfId="33426"/>
    <cellStyle name="Normal 129 2 5 3 3" xfId="13321"/>
    <cellStyle name="Normal 129 2 5 3 3 2" xfId="36742"/>
    <cellStyle name="Normal 129 2 5 3 4" xfId="20486"/>
    <cellStyle name="Normal 129 2 5 3 4 2" xfId="42939"/>
    <cellStyle name="Normal 129 2 5 3 5" xfId="30110"/>
    <cellStyle name="Normal 129 2 5 4" xfId="8267"/>
    <cellStyle name="Normal 129 2 5 4 2" xfId="14979"/>
    <cellStyle name="Normal 129 2 5 4 2 2" xfId="38400"/>
    <cellStyle name="Normal 129 2 5 4 3" xfId="21043"/>
    <cellStyle name="Normal 129 2 5 4 3 2" xfId="43494"/>
    <cellStyle name="Normal 129 2 5 4 4" xfId="31768"/>
    <cellStyle name="Normal 129 2 5 5" xfId="11661"/>
    <cellStyle name="Normal 129 2 5 5 2" xfId="22035"/>
    <cellStyle name="Normal 129 2 5 5 2 2" xfId="44463"/>
    <cellStyle name="Normal 129 2 5 5 3" xfId="35084"/>
    <cellStyle name="Normal 129 2 5 6" xfId="19173"/>
    <cellStyle name="Normal 129 2 5 6 2" xfId="41730"/>
    <cellStyle name="Normal 129 2 5 7" xfId="28452"/>
    <cellStyle name="Normal 129 2 6" xfId="3860"/>
    <cellStyle name="Normal 129 2 6 2" xfId="6964"/>
    <cellStyle name="Normal 129 2 6 2 2" xfId="10296"/>
    <cellStyle name="Normal 129 2 6 2 2 2" xfId="17000"/>
    <cellStyle name="Normal 129 2 6 2 2 2 2" xfId="40421"/>
    <cellStyle name="Normal 129 2 6 2 2 3" xfId="33789"/>
    <cellStyle name="Normal 129 2 6 2 3" xfId="13684"/>
    <cellStyle name="Normal 129 2 6 2 3 2" xfId="37105"/>
    <cellStyle name="Normal 129 2 6 2 4" xfId="20532"/>
    <cellStyle name="Normal 129 2 6 2 4 2" xfId="42985"/>
    <cellStyle name="Normal 129 2 6 2 5" xfId="30473"/>
    <cellStyle name="Normal 129 2 6 3" xfId="8631"/>
    <cellStyle name="Normal 129 2 6 3 2" xfId="15342"/>
    <cellStyle name="Normal 129 2 6 3 2 2" xfId="38763"/>
    <cellStyle name="Normal 129 2 6 3 3" xfId="21211"/>
    <cellStyle name="Normal 129 2 6 3 3 2" xfId="43662"/>
    <cellStyle name="Normal 129 2 6 3 4" xfId="32131"/>
    <cellStyle name="Normal 129 2 6 4" xfId="12024"/>
    <cellStyle name="Normal 129 2 6 4 2" xfId="22456"/>
    <cellStyle name="Normal 129 2 6 4 2 2" xfId="44878"/>
    <cellStyle name="Normal 129 2 6 4 3" xfId="35447"/>
    <cellStyle name="Normal 129 2 6 5" xfId="19609"/>
    <cellStyle name="Normal 129 2 6 5 2" xfId="42146"/>
    <cellStyle name="Normal 129 2 6 6" xfId="28815"/>
    <cellStyle name="Normal 129 2 7" xfId="6128"/>
    <cellStyle name="Normal 129 2 7 2" xfId="9462"/>
    <cellStyle name="Normal 129 2 7 2 2" xfId="16166"/>
    <cellStyle name="Normal 129 2 7 2 2 2" xfId="39587"/>
    <cellStyle name="Normal 129 2 7 2 3" xfId="32955"/>
    <cellStyle name="Normal 129 2 7 3" xfId="12850"/>
    <cellStyle name="Normal 129 2 7 3 2" xfId="36271"/>
    <cellStyle name="Normal 129 2 7 4" xfId="18297"/>
    <cellStyle name="Normal 129 2 7 4 2" xfId="41430"/>
    <cellStyle name="Normal 129 2 7 5" xfId="29639"/>
    <cellStyle name="Normal 129 2 8" xfId="7794"/>
    <cellStyle name="Normal 129 2 8 2" xfId="14508"/>
    <cellStyle name="Normal 129 2 8 2 2" xfId="37929"/>
    <cellStyle name="Normal 129 2 8 3" xfId="20752"/>
    <cellStyle name="Normal 129 2 8 3 2" xfId="43203"/>
    <cellStyle name="Normal 129 2 8 4" xfId="31297"/>
    <cellStyle name="Normal 129 2 9" xfId="11190"/>
    <cellStyle name="Normal 129 2 9 2" xfId="21605"/>
    <cellStyle name="Normal 129 2 9 2 2" xfId="44054"/>
    <cellStyle name="Normal 129 2 9 3" xfId="34613"/>
    <cellStyle name="Normal 129 3" xfId="1586"/>
    <cellStyle name="Normal 129 3 10" xfId="23558"/>
    <cellStyle name="Normal 129 3 10 2" xfId="45873"/>
    <cellStyle name="Normal 129 3 11" xfId="28025"/>
    <cellStyle name="Normal 129 3 2" xfId="1804"/>
    <cellStyle name="Normal 129 3 2 10" xfId="28156"/>
    <cellStyle name="Normal 129 3 2 2" xfId="2221"/>
    <cellStyle name="Normal 129 3 2 2 2" xfId="5492"/>
    <cellStyle name="Normal 129 3 2 2 2 2" xfId="7316"/>
    <cellStyle name="Normal 129 3 2 2 2 2 2" xfId="10647"/>
    <cellStyle name="Normal 129 3 2 2 2 2 2 2" xfId="17351"/>
    <cellStyle name="Normal 129 3 2 2 2 2 2 2 2" xfId="40772"/>
    <cellStyle name="Normal 129 3 2 2 2 2 2 3" xfId="23067"/>
    <cellStyle name="Normal 129 3 2 2 2 2 2 3 2" xfId="45489"/>
    <cellStyle name="Normal 129 3 2 2 2 2 2 4" xfId="34140"/>
    <cellStyle name="Normal 129 3 2 2 2 2 3" xfId="14035"/>
    <cellStyle name="Normal 129 3 2 2 2 2 3 2" xfId="37456"/>
    <cellStyle name="Normal 129 3 2 2 2 2 4" xfId="20240"/>
    <cellStyle name="Normal 129 3 2 2 2 2 4 2" xfId="42775"/>
    <cellStyle name="Normal 129 3 2 2 2 2 5" xfId="30824"/>
    <cellStyle name="Normal 129 3 2 2 2 3" xfId="8989"/>
    <cellStyle name="Normal 129 3 2 2 2 3 2" xfId="15693"/>
    <cellStyle name="Normal 129 3 2 2 2 3 2 2" xfId="39114"/>
    <cellStyle name="Normal 129 3 2 2 2 3 3" xfId="21221"/>
    <cellStyle name="Normal 129 3 2 2 2 3 3 2" xfId="43672"/>
    <cellStyle name="Normal 129 3 2 2 2 3 4" xfId="32482"/>
    <cellStyle name="Normal 129 3 2 2 2 4" xfId="12377"/>
    <cellStyle name="Normal 129 3 2 2 2 4 2" xfId="22253"/>
    <cellStyle name="Normal 129 3 2 2 2 4 2 2" xfId="44675"/>
    <cellStyle name="Normal 129 3 2 2 2 4 3" xfId="35798"/>
    <cellStyle name="Normal 129 3 2 2 2 5" xfId="19401"/>
    <cellStyle name="Normal 129 3 2 2 2 5 2" xfId="41943"/>
    <cellStyle name="Normal 129 3 2 2 2 6" xfId="29166"/>
    <cellStyle name="Normal 129 3 2 2 3" xfId="6412"/>
    <cellStyle name="Normal 129 3 2 2 3 2" xfId="9746"/>
    <cellStyle name="Normal 129 3 2 2 3 2 2" xfId="16450"/>
    <cellStyle name="Normal 129 3 2 2 3 2 2 2" xfId="39871"/>
    <cellStyle name="Normal 129 3 2 2 3 2 3" xfId="22661"/>
    <cellStyle name="Normal 129 3 2 2 3 2 3 2" xfId="45083"/>
    <cellStyle name="Normal 129 3 2 2 3 2 4" xfId="33239"/>
    <cellStyle name="Normal 129 3 2 2 3 3" xfId="13134"/>
    <cellStyle name="Normal 129 3 2 2 3 3 2" xfId="36555"/>
    <cellStyle name="Normal 129 3 2 2 3 4" xfId="19824"/>
    <cellStyle name="Normal 129 3 2 2 3 4 2" xfId="42359"/>
    <cellStyle name="Normal 129 3 2 2 3 5" xfId="29923"/>
    <cellStyle name="Normal 129 3 2 2 4" xfId="8079"/>
    <cellStyle name="Normal 129 3 2 2 4 2" xfId="14792"/>
    <cellStyle name="Normal 129 3 2 2 4 2 2" xfId="38213"/>
    <cellStyle name="Normal 129 3 2 2 4 3" xfId="20762"/>
    <cellStyle name="Normal 129 3 2 2 4 3 2" xfId="43213"/>
    <cellStyle name="Normal 129 3 2 2 4 4" xfId="31581"/>
    <cellStyle name="Normal 129 3 2 2 5" xfId="11474"/>
    <cellStyle name="Normal 129 3 2 2 5 2" xfId="21820"/>
    <cellStyle name="Normal 129 3 2 2 5 2 2" xfId="44261"/>
    <cellStyle name="Normal 129 3 2 2 5 3" xfId="34897"/>
    <cellStyle name="Normal 129 3 2 2 6" xfId="18589"/>
    <cellStyle name="Normal 129 3 2 2 6 2" xfId="41518"/>
    <cellStyle name="Normal 129 3 2 2 7" xfId="25820"/>
    <cellStyle name="Normal 129 3 2 2 7 2" xfId="48065"/>
    <cellStyle name="Normal 129 3 2 2 8" xfId="28265"/>
    <cellStyle name="Normal 129 3 2 3" xfId="2801"/>
    <cellStyle name="Normal 129 3 2 3 2" xfId="5893"/>
    <cellStyle name="Normal 129 3 2 3 2 2" xfId="7675"/>
    <cellStyle name="Normal 129 3 2 3 2 2 2" xfId="11004"/>
    <cellStyle name="Normal 129 3 2 3 2 2 2 2" xfId="17708"/>
    <cellStyle name="Normal 129 3 2 3 2 2 2 2 2" xfId="41129"/>
    <cellStyle name="Normal 129 3 2 3 2 2 2 3" xfId="34497"/>
    <cellStyle name="Normal 129 3 2 3 2 2 3" xfId="14392"/>
    <cellStyle name="Normal 129 3 2 3 2 2 3 2" xfId="37813"/>
    <cellStyle name="Normal 129 3 2 3 2 2 4" xfId="22867"/>
    <cellStyle name="Normal 129 3 2 3 2 2 4 2" xfId="45289"/>
    <cellStyle name="Normal 129 3 2 3 2 2 5" xfId="31181"/>
    <cellStyle name="Normal 129 3 2 3 2 3" xfId="9346"/>
    <cellStyle name="Normal 129 3 2 3 2 3 2" xfId="16050"/>
    <cellStyle name="Normal 129 3 2 3 2 3 2 2" xfId="39471"/>
    <cellStyle name="Normal 129 3 2 3 2 3 3" xfId="32839"/>
    <cellStyle name="Normal 129 3 2 3 2 4" xfId="12734"/>
    <cellStyle name="Normal 129 3 2 3 2 4 2" xfId="36155"/>
    <cellStyle name="Normal 129 3 2 3 2 5" xfId="20032"/>
    <cellStyle name="Normal 129 3 2 3 2 5 2" xfId="42567"/>
    <cellStyle name="Normal 129 3 2 3 2 6" xfId="29523"/>
    <cellStyle name="Normal 129 3 2 3 3" xfId="6776"/>
    <cellStyle name="Normal 129 3 2 3 3 2" xfId="10108"/>
    <cellStyle name="Normal 129 3 2 3 3 2 2" xfId="16812"/>
    <cellStyle name="Normal 129 3 2 3 3 2 2 2" xfId="40233"/>
    <cellStyle name="Normal 129 3 2 3 3 2 3" xfId="33601"/>
    <cellStyle name="Normal 129 3 2 3 3 3" xfId="13496"/>
    <cellStyle name="Normal 129 3 2 3 3 3 2" xfId="36917"/>
    <cellStyle name="Normal 129 3 2 3 3 4" xfId="21220"/>
    <cellStyle name="Normal 129 3 2 3 3 4 2" xfId="43671"/>
    <cellStyle name="Normal 129 3 2 3 3 5" xfId="30285"/>
    <cellStyle name="Normal 129 3 2 3 4" xfId="8442"/>
    <cellStyle name="Normal 129 3 2 3 4 2" xfId="15154"/>
    <cellStyle name="Normal 129 3 2 3 4 2 2" xfId="38575"/>
    <cellStyle name="Normal 129 3 2 3 4 3" xfId="22040"/>
    <cellStyle name="Normal 129 3 2 3 4 3 2" xfId="44468"/>
    <cellStyle name="Normal 129 3 2 3 4 4" xfId="31943"/>
    <cellStyle name="Normal 129 3 2 3 5" xfId="11836"/>
    <cellStyle name="Normal 129 3 2 3 5 2" xfId="35259"/>
    <cellStyle name="Normal 129 3 2 3 6" xfId="19178"/>
    <cellStyle name="Normal 129 3 2 3 6 2" xfId="41735"/>
    <cellStyle name="Normal 129 3 2 3 7" xfId="28627"/>
    <cellStyle name="Normal 129 3 2 4" xfId="3865"/>
    <cellStyle name="Normal 129 3 2 4 2" xfId="6969"/>
    <cellStyle name="Normal 129 3 2 4 2 2" xfId="10301"/>
    <cellStyle name="Normal 129 3 2 4 2 2 2" xfId="17005"/>
    <cellStyle name="Normal 129 3 2 4 2 2 2 2" xfId="40426"/>
    <cellStyle name="Normal 129 3 2 4 2 2 3" xfId="33794"/>
    <cellStyle name="Normal 129 3 2 4 2 3" xfId="13689"/>
    <cellStyle name="Normal 129 3 2 4 2 3 2" xfId="37110"/>
    <cellStyle name="Normal 129 3 2 4 2 4" xfId="22461"/>
    <cellStyle name="Normal 129 3 2 4 2 4 2" xfId="44883"/>
    <cellStyle name="Normal 129 3 2 4 2 5" xfId="30478"/>
    <cellStyle name="Normal 129 3 2 4 3" xfId="8636"/>
    <cellStyle name="Normal 129 3 2 4 3 2" xfId="15347"/>
    <cellStyle name="Normal 129 3 2 4 3 2 2" xfId="38768"/>
    <cellStyle name="Normal 129 3 2 4 3 3" xfId="32136"/>
    <cellStyle name="Normal 129 3 2 4 4" xfId="12029"/>
    <cellStyle name="Normal 129 3 2 4 4 2" xfId="35452"/>
    <cellStyle name="Normal 129 3 2 4 5" xfId="19614"/>
    <cellStyle name="Normal 129 3 2 4 5 2" xfId="42151"/>
    <cellStyle name="Normal 129 3 2 4 6" xfId="28820"/>
    <cellStyle name="Normal 129 3 2 5" xfId="6303"/>
    <cellStyle name="Normal 129 3 2 5 2" xfId="9637"/>
    <cellStyle name="Normal 129 3 2 5 2 2" xfId="16341"/>
    <cellStyle name="Normal 129 3 2 5 2 2 2" xfId="39762"/>
    <cellStyle name="Normal 129 3 2 5 2 3" xfId="33130"/>
    <cellStyle name="Normal 129 3 2 5 3" xfId="13025"/>
    <cellStyle name="Normal 129 3 2 5 3 2" xfId="36446"/>
    <cellStyle name="Normal 129 3 2 5 4" xfId="20761"/>
    <cellStyle name="Normal 129 3 2 5 4 2" xfId="43212"/>
    <cellStyle name="Normal 129 3 2 5 5" xfId="29814"/>
    <cellStyle name="Normal 129 3 2 6" xfId="7969"/>
    <cellStyle name="Normal 129 3 2 6 2" xfId="14683"/>
    <cellStyle name="Normal 129 3 2 6 2 2" xfId="38104"/>
    <cellStyle name="Normal 129 3 2 6 3" xfId="21610"/>
    <cellStyle name="Normal 129 3 2 6 3 2" xfId="44059"/>
    <cellStyle name="Normal 129 3 2 6 4" xfId="31472"/>
    <cellStyle name="Normal 129 3 2 7" xfId="11365"/>
    <cellStyle name="Normal 129 3 2 7 2" xfId="34788"/>
    <cellStyle name="Normal 129 3 2 8" xfId="17977"/>
    <cellStyle name="Normal 129 3 2 8 2" xfId="41282"/>
    <cellStyle name="Normal 129 3 2 9" xfId="23559"/>
    <cellStyle name="Normal 129 3 2 9 2" xfId="45874"/>
    <cellStyle name="Normal 129 3 3" xfId="2220"/>
    <cellStyle name="Normal 129 3 3 2" xfId="5491"/>
    <cellStyle name="Normal 129 3 3 2 2" xfId="7315"/>
    <cellStyle name="Normal 129 3 3 2 2 2" xfId="10646"/>
    <cellStyle name="Normal 129 3 3 2 2 2 2" xfId="17350"/>
    <cellStyle name="Normal 129 3 3 2 2 2 2 2" xfId="40771"/>
    <cellStyle name="Normal 129 3 3 2 2 2 3" xfId="23066"/>
    <cellStyle name="Normal 129 3 3 2 2 2 3 2" xfId="45488"/>
    <cellStyle name="Normal 129 3 3 2 2 2 4" xfId="34139"/>
    <cellStyle name="Normal 129 3 3 2 2 3" xfId="14034"/>
    <cellStyle name="Normal 129 3 3 2 2 3 2" xfId="37455"/>
    <cellStyle name="Normal 129 3 3 2 2 4" xfId="20239"/>
    <cellStyle name="Normal 129 3 3 2 2 4 2" xfId="42774"/>
    <cellStyle name="Normal 129 3 3 2 2 5" xfId="30823"/>
    <cellStyle name="Normal 129 3 3 2 3" xfId="8988"/>
    <cellStyle name="Normal 129 3 3 2 3 2" xfId="15692"/>
    <cellStyle name="Normal 129 3 3 2 3 2 2" xfId="39113"/>
    <cellStyle name="Normal 129 3 3 2 3 3" xfId="21222"/>
    <cellStyle name="Normal 129 3 3 2 3 3 2" xfId="43673"/>
    <cellStyle name="Normal 129 3 3 2 3 4" xfId="32481"/>
    <cellStyle name="Normal 129 3 3 2 4" xfId="12376"/>
    <cellStyle name="Normal 129 3 3 2 4 2" xfId="22252"/>
    <cellStyle name="Normal 129 3 3 2 4 2 2" xfId="44674"/>
    <cellStyle name="Normal 129 3 3 2 4 3" xfId="35797"/>
    <cellStyle name="Normal 129 3 3 2 5" xfId="19400"/>
    <cellStyle name="Normal 129 3 3 2 5 2" xfId="41942"/>
    <cellStyle name="Normal 129 3 3 2 6" xfId="29165"/>
    <cellStyle name="Normal 129 3 3 3" xfId="6411"/>
    <cellStyle name="Normal 129 3 3 3 2" xfId="9745"/>
    <cellStyle name="Normal 129 3 3 3 2 2" xfId="16449"/>
    <cellStyle name="Normal 129 3 3 3 2 2 2" xfId="39870"/>
    <cellStyle name="Normal 129 3 3 3 2 3" xfId="22660"/>
    <cellStyle name="Normal 129 3 3 3 2 3 2" xfId="45082"/>
    <cellStyle name="Normal 129 3 3 3 2 4" xfId="33238"/>
    <cellStyle name="Normal 129 3 3 3 3" xfId="13133"/>
    <cellStyle name="Normal 129 3 3 3 3 2" xfId="36554"/>
    <cellStyle name="Normal 129 3 3 3 4" xfId="19823"/>
    <cellStyle name="Normal 129 3 3 3 4 2" xfId="42358"/>
    <cellStyle name="Normal 129 3 3 3 5" xfId="29922"/>
    <cellStyle name="Normal 129 3 3 4" xfId="8078"/>
    <cellStyle name="Normal 129 3 3 4 2" xfId="14791"/>
    <cellStyle name="Normal 129 3 3 4 2 2" xfId="38212"/>
    <cellStyle name="Normal 129 3 3 4 3" xfId="20763"/>
    <cellStyle name="Normal 129 3 3 4 3 2" xfId="43214"/>
    <cellStyle name="Normal 129 3 3 4 4" xfId="31580"/>
    <cellStyle name="Normal 129 3 3 5" xfId="11473"/>
    <cellStyle name="Normal 129 3 3 5 2" xfId="21819"/>
    <cellStyle name="Normal 129 3 3 5 2 2" xfId="44260"/>
    <cellStyle name="Normal 129 3 3 5 3" xfId="34896"/>
    <cellStyle name="Normal 129 3 3 6" xfId="18588"/>
    <cellStyle name="Normal 129 3 3 6 2" xfId="41517"/>
    <cellStyle name="Normal 129 3 3 7" xfId="25819"/>
    <cellStyle name="Normal 129 3 3 7 2" xfId="48064"/>
    <cellStyle name="Normal 129 3 3 8" xfId="28264"/>
    <cellStyle name="Normal 129 3 4" xfId="2669"/>
    <cellStyle name="Normal 129 3 4 2" xfId="5762"/>
    <cellStyle name="Normal 129 3 4 2 2" xfId="7544"/>
    <cellStyle name="Normal 129 3 4 2 2 2" xfId="10873"/>
    <cellStyle name="Normal 129 3 4 2 2 2 2" xfId="17577"/>
    <cellStyle name="Normal 129 3 4 2 2 2 2 2" xfId="40998"/>
    <cellStyle name="Normal 129 3 4 2 2 2 3" xfId="34366"/>
    <cellStyle name="Normal 129 3 4 2 2 3" xfId="14261"/>
    <cellStyle name="Normal 129 3 4 2 2 3 2" xfId="37682"/>
    <cellStyle name="Normal 129 3 4 2 2 4" xfId="22866"/>
    <cellStyle name="Normal 129 3 4 2 2 4 2" xfId="45288"/>
    <cellStyle name="Normal 129 3 4 2 2 5" xfId="31050"/>
    <cellStyle name="Normal 129 3 4 2 3" xfId="9215"/>
    <cellStyle name="Normal 129 3 4 2 3 2" xfId="15919"/>
    <cellStyle name="Normal 129 3 4 2 3 2 2" xfId="39340"/>
    <cellStyle name="Normal 129 3 4 2 3 3" xfId="32708"/>
    <cellStyle name="Normal 129 3 4 2 4" xfId="12603"/>
    <cellStyle name="Normal 129 3 4 2 4 2" xfId="36024"/>
    <cellStyle name="Normal 129 3 4 2 5" xfId="20031"/>
    <cellStyle name="Normal 129 3 4 2 5 2" xfId="42566"/>
    <cellStyle name="Normal 129 3 4 2 6" xfId="29392"/>
    <cellStyle name="Normal 129 3 4 3" xfId="6645"/>
    <cellStyle name="Normal 129 3 4 3 2" xfId="9977"/>
    <cellStyle name="Normal 129 3 4 3 2 2" xfId="16681"/>
    <cellStyle name="Normal 129 3 4 3 2 2 2" xfId="40102"/>
    <cellStyle name="Normal 129 3 4 3 2 3" xfId="33470"/>
    <cellStyle name="Normal 129 3 4 3 3" xfId="13365"/>
    <cellStyle name="Normal 129 3 4 3 3 2" xfId="36786"/>
    <cellStyle name="Normal 129 3 4 3 4" xfId="21219"/>
    <cellStyle name="Normal 129 3 4 3 4 2" xfId="43670"/>
    <cellStyle name="Normal 129 3 4 3 5" xfId="30154"/>
    <cellStyle name="Normal 129 3 4 4" xfId="8311"/>
    <cellStyle name="Normal 129 3 4 4 2" xfId="15023"/>
    <cellStyle name="Normal 129 3 4 4 2 2" xfId="38444"/>
    <cellStyle name="Normal 129 3 4 4 3" xfId="22039"/>
    <cellStyle name="Normal 129 3 4 4 3 2" xfId="44467"/>
    <cellStyle name="Normal 129 3 4 4 4" xfId="31812"/>
    <cellStyle name="Normal 129 3 4 5" xfId="11705"/>
    <cellStyle name="Normal 129 3 4 5 2" xfId="35128"/>
    <cellStyle name="Normal 129 3 4 6" xfId="19177"/>
    <cellStyle name="Normal 129 3 4 6 2" xfId="41734"/>
    <cellStyle name="Normal 129 3 4 7" xfId="28496"/>
    <cellStyle name="Normal 129 3 5" xfId="3864"/>
    <cellStyle name="Normal 129 3 5 2" xfId="6968"/>
    <cellStyle name="Normal 129 3 5 2 2" xfId="10300"/>
    <cellStyle name="Normal 129 3 5 2 2 2" xfId="17004"/>
    <cellStyle name="Normal 129 3 5 2 2 2 2" xfId="40425"/>
    <cellStyle name="Normal 129 3 5 2 2 3" xfId="33793"/>
    <cellStyle name="Normal 129 3 5 2 3" xfId="13688"/>
    <cellStyle name="Normal 129 3 5 2 3 2" xfId="37109"/>
    <cellStyle name="Normal 129 3 5 2 4" xfId="22460"/>
    <cellStyle name="Normal 129 3 5 2 4 2" xfId="44882"/>
    <cellStyle name="Normal 129 3 5 2 5" xfId="30477"/>
    <cellStyle name="Normal 129 3 5 3" xfId="8635"/>
    <cellStyle name="Normal 129 3 5 3 2" xfId="15346"/>
    <cellStyle name="Normal 129 3 5 3 2 2" xfId="38767"/>
    <cellStyle name="Normal 129 3 5 3 3" xfId="32135"/>
    <cellStyle name="Normal 129 3 5 4" xfId="12028"/>
    <cellStyle name="Normal 129 3 5 4 2" xfId="35451"/>
    <cellStyle name="Normal 129 3 5 5" xfId="19613"/>
    <cellStyle name="Normal 129 3 5 5 2" xfId="42150"/>
    <cellStyle name="Normal 129 3 5 6" xfId="28819"/>
    <cellStyle name="Normal 129 3 6" xfId="6172"/>
    <cellStyle name="Normal 129 3 6 2" xfId="9506"/>
    <cellStyle name="Normal 129 3 6 2 2" xfId="16210"/>
    <cellStyle name="Normal 129 3 6 2 2 2" xfId="39631"/>
    <cellStyle name="Normal 129 3 6 2 3" xfId="32999"/>
    <cellStyle name="Normal 129 3 6 3" xfId="12894"/>
    <cellStyle name="Normal 129 3 6 3 2" xfId="36315"/>
    <cellStyle name="Normal 129 3 6 4" xfId="20760"/>
    <cellStyle name="Normal 129 3 6 4 2" xfId="43211"/>
    <cellStyle name="Normal 129 3 6 5" xfId="29683"/>
    <cellStyle name="Normal 129 3 7" xfId="7838"/>
    <cellStyle name="Normal 129 3 7 2" xfId="14552"/>
    <cellStyle name="Normal 129 3 7 2 2" xfId="37973"/>
    <cellStyle name="Normal 129 3 7 3" xfId="21609"/>
    <cellStyle name="Normal 129 3 7 3 2" xfId="44058"/>
    <cellStyle name="Normal 129 3 7 4" xfId="31341"/>
    <cellStyle name="Normal 129 3 8" xfId="11234"/>
    <cellStyle name="Normal 129 3 8 2" xfId="34657"/>
    <cellStyle name="Normal 129 3 9" xfId="17976"/>
    <cellStyle name="Normal 129 3 9 2" xfId="41281"/>
    <cellStyle name="Normal 129 4" xfId="1723"/>
    <cellStyle name="Normal 129 4 10" xfId="28076"/>
    <cellStyle name="Normal 129 4 2" xfId="2222"/>
    <cellStyle name="Normal 129 4 2 2" xfId="5493"/>
    <cellStyle name="Normal 129 4 2 2 2" xfId="7317"/>
    <cellStyle name="Normal 129 4 2 2 2 2" xfId="10648"/>
    <cellStyle name="Normal 129 4 2 2 2 2 2" xfId="17352"/>
    <cellStyle name="Normal 129 4 2 2 2 2 2 2" xfId="40773"/>
    <cellStyle name="Normal 129 4 2 2 2 2 3" xfId="23068"/>
    <cellStyle name="Normal 129 4 2 2 2 2 3 2" xfId="45490"/>
    <cellStyle name="Normal 129 4 2 2 2 2 4" xfId="34141"/>
    <cellStyle name="Normal 129 4 2 2 2 3" xfId="14036"/>
    <cellStyle name="Normal 129 4 2 2 2 3 2" xfId="37457"/>
    <cellStyle name="Normal 129 4 2 2 2 4" xfId="20241"/>
    <cellStyle name="Normal 129 4 2 2 2 4 2" xfId="42776"/>
    <cellStyle name="Normal 129 4 2 2 2 5" xfId="30825"/>
    <cellStyle name="Normal 129 4 2 2 3" xfId="8990"/>
    <cellStyle name="Normal 129 4 2 2 3 2" xfId="15694"/>
    <cellStyle name="Normal 129 4 2 2 3 2 2" xfId="39115"/>
    <cellStyle name="Normal 129 4 2 2 3 3" xfId="21224"/>
    <cellStyle name="Normal 129 4 2 2 3 3 2" xfId="43675"/>
    <cellStyle name="Normal 129 4 2 2 3 4" xfId="32483"/>
    <cellStyle name="Normal 129 4 2 2 4" xfId="12378"/>
    <cellStyle name="Normal 129 4 2 2 4 2" xfId="22254"/>
    <cellStyle name="Normal 129 4 2 2 4 2 2" xfId="44676"/>
    <cellStyle name="Normal 129 4 2 2 4 3" xfId="35799"/>
    <cellStyle name="Normal 129 4 2 2 5" xfId="19402"/>
    <cellStyle name="Normal 129 4 2 2 5 2" xfId="41944"/>
    <cellStyle name="Normal 129 4 2 2 6" xfId="29167"/>
    <cellStyle name="Normal 129 4 2 3" xfId="6413"/>
    <cellStyle name="Normal 129 4 2 3 2" xfId="9747"/>
    <cellStyle name="Normal 129 4 2 3 2 2" xfId="16451"/>
    <cellStyle name="Normal 129 4 2 3 2 2 2" xfId="39872"/>
    <cellStyle name="Normal 129 4 2 3 2 3" xfId="22662"/>
    <cellStyle name="Normal 129 4 2 3 2 3 2" xfId="45084"/>
    <cellStyle name="Normal 129 4 2 3 2 4" xfId="33240"/>
    <cellStyle name="Normal 129 4 2 3 3" xfId="13135"/>
    <cellStyle name="Normal 129 4 2 3 3 2" xfId="36556"/>
    <cellStyle name="Normal 129 4 2 3 4" xfId="19825"/>
    <cellStyle name="Normal 129 4 2 3 4 2" xfId="42360"/>
    <cellStyle name="Normal 129 4 2 3 5" xfId="29924"/>
    <cellStyle name="Normal 129 4 2 4" xfId="8080"/>
    <cellStyle name="Normal 129 4 2 4 2" xfId="14793"/>
    <cellStyle name="Normal 129 4 2 4 2 2" xfId="38214"/>
    <cellStyle name="Normal 129 4 2 4 3" xfId="20765"/>
    <cellStyle name="Normal 129 4 2 4 3 2" xfId="43216"/>
    <cellStyle name="Normal 129 4 2 4 4" xfId="31582"/>
    <cellStyle name="Normal 129 4 2 5" xfId="11475"/>
    <cellStyle name="Normal 129 4 2 5 2" xfId="21821"/>
    <cellStyle name="Normal 129 4 2 5 2 2" xfId="44262"/>
    <cellStyle name="Normal 129 4 2 5 3" xfId="34898"/>
    <cellStyle name="Normal 129 4 2 6" xfId="18590"/>
    <cellStyle name="Normal 129 4 2 6 2" xfId="41519"/>
    <cellStyle name="Normal 129 4 2 7" xfId="25821"/>
    <cellStyle name="Normal 129 4 2 7 2" xfId="48066"/>
    <cellStyle name="Normal 129 4 2 8" xfId="28266"/>
    <cellStyle name="Normal 129 4 3" xfId="2721"/>
    <cellStyle name="Normal 129 4 3 2" xfId="5813"/>
    <cellStyle name="Normal 129 4 3 2 2" xfId="7595"/>
    <cellStyle name="Normal 129 4 3 2 2 2" xfId="10924"/>
    <cellStyle name="Normal 129 4 3 2 2 2 2" xfId="17628"/>
    <cellStyle name="Normal 129 4 3 2 2 2 2 2" xfId="41049"/>
    <cellStyle name="Normal 129 4 3 2 2 2 3" xfId="34417"/>
    <cellStyle name="Normal 129 4 3 2 2 3" xfId="14312"/>
    <cellStyle name="Normal 129 4 3 2 2 3 2" xfId="37733"/>
    <cellStyle name="Normal 129 4 3 2 2 4" xfId="22868"/>
    <cellStyle name="Normal 129 4 3 2 2 4 2" xfId="45290"/>
    <cellStyle name="Normal 129 4 3 2 2 5" xfId="31101"/>
    <cellStyle name="Normal 129 4 3 2 3" xfId="9266"/>
    <cellStyle name="Normal 129 4 3 2 3 2" xfId="15970"/>
    <cellStyle name="Normal 129 4 3 2 3 2 2" xfId="39391"/>
    <cellStyle name="Normal 129 4 3 2 3 3" xfId="32759"/>
    <cellStyle name="Normal 129 4 3 2 4" xfId="12654"/>
    <cellStyle name="Normal 129 4 3 2 4 2" xfId="36075"/>
    <cellStyle name="Normal 129 4 3 2 5" xfId="20033"/>
    <cellStyle name="Normal 129 4 3 2 5 2" xfId="42568"/>
    <cellStyle name="Normal 129 4 3 2 6" xfId="29443"/>
    <cellStyle name="Normal 129 4 3 3" xfId="6696"/>
    <cellStyle name="Normal 129 4 3 3 2" xfId="10028"/>
    <cellStyle name="Normal 129 4 3 3 2 2" xfId="16732"/>
    <cellStyle name="Normal 129 4 3 3 2 2 2" xfId="40153"/>
    <cellStyle name="Normal 129 4 3 3 2 3" xfId="33521"/>
    <cellStyle name="Normal 129 4 3 3 3" xfId="13416"/>
    <cellStyle name="Normal 129 4 3 3 3 2" xfId="36837"/>
    <cellStyle name="Normal 129 4 3 3 4" xfId="21223"/>
    <cellStyle name="Normal 129 4 3 3 4 2" xfId="43674"/>
    <cellStyle name="Normal 129 4 3 3 5" xfId="30205"/>
    <cellStyle name="Normal 129 4 3 4" xfId="8362"/>
    <cellStyle name="Normal 129 4 3 4 2" xfId="15074"/>
    <cellStyle name="Normal 129 4 3 4 2 2" xfId="38495"/>
    <cellStyle name="Normal 129 4 3 4 3" xfId="22041"/>
    <cellStyle name="Normal 129 4 3 4 3 2" xfId="44469"/>
    <cellStyle name="Normal 129 4 3 4 4" xfId="31863"/>
    <cellStyle name="Normal 129 4 3 5" xfId="11756"/>
    <cellStyle name="Normal 129 4 3 5 2" xfId="35179"/>
    <cellStyle name="Normal 129 4 3 6" xfId="19179"/>
    <cellStyle name="Normal 129 4 3 6 2" xfId="41736"/>
    <cellStyle name="Normal 129 4 3 7" xfId="28547"/>
    <cellStyle name="Normal 129 4 4" xfId="3866"/>
    <cellStyle name="Normal 129 4 4 2" xfId="6970"/>
    <cellStyle name="Normal 129 4 4 2 2" xfId="10302"/>
    <cellStyle name="Normal 129 4 4 2 2 2" xfId="17006"/>
    <cellStyle name="Normal 129 4 4 2 2 2 2" xfId="40427"/>
    <cellStyle name="Normal 129 4 4 2 2 3" xfId="33795"/>
    <cellStyle name="Normal 129 4 4 2 3" xfId="13690"/>
    <cellStyle name="Normal 129 4 4 2 3 2" xfId="37111"/>
    <cellStyle name="Normal 129 4 4 2 4" xfId="22462"/>
    <cellStyle name="Normal 129 4 4 2 4 2" xfId="44884"/>
    <cellStyle name="Normal 129 4 4 2 5" xfId="30479"/>
    <cellStyle name="Normal 129 4 4 3" xfId="8637"/>
    <cellStyle name="Normal 129 4 4 3 2" xfId="15348"/>
    <cellStyle name="Normal 129 4 4 3 2 2" xfId="38769"/>
    <cellStyle name="Normal 129 4 4 3 3" xfId="32137"/>
    <cellStyle name="Normal 129 4 4 4" xfId="12030"/>
    <cellStyle name="Normal 129 4 4 4 2" xfId="35453"/>
    <cellStyle name="Normal 129 4 4 5" xfId="19615"/>
    <cellStyle name="Normal 129 4 4 5 2" xfId="42152"/>
    <cellStyle name="Normal 129 4 4 6" xfId="28821"/>
    <cellStyle name="Normal 129 4 5" xfId="6223"/>
    <cellStyle name="Normal 129 4 5 2" xfId="9557"/>
    <cellStyle name="Normal 129 4 5 2 2" xfId="16261"/>
    <cellStyle name="Normal 129 4 5 2 2 2" xfId="39682"/>
    <cellStyle name="Normal 129 4 5 2 3" xfId="33050"/>
    <cellStyle name="Normal 129 4 5 3" xfId="12945"/>
    <cellStyle name="Normal 129 4 5 3 2" xfId="36366"/>
    <cellStyle name="Normal 129 4 5 4" xfId="20764"/>
    <cellStyle name="Normal 129 4 5 4 2" xfId="43215"/>
    <cellStyle name="Normal 129 4 5 5" xfId="29734"/>
    <cellStyle name="Normal 129 4 6" xfId="7889"/>
    <cellStyle name="Normal 129 4 6 2" xfId="14603"/>
    <cellStyle name="Normal 129 4 6 2 2" xfId="38024"/>
    <cellStyle name="Normal 129 4 6 3" xfId="21611"/>
    <cellStyle name="Normal 129 4 6 3 2" xfId="44060"/>
    <cellStyle name="Normal 129 4 6 4" xfId="31392"/>
    <cellStyle name="Normal 129 4 7" xfId="11285"/>
    <cellStyle name="Normal 129 4 7 2" xfId="34708"/>
    <cellStyle name="Normal 129 4 8" xfId="17978"/>
    <cellStyle name="Normal 129 4 8 2" xfId="41283"/>
    <cellStyle name="Normal 129 4 9" xfId="23560"/>
    <cellStyle name="Normal 129 4 9 2" xfId="45875"/>
    <cellStyle name="Normal 129 5" xfId="2215"/>
    <cellStyle name="Normal 129 5 2" xfId="5486"/>
    <cellStyle name="Normal 129 5 2 2" xfId="7310"/>
    <cellStyle name="Normal 129 5 2 2 2" xfId="10641"/>
    <cellStyle name="Normal 129 5 2 2 2 2" xfId="17345"/>
    <cellStyle name="Normal 129 5 2 2 2 2 2" xfId="40766"/>
    <cellStyle name="Normal 129 5 2 2 2 3" xfId="23061"/>
    <cellStyle name="Normal 129 5 2 2 2 3 2" xfId="45483"/>
    <cellStyle name="Normal 129 5 2 2 2 4" xfId="34134"/>
    <cellStyle name="Normal 129 5 2 2 3" xfId="14029"/>
    <cellStyle name="Normal 129 5 2 2 3 2" xfId="37450"/>
    <cellStyle name="Normal 129 5 2 2 4" xfId="20234"/>
    <cellStyle name="Normal 129 5 2 2 4 2" xfId="42769"/>
    <cellStyle name="Normal 129 5 2 2 5" xfId="30818"/>
    <cellStyle name="Normal 129 5 2 3" xfId="8983"/>
    <cellStyle name="Normal 129 5 2 3 2" xfId="15687"/>
    <cellStyle name="Normal 129 5 2 3 2 2" xfId="39108"/>
    <cellStyle name="Normal 129 5 2 3 3" xfId="21225"/>
    <cellStyle name="Normal 129 5 2 3 3 2" xfId="43676"/>
    <cellStyle name="Normal 129 5 2 3 4" xfId="32476"/>
    <cellStyle name="Normal 129 5 2 4" xfId="12371"/>
    <cellStyle name="Normal 129 5 2 4 2" xfId="22247"/>
    <cellStyle name="Normal 129 5 2 4 2 2" xfId="44669"/>
    <cellStyle name="Normal 129 5 2 4 3" xfId="35792"/>
    <cellStyle name="Normal 129 5 2 5" xfId="19395"/>
    <cellStyle name="Normal 129 5 2 5 2" xfId="41937"/>
    <cellStyle name="Normal 129 5 2 6" xfId="25814"/>
    <cellStyle name="Normal 129 5 2 6 2" xfId="48059"/>
    <cellStyle name="Normal 129 5 2 7" xfId="29160"/>
    <cellStyle name="Normal 129 5 3" xfId="6406"/>
    <cellStyle name="Normal 129 5 3 2" xfId="9740"/>
    <cellStyle name="Normal 129 5 3 2 2" xfId="16444"/>
    <cellStyle name="Normal 129 5 3 2 2 2" xfId="39865"/>
    <cellStyle name="Normal 129 5 3 2 3" xfId="22655"/>
    <cellStyle name="Normal 129 5 3 2 3 2" xfId="45077"/>
    <cellStyle name="Normal 129 5 3 2 4" xfId="33233"/>
    <cellStyle name="Normal 129 5 3 3" xfId="13128"/>
    <cellStyle name="Normal 129 5 3 3 2" xfId="36549"/>
    <cellStyle name="Normal 129 5 3 4" xfId="19818"/>
    <cellStyle name="Normal 129 5 3 4 2" xfId="42353"/>
    <cellStyle name="Normal 129 5 3 5" xfId="29917"/>
    <cellStyle name="Normal 129 5 4" xfId="8073"/>
    <cellStyle name="Normal 129 5 4 2" xfId="14786"/>
    <cellStyle name="Normal 129 5 4 2 2" xfId="38207"/>
    <cellStyle name="Normal 129 5 4 3" xfId="20766"/>
    <cellStyle name="Normal 129 5 4 3 2" xfId="43217"/>
    <cellStyle name="Normal 129 5 4 4" xfId="31575"/>
    <cellStyle name="Normal 129 5 5" xfId="11468"/>
    <cellStyle name="Normal 129 5 5 2" xfId="21814"/>
    <cellStyle name="Normal 129 5 5 2 2" xfId="44255"/>
    <cellStyle name="Normal 129 5 5 3" xfId="34891"/>
    <cellStyle name="Normal 129 5 6" xfId="18583"/>
    <cellStyle name="Normal 129 5 6 2" xfId="41512"/>
    <cellStyle name="Normal 129 5 7" xfId="23443"/>
    <cellStyle name="Normal 129 5 7 2" xfId="45782"/>
    <cellStyle name="Normal 129 5 8" xfId="28259"/>
    <cellStyle name="Normal 129 6" xfId="2588"/>
    <cellStyle name="Normal 129 6 2" xfId="5682"/>
    <cellStyle name="Normal 129 6 2 2" xfId="7465"/>
    <cellStyle name="Normal 129 6 2 2 2" xfId="10794"/>
    <cellStyle name="Normal 129 6 2 2 2 2" xfId="17498"/>
    <cellStyle name="Normal 129 6 2 2 2 2 2" xfId="40919"/>
    <cellStyle name="Normal 129 6 2 2 2 3" xfId="34287"/>
    <cellStyle name="Normal 129 6 2 2 3" xfId="14182"/>
    <cellStyle name="Normal 129 6 2 2 3 2" xfId="37603"/>
    <cellStyle name="Normal 129 6 2 2 4" xfId="20583"/>
    <cellStyle name="Normal 129 6 2 2 4 2" xfId="43034"/>
    <cellStyle name="Normal 129 6 2 2 5" xfId="30971"/>
    <cellStyle name="Normal 129 6 2 3" xfId="9136"/>
    <cellStyle name="Normal 129 6 2 3 2" xfId="15840"/>
    <cellStyle name="Normal 129 6 2 3 2 2" xfId="39261"/>
    <cellStyle name="Normal 129 6 2 3 3" xfId="21501"/>
    <cellStyle name="Normal 129 6 2 3 3 2" xfId="43952"/>
    <cellStyle name="Normal 129 6 2 3 4" xfId="32629"/>
    <cellStyle name="Normal 129 6 2 4" xfId="12524"/>
    <cellStyle name="Normal 129 6 2 4 2" xfId="22861"/>
    <cellStyle name="Normal 129 6 2 4 2 2" xfId="45283"/>
    <cellStyle name="Normal 129 6 2 4 3" xfId="35945"/>
    <cellStyle name="Normal 129 6 2 5" xfId="20026"/>
    <cellStyle name="Normal 129 6 2 5 2" xfId="42561"/>
    <cellStyle name="Normal 129 6 2 6" xfId="29313"/>
    <cellStyle name="Normal 129 6 3" xfId="6565"/>
    <cellStyle name="Normal 129 6 3 2" xfId="9897"/>
    <cellStyle name="Normal 129 6 3 2 2" xfId="16601"/>
    <cellStyle name="Normal 129 6 3 2 2 2" xfId="40022"/>
    <cellStyle name="Normal 129 6 3 2 3" xfId="33390"/>
    <cellStyle name="Normal 129 6 3 3" xfId="13285"/>
    <cellStyle name="Normal 129 6 3 3 2" xfId="36706"/>
    <cellStyle name="Normal 129 6 3 4" xfId="20485"/>
    <cellStyle name="Normal 129 6 3 4 2" xfId="42938"/>
    <cellStyle name="Normal 129 6 3 5" xfId="30074"/>
    <cellStyle name="Normal 129 6 4" xfId="8231"/>
    <cellStyle name="Normal 129 6 4 2" xfId="14943"/>
    <cellStyle name="Normal 129 6 4 2 2" xfId="38364"/>
    <cellStyle name="Normal 129 6 4 3" xfId="21042"/>
    <cellStyle name="Normal 129 6 4 3 2" xfId="43493"/>
    <cellStyle name="Normal 129 6 4 4" xfId="31732"/>
    <cellStyle name="Normal 129 6 5" xfId="11625"/>
    <cellStyle name="Normal 129 6 5 2" xfId="22034"/>
    <cellStyle name="Normal 129 6 5 2 2" xfId="44462"/>
    <cellStyle name="Normal 129 6 5 3" xfId="35048"/>
    <cellStyle name="Normal 129 6 6" xfId="19172"/>
    <cellStyle name="Normal 129 6 6 2" xfId="41729"/>
    <cellStyle name="Normal 129 6 7" xfId="28416"/>
    <cellStyle name="Normal 129 7" xfId="3859"/>
    <cellStyle name="Normal 129 7 2" xfId="6963"/>
    <cellStyle name="Normal 129 7 2 2" xfId="10295"/>
    <cellStyle name="Normal 129 7 2 2 2" xfId="16999"/>
    <cellStyle name="Normal 129 7 2 2 2 2" xfId="40420"/>
    <cellStyle name="Normal 129 7 2 2 3" xfId="33788"/>
    <cellStyle name="Normal 129 7 2 3" xfId="13683"/>
    <cellStyle name="Normal 129 7 2 3 2" xfId="37104"/>
    <cellStyle name="Normal 129 7 2 4" xfId="20531"/>
    <cellStyle name="Normal 129 7 2 4 2" xfId="42984"/>
    <cellStyle name="Normal 129 7 2 5" xfId="30472"/>
    <cellStyle name="Normal 129 7 3" xfId="8630"/>
    <cellStyle name="Normal 129 7 3 2" xfId="15341"/>
    <cellStyle name="Normal 129 7 3 2 2" xfId="38762"/>
    <cellStyle name="Normal 129 7 3 3" xfId="21210"/>
    <cellStyle name="Normal 129 7 3 3 2" xfId="43661"/>
    <cellStyle name="Normal 129 7 3 4" xfId="32130"/>
    <cellStyle name="Normal 129 7 4" xfId="12023"/>
    <cellStyle name="Normal 129 7 4 2" xfId="22455"/>
    <cellStyle name="Normal 129 7 4 2 2" xfId="44877"/>
    <cellStyle name="Normal 129 7 4 3" xfId="35446"/>
    <cellStyle name="Normal 129 7 5" xfId="19608"/>
    <cellStyle name="Normal 129 7 5 2" xfId="42145"/>
    <cellStyle name="Normal 129 7 6" xfId="28814"/>
    <cellStyle name="Normal 129 8" xfId="6092"/>
    <cellStyle name="Normal 129 8 2" xfId="9426"/>
    <cellStyle name="Normal 129 8 2 2" xfId="16130"/>
    <cellStyle name="Normal 129 8 2 2 2" xfId="39551"/>
    <cellStyle name="Normal 129 8 2 3" xfId="32919"/>
    <cellStyle name="Normal 129 8 3" xfId="12814"/>
    <cellStyle name="Normal 129 8 3 2" xfId="36235"/>
    <cellStyle name="Normal 129 8 4" xfId="17851"/>
    <cellStyle name="Normal 129 8 4 2" xfId="41201"/>
    <cellStyle name="Normal 129 8 5" xfId="29603"/>
    <cellStyle name="Normal 129 9" xfId="7757"/>
    <cellStyle name="Normal 129 9 2" xfId="14472"/>
    <cellStyle name="Normal 129 9 2 2" xfId="37893"/>
    <cellStyle name="Normal 129 9 3" xfId="20751"/>
    <cellStyle name="Normal 129 9 3 2" xfId="43202"/>
    <cellStyle name="Normal 129 9 4" xfId="31261"/>
    <cellStyle name="Normal 13" xfId="464"/>
    <cellStyle name="Normal 13 2" xfId="465"/>
    <cellStyle name="Normal 13 2 2" xfId="1143"/>
    <cellStyle name="Normal 13 2 2 2" xfId="3867"/>
    <cellStyle name="Normal 13 2 3" xfId="1077"/>
    <cellStyle name="Normal 13 2 3 2" xfId="3869"/>
    <cellStyle name="Normal 13 2 3 3" xfId="3868"/>
    <cellStyle name="Normal 13 2 4" xfId="2129"/>
    <cellStyle name="Normal 13 2 4 2" xfId="18591"/>
    <cellStyle name="Normal 13 2 4 2 2" xfId="18226"/>
    <cellStyle name="Normal 13 2 4 3" xfId="21822"/>
    <cellStyle name="Normal 13 2 5" xfId="20441"/>
    <cellStyle name="Normal 13 3" xfId="1142"/>
    <cellStyle name="Normal 13 3 2" xfId="3871"/>
    <cellStyle name="Normal 13 3 3" xfId="3872"/>
    <cellStyle name="Normal 13 3 4" xfId="3870"/>
    <cellStyle name="Normal 13 4" xfId="1076"/>
    <cellStyle name="Normal 13 4 2" xfId="3874"/>
    <cellStyle name="Normal 13 4 2 2" xfId="18592"/>
    <cellStyle name="Normal 13 4 2 3" xfId="23482"/>
    <cellStyle name="Normal 13 4 2 3 2" xfId="45816"/>
    <cellStyle name="Normal 13 4 3" xfId="3875"/>
    <cellStyle name="Normal 13 4 4" xfId="5112"/>
    <cellStyle name="Normal 13 4 4 2" xfId="7181"/>
    <cellStyle name="Normal 13 4 4 2 2" xfId="10512"/>
    <cellStyle name="Normal 13 4 4 2 2 2" xfId="17216"/>
    <cellStyle name="Normal 13 4 4 2 2 2 2" xfId="40637"/>
    <cellStyle name="Normal 13 4 4 2 2 3" xfId="34005"/>
    <cellStyle name="Normal 13 4 4 2 3" xfId="13900"/>
    <cellStyle name="Normal 13 4 4 2 3 2" xfId="37321"/>
    <cellStyle name="Normal 13 4 4 2 4" xfId="26023"/>
    <cellStyle name="Normal 13 4 4 2 4 2" xfId="48268"/>
    <cellStyle name="Normal 13 4 4 2 5" xfId="30689"/>
    <cellStyle name="Normal 13 4 4 3" xfId="8852"/>
    <cellStyle name="Normal 13 4 4 3 2" xfId="15558"/>
    <cellStyle name="Normal 13 4 4 3 2 2" xfId="38979"/>
    <cellStyle name="Normal 13 4 4 3 3" xfId="32347"/>
    <cellStyle name="Normal 13 4 4 4" xfId="12241"/>
    <cellStyle name="Normal 13 4 4 4 2" xfId="35663"/>
    <cellStyle name="Normal 13 4 4 5" xfId="23812"/>
    <cellStyle name="Normal 13 4 4 5 2" xfId="46076"/>
    <cellStyle name="Normal 13 4 4 6" xfId="29031"/>
    <cellStyle name="Normal 13 4 5" xfId="3873"/>
    <cellStyle name="Normal 13 4 5 2" xfId="6971"/>
    <cellStyle name="Normal 13 4 5 2 2" xfId="10303"/>
    <cellStyle name="Normal 13 4 5 2 2 2" xfId="17007"/>
    <cellStyle name="Normal 13 4 5 2 2 2 2" xfId="40428"/>
    <cellStyle name="Normal 13 4 5 2 2 3" xfId="33796"/>
    <cellStyle name="Normal 13 4 5 2 3" xfId="13691"/>
    <cellStyle name="Normal 13 4 5 2 3 2" xfId="37112"/>
    <cellStyle name="Normal 13 4 5 2 4" xfId="30480"/>
    <cellStyle name="Normal 13 4 5 3" xfId="8638"/>
    <cellStyle name="Normal 13 4 5 3 2" xfId="15349"/>
    <cellStyle name="Normal 13 4 5 3 2 2" xfId="38770"/>
    <cellStyle name="Normal 13 4 5 3 3" xfId="32138"/>
    <cellStyle name="Normal 13 4 5 4" xfId="12031"/>
    <cellStyle name="Normal 13 4 5 4 2" xfId="35454"/>
    <cellStyle name="Normal 13 4 5 5" xfId="25822"/>
    <cellStyle name="Normal 13 4 5 5 2" xfId="48067"/>
    <cellStyle name="Normal 13 4 5 6" xfId="28822"/>
    <cellStyle name="Normal 13 4 6" xfId="23368"/>
    <cellStyle name="Normal 13 4 6 2" xfId="45713"/>
    <cellStyle name="Normal 13 5" xfId="3876"/>
    <cellStyle name="Normal 13 5 2" xfId="5111"/>
    <cellStyle name="Normal 130" xfId="1264"/>
    <cellStyle name="Normal 130 10" xfId="11157"/>
    <cellStyle name="Normal 130 10 2" xfId="21612"/>
    <cellStyle name="Normal 130 10 2 2" xfId="44061"/>
    <cellStyle name="Normal 130 10 3" xfId="34580"/>
    <cellStyle name="Normal 130 11" xfId="17979"/>
    <cellStyle name="Normal 130 11 2" xfId="41284"/>
    <cellStyle name="Normal 130 12" xfId="23561"/>
    <cellStyle name="Normal 130 12 2" xfId="45876"/>
    <cellStyle name="Normal 130 13" xfId="23340"/>
    <cellStyle name="Normal 130 14" xfId="27948"/>
    <cellStyle name="Normal 130 2" xfId="1448"/>
    <cellStyle name="Normal 130 2 10" xfId="17980"/>
    <cellStyle name="Normal 130 2 10 2" xfId="41285"/>
    <cellStyle name="Normal 130 2 11" xfId="23562"/>
    <cellStyle name="Normal 130 2 11 2" xfId="45877"/>
    <cellStyle name="Normal 130 2 12" xfId="27984"/>
    <cellStyle name="Normal 130 2 2" xfId="1589"/>
    <cellStyle name="Normal 130 2 2 10" xfId="23563"/>
    <cellStyle name="Normal 130 2 2 10 2" xfId="45878"/>
    <cellStyle name="Normal 130 2 2 11" xfId="28028"/>
    <cellStyle name="Normal 130 2 2 2" xfId="1807"/>
    <cellStyle name="Normal 130 2 2 2 10" xfId="28159"/>
    <cellStyle name="Normal 130 2 2 2 2" xfId="2226"/>
    <cellStyle name="Normal 130 2 2 2 2 2" xfId="5497"/>
    <cellStyle name="Normal 130 2 2 2 2 2 2" xfId="7321"/>
    <cellStyle name="Normal 130 2 2 2 2 2 2 2" xfId="10652"/>
    <cellStyle name="Normal 130 2 2 2 2 2 2 2 2" xfId="17356"/>
    <cellStyle name="Normal 130 2 2 2 2 2 2 2 2 2" xfId="40777"/>
    <cellStyle name="Normal 130 2 2 2 2 2 2 2 3" xfId="23072"/>
    <cellStyle name="Normal 130 2 2 2 2 2 2 2 3 2" xfId="45494"/>
    <cellStyle name="Normal 130 2 2 2 2 2 2 2 4" xfId="34145"/>
    <cellStyle name="Normal 130 2 2 2 2 2 2 3" xfId="14040"/>
    <cellStyle name="Normal 130 2 2 2 2 2 2 3 2" xfId="37461"/>
    <cellStyle name="Normal 130 2 2 2 2 2 2 4" xfId="20245"/>
    <cellStyle name="Normal 130 2 2 2 2 2 2 4 2" xfId="42780"/>
    <cellStyle name="Normal 130 2 2 2 2 2 2 5" xfId="30829"/>
    <cellStyle name="Normal 130 2 2 2 2 2 3" xfId="8994"/>
    <cellStyle name="Normal 130 2 2 2 2 2 3 2" xfId="15698"/>
    <cellStyle name="Normal 130 2 2 2 2 2 3 2 2" xfId="39119"/>
    <cellStyle name="Normal 130 2 2 2 2 2 3 3" xfId="21230"/>
    <cellStyle name="Normal 130 2 2 2 2 2 3 3 2" xfId="43681"/>
    <cellStyle name="Normal 130 2 2 2 2 2 3 4" xfId="32487"/>
    <cellStyle name="Normal 130 2 2 2 2 2 4" xfId="12382"/>
    <cellStyle name="Normal 130 2 2 2 2 2 4 2" xfId="22258"/>
    <cellStyle name="Normal 130 2 2 2 2 2 4 2 2" xfId="44680"/>
    <cellStyle name="Normal 130 2 2 2 2 2 4 3" xfId="35803"/>
    <cellStyle name="Normal 130 2 2 2 2 2 5" xfId="19406"/>
    <cellStyle name="Normal 130 2 2 2 2 2 5 2" xfId="41948"/>
    <cellStyle name="Normal 130 2 2 2 2 2 6" xfId="29171"/>
    <cellStyle name="Normal 130 2 2 2 2 3" xfId="6417"/>
    <cellStyle name="Normal 130 2 2 2 2 3 2" xfId="9751"/>
    <cellStyle name="Normal 130 2 2 2 2 3 2 2" xfId="16455"/>
    <cellStyle name="Normal 130 2 2 2 2 3 2 2 2" xfId="39876"/>
    <cellStyle name="Normal 130 2 2 2 2 3 2 3" xfId="22666"/>
    <cellStyle name="Normal 130 2 2 2 2 3 2 3 2" xfId="45088"/>
    <cellStyle name="Normal 130 2 2 2 2 3 2 4" xfId="33244"/>
    <cellStyle name="Normal 130 2 2 2 2 3 3" xfId="13139"/>
    <cellStyle name="Normal 130 2 2 2 2 3 3 2" xfId="36560"/>
    <cellStyle name="Normal 130 2 2 2 2 3 4" xfId="19829"/>
    <cellStyle name="Normal 130 2 2 2 2 3 4 2" xfId="42364"/>
    <cellStyle name="Normal 130 2 2 2 2 3 5" xfId="29928"/>
    <cellStyle name="Normal 130 2 2 2 2 4" xfId="8084"/>
    <cellStyle name="Normal 130 2 2 2 2 4 2" xfId="14797"/>
    <cellStyle name="Normal 130 2 2 2 2 4 2 2" xfId="38218"/>
    <cellStyle name="Normal 130 2 2 2 2 4 3" xfId="20771"/>
    <cellStyle name="Normal 130 2 2 2 2 4 3 2" xfId="43222"/>
    <cellStyle name="Normal 130 2 2 2 2 4 4" xfId="31586"/>
    <cellStyle name="Normal 130 2 2 2 2 5" xfId="11479"/>
    <cellStyle name="Normal 130 2 2 2 2 5 2" xfId="21826"/>
    <cellStyle name="Normal 130 2 2 2 2 5 2 2" xfId="44266"/>
    <cellStyle name="Normal 130 2 2 2 2 5 3" xfId="34902"/>
    <cellStyle name="Normal 130 2 2 2 2 6" xfId="18596"/>
    <cellStyle name="Normal 130 2 2 2 2 6 2" xfId="41523"/>
    <cellStyle name="Normal 130 2 2 2 2 7" xfId="25826"/>
    <cellStyle name="Normal 130 2 2 2 2 7 2" xfId="48071"/>
    <cellStyle name="Normal 130 2 2 2 2 8" xfId="28270"/>
    <cellStyle name="Normal 130 2 2 2 3" xfId="2804"/>
    <cellStyle name="Normal 130 2 2 2 3 2" xfId="5896"/>
    <cellStyle name="Normal 130 2 2 2 3 2 2" xfId="7678"/>
    <cellStyle name="Normal 130 2 2 2 3 2 2 2" xfId="11007"/>
    <cellStyle name="Normal 130 2 2 2 3 2 2 2 2" xfId="17711"/>
    <cellStyle name="Normal 130 2 2 2 3 2 2 2 2 2" xfId="41132"/>
    <cellStyle name="Normal 130 2 2 2 3 2 2 2 3" xfId="34500"/>
    <cellStyle name="Normal 130 2 2 2 3 2 2 3" xfId="14395"/>
    <cellStyle name="Normal 130 2 2 2 3 2 2 3 2" xfId="37816"/>
    <cellStyle name="Normal 130 2 2 2 3 2 2 4" xfId="22872"/>
    <cellStyle name="Normal 130 2 2 2 3 2 2 4 2" xfId="45294"/>
    <cellStyle name="Normal 130 2 2 2 3 2 2 5" xfId="31184"/>
    <cellStyle name="Normal 130 2 2 2 3 2 3" xfId="9349"/>
    <cellStyle name="Normal 130 2 2 2 3 2 3 2" xfId="16053"/>
    <cellStyle name="Normal 130 2 2 2 3 2 3 2 2" xfId="39474"/>
    <cellStyle name="Normal 130 2 2 2 3 2 3 3" xfId="32842"/>
    <cellStyle name="Normal 130 2 2 2 3 2 4" xfId="12737"/>
    <cellStyle name="Normal 130 2 2 2 3 2 4 2" xfId="36158"/>
    <cellStyle name="Normal 130 2 2 2 3 2 5" xfId="20037"/>
    <cellStyle name="Normal 130 2 2 2 3 2 5 2" xfId="42572"/>
    <cellStyle name="Normal 130 2 2 2 3 2 6" xfId="29526"/>
    <cellStyle name="Normal 130 2 2 2 3 3" xfId="6779"/>
    <cellStyle name="Normal 130 2 2 2 3 3 2" xfId="10111"/>
    <cellStyle name="Normal 130 2 2 2 3 3 2 2" xfId="16815"/>
    <cellStyle name="Normal 130 2 2 2 3 3 2 2 2" xfId="40236"/>
    <cellStyle name="Normal 130 2 2 2 3 3 2 3" xfId="33604"/>
    <cellStyle name="Normal 130 2 2 2 3 3 3" xfId="13499"/>
    <cellStyle name="Normal 130 2 2 2 3 3 3 2" xfId="36920"/>
    <cellStyle name="Normal 130 2 2 2 3 3 4" xfId="21229"/>
    <cellStyle name="Normal 130 2 2 2 3 3 4 2" xfId="43680"/>
    <cellStyle name="Normal 130 2 2 2 3 3 5" xfId="30288"/>
    <cellStyle name="Normal 130 2 2 2 3 4" xfId="8445"/>
    <cellStyle name="Normal 130 2 2 2 3 4 2" xfId="15157"/>
    <cellStyle name="Normal 130 2 2 2 3 4 2 2" xfId="38578"/>
    <cellStyle name="Normal 130 2 2 2 3 4 3" xfId="22045"/>
    <cellStyle name="Normal 130 2 2 2 3 4 3 2" xfId="44473"/>
    <cellStyle name="Normal 130 2 2 2 3 4 4" xfId="31946"/>
    <cellStyle name="Normal 130 2 2 2 3 5" xfId="11839"/>
    <cellStyle name="Normal 130 2 2 2 3 5 2" xfId="35262"/>
    <cellStyle name="Normal 130 2 2 2 3 6" xfId="19183"/>
    <cellStyle name="Normal 130 2 2 2 3 6 2" xfId="41740"/>
    <cellStyle name="Normal 130 2 2 2 3 7" xfId="28630"/>
    <cellStyle name="Normal 130 2 2 2 4" xfId="3880"/>
    <cellStyle name="Normal 130 2 2 2 4 2" xfId="6975"/>
    <cellStyle name="Normal 130 2 2 2 4 2 2" xfId="10307"/>
    <cellStyle name="Normal 130 2 2 2 4 2 2 2" xfId="17011"/>
    <cellStyle name="Normal 130 2 2 2 4 2 2 2 2" xfId="40432"/>
    <cellStyle name="Normal 130 2 2 2 4 2 2 3" xfId="33800"/>
    <cellStyle name="Normal 130 2 2 2 4 2 3" xfId="13695"/>
    <cellStyle name="Normal 130 2 2 2 4 2 3 2" xfId="37116"/>
    <cellStyle name="Normal 130 2 2 2 4 2 4" xfId="22466"/>
    <cellStyle name="Normal 130 2 2 2 4 2 4 2" xfId="44888"/>
    <cellStyle name="Normal 130 2 2 2 4 2 5" xfId="30484"/>
    <cellStyle name="Normal 130 2 2 2 4 3" xfId="8642"/>
    <cellStyle name="Normal 130 2 2 2 4 3 2" xfId="15353"/>
    <cellStyle name="Normal 130 2 2 2 4 3 2 2" xfId="38774"/>
    <cellStyle name="Normal 130 2 2 2 4 3 3" xfId="32142"/>
    <cellStyle name="Normal 130 2 2 2 4 4" xfId="12035"/>
    <cellStyle name="Normal 130 2 2 2 4 4 2" xfId="35458"/>
    <cellStyle name="Normal 130 2 2 2 4 5" xfId="19619"/>
    <cellStyle name="Normal 130 2 2 2 4 5 2" xfId="42156"/>
    <cellStyle name="Normal 130 2 2 2 4 6" xfId="28826"/>
    <cellStyle name="Normal 130 2 2 2 5" xfId="6306"/>
    <cellStyle name="Normal 130 2 2 2 5 2" xfId="9640"/>
    <cellStyle name="Normal 130 2 2 2 5 2 2" xfId="16344"/>
    <cellStyle name="Normal 130 2 2 2 5 2 2 2" xfId="39765"/>
    <cellStyle name="Normal 130 2 2 2 5 2 3" xfId="33133"/>
    <cellStyle name="Normal 130 2 2 2 5 3" xfId="13028"/>
    <cellStyle name="Normal 130 2 2 2 5 3 2" xfId="36449"/>
    <cellStyle name="Normal 130 2 2 2 5 4" xfId="20770"/>
    <cellStyle name="Normal 130 2 2 2 5 4 2" xfId="43221"/>
    <cellStyle name="Normal 130 2 2 2 5 5" xfId="29817"/>
    <cellStyle name="Normal 130 2 2 2 6" xfId="7972"/>
    <cellStyle name="Normal 130 2 2 2 6 2" xfId="14686"/>
    <cellStyle name="Normal 130 2 2 2 6 2 2" xfId="38107"/>
    <cellStyle name="Normal 130 2 2 2 6 3" xfId="21615"/>
    <cellStyle name="Normal 130 2 2 2 6 3 2" xfId="44064"/>
    <cellStyle name="Normal 130 2 2 2 6 4" xfId="31475"/>
    <cellStyle name="Normal 130 2 2 2 7" xfId="11368"/>
    <cellStyle name="Normal 130 2 2 2 7 2" xfId="34791"/>
    <cellStyle name="Normal 130 2 2 2 8" xfId="17982"/>
    <cellStyle name="Normal 130 2 2 2 8 2" xfId="41287"/>
    <cellStyle name="Normal 130 2 2 2 9" xfId="23564"/>
    <cellStyle name="Normal 130 2 2 2 9 2" xfId="45879"/>
    <cellStyle name="Normal 130 2 2 3" xfId="2225"/>
    <cellStyle name="Normal 130 2 2 3 2" xfId="5496"/>
    <cellStyle name="Normal 130 2 2 3 2 2" xfId="7320"/>
    <cellStyle name="Normal 130 2 2 3 2 2 2" xfId="10651"/>
    <cellStyle name="Normal 130 2 2 3 2 2 2 2" xfId="17355"/>
    <cellStyle name="Normal 130 2 2 3 2 2 2 2 2" xfId="40776"/>
    <cellStyle name="Normal 130 2 2 3 2 2 2 3" xfId="23071"/>
    <cellStyle name="Normal 130 2 2 3 2 2 2 3 2" xfId="45493"/>
    <cellStyle name="Normal 130 2 2 3 2 2 2 4" xfId="34144"/>
    <cellStyle name="Normal 130 2 2 3 2 2 3" xfId="14039"/>
    <cellStyle name="Normal 130 2 2 3 2 2 3 2" xfId="37460"/>
    <cellStyle name="Normal 130 2 2 3 2 2 4" xfId="20244"/>
    <cellStyle name="Normal 130 2 2 3 2 2 4 2" xfId="42779"/>
    <cellStyle name="Normal 130 2 2 3 2 2 5" xfId="30828"/>
    <cellStyle name="Normal 130 2 2 3 2 3" xfId="8993"/>
    <cellStyle name="Normal 130 2 2 3 2 3 2" xfId="15697"/>
    <cellStyle name="Normal 130 2 2 3 2 3 2 2" xfId="39118"/>
    <cellStyle name="Normal 130 2 2 3 2 3 3" xfId="21231"/>
    <cellStyle name="Normal 130 2 2 3 2 3 3 2" xfId="43682"/>
    <cellStyle name="Normal 130 2 2 3 2 3 4" xfId="32486"/>
    <cellStyle name="Normal 130 2 2 3 2 4" xfId="12381"/>
    <cellStyle name="Normal 130 2 2 3 2 4 2" xfId="22257"/>
    <cellStyle name="Normal 130 2 2 3 2 4 2 2" xfId="44679"/>
    <cellStyle name="Normal 130 2 2 3 2 4 3" xfId="35802"/>
    <cellStyle name="Normal 130 2 2 3 2 5" xfId="19405"/>
    <cellStyle name="Normal 130 2 2 3 2 5 2" xfId="41947"/>
    <cellStyle name="Normal 130 2 2 3 2 6" xfId="29170"/>
    <cellStyle name="Normal 130 2 2 3 3" xfId="6416"/>
    <cellStyle name="Normal 130 2 2 3 3 2" xfId="9750"/>
    <cellStyle name="Normal 130 2 2 3 3 2 2" xfId="16454"/>
    <cellStyle name="Normal 130 2 2 3 3 2 2 2" xfId="39875"/>
    <cellStyle name="Normal 130 2 2 3 3 2 3" xfId="22665"/>
    <cellStyle name="Normal 130 2 2 3 3 2 3 2" xfId="45087"/>
    <cellStyle name="Normal 130 2 2 3 3 2 4" xfId="33243"/>
    <cellStyle name="Normal 130 2 2 3 3 3" xfId="13138"/>
    <cellStyle name="Normal 130 2 2 3 3 3 2" xfId="36559"/>
    <cellStyle name="Normal 130 2 2 3 3 4" xfId="19828"/>
    <cellStyle name="Normal 130 2 2 3 3 4 2" xfId="42363"/>
    <cellStyle name="Normal 130 2 2 3 3 5" xfId="29927"/>
    <cellStyle name="Normal 130 2 2 3 4" xfId="8083"/>
    <cellStyle name="Normal 130 2 2 3 4 2" xfId="14796"/>
    <cellStyle name="Normal 130 2 2 3 4 2 2" xfId="38217"/>
    <cellStyle name="Normal 130 2 2 3 4 3" xfId="20772"/>
    <cellStyle name="Normal 130 2 2 3 4 3 2" xfId="43223"/>
    <cellStyle name="Normal 130 2 2 3 4 4" xfId="31585"/>
    <cellStyle name="Normal 130 2 2 3 5" xfId="11478"/>
    <cellStyle name="Normal 130 2 2 3 5 2" xfId="21825"/>
    <cellStyle name="Normal 130 2 2 3 5 2 2" xfId="44265"/>
    <cellStyle name="Normal 130 2 2 3 5 3" xfId="34901"/>
    <cellStyle name="Normal 130 2 2 3 6" xfId="18595"/>
    <cellStyle name="Normal 130 2 2 3 6 2" xfId="41522"/>
    <cellStyle name="Normal 130 2 2 3 7" xfId="25825"/>
    <cellStyle name="Normal 130 2 2 3 7 2" xfId="48070"/>
    <cellStyle name="Normal 130 2 2 3 8" xfId="28269"/>
    <cellStyle name="Normal 130 2 2 4" xfId="2672"/>
    <cellStyle name="Normal 130 2 2 4 2" xfId="5765"/>
    <cellStyle name="Normal 130 2 2 4 2 2" xfId="7547"/>
    <cellStyle name="Normal 130 2 2 4 2 2 2" xfId="10876"/>
    <cellStyle name="Normal 130 2 2 4 2 2 2 2" xfId="17580"/>
    <cellStyle name="Normal 130 2 2 4 2 2 2 2 2" xfId="41001"/>
    <cellStyle name="Normal 130 2 2 4 2 2 2 3" xfId="34369"/>
    <cellStyle name="Normal 130 2 2 4 2 2 3" xfId="14264"/>
    <cellStyle name="Normal 130 2 2 4 2 2 3 2" xfId="37685"/>
    <cellStyle name="Normal 130 2 2 4 2 2 4" xfId="22871"/>
    <cellStyle name="Normal 130 2 2 4 2 2 4 2" xfId="45293"/>
    <cellStyle name="Normal 130 2 2 4 2 2 5" xfId="31053"/>
    <cellStyle name="Normal 130 2 2 4 2 3" xfId="9218"/>
    <cellStyle name="Normal 130 2 2 4 2 3 2" xfId="15922"/>
    <cellStyle name="Normal 130 2 2 4 2 3 2 2" xfId="39343"/>
    <cellStyle name="Normal 130 2 2 4 2 3 3" xfId="32711"/>
    <cellStyle name="Normal 130 2 2 4 2 4" xfId="12606"/>
    <cellStyle name="Normal 130 2 2 4 2 4 2" xfId="36027"/>
    <cellStyle name="Normal 130 2 2 4 2 5" xfId="20036"/>
    <cellStyle name="Normal 130 2 2 4 2 5 2" xfId="42571"/>
    <cellStyle name="Normal 130 2 2 4 2 6" xfId="29395"/>
    <cellStyle name="Normal 130 2 2 4 3" xfId="6648"/>
    <cellStyle name="Normal 130 2 2 4 3 2" xfId="9980"/>
    <cellStyle name="Normal 130 2 2 4 3 2 2" xfId="16684"/>
    <cellStyle name="Normal 130 2 2 4 3 2 2 2" xfId="40105"/>
    <cellStyle name="Normal 130 2 2 4 3 2 3" xfId="33473"/>
    <cellStyle name="Normal 130 2 2 4 3 3" xfId="13368"/>
    <cellStyle name="Normal 130 2 2 4 3 3 2" xfId="36789"/>
    <cellStyle name="Normal 130 2 2 4 3 4" xfId="21228"/>
    <cellStyle name="Normal 130 2 2 4 3 4 2" xfId="43679"/>
    <cellStyle name="Normal 130 2 2 4 3 5" xfId="30157"/>
    <cellStyle name="Normal 130 2 2 4 4" xfId="8314"/>
    <cellStyle name="Normal 130 2 2 4 4 2" xfId="15026"/>
    <cellStyle name="Normal 130 2 2 4 4 2 2" xfId="38447"/>
    <cellStyle name="Normal 130 2 2 4 4 3" xfId="22044"/>
    <cellStyle name="Normal 130 2 2 4 4 3 2" xfId="44472"/>
    <cellStyle name="Normal 130 2 2 4 4 4" xfId="31815"/>
    <cellStyle name="Normal 130 2 2 4 5" xfId="11708"/>
    <cellStyle name="Normal 130 2 2 4 5 2" xfId="35131"/>
    <cellStyle name="Normal 130 2 2 4 6" xfId="19182"/>
    <cellStyle name="Normal 130 2 2 4 6 2" xfId="41739"/>
    <cellStyle name="Normal 130 2 2 4 7" xfId="28499"/>
    <cellStyle name="Normal 130 2 2 5" xfId="3879"/>
    <cellStyle name="Normal 130 2 2 5 2" xfId="6974"/>
    <cellStyle name="Normal 130 2 2 5 2 2" xfId="10306"/>
    <cellStyle name="Normal 130 2 2 5 2 2 2" xfId="17010"/>
    <cellStyle name="Normal 130 2 2 5 2 2 2 2" xfId="40431"/>
    <cellStyle name="Normal 130 2 2 5 2 2 3" xfId="33799"/>
    <cellStyle name="Normal 130 2 2 5 2 3" xfId="13694"/>
    <cellStyle name="Normal 130 2 2 5 2 3 2" xfId="37115"/>
    <cellStyle name="Normal 130 2 2 5 2 4" xfId="22465"/>
    <cellStyle name="Normal 130 2 2 5 2 4 2" xfId="44887"/>
    <cellStyle name="Normal 130 2 2 5 2 5" xfId="30483"/>
    <cellStyle name="Normal 130 2 2 5 3" xfId="8641"/>
    <cellStyle name="Normal 130 2 2 5 3 2" xfId="15352"/>
    <cellStyle name="Normal 130 2 2 5 3 2 2" xfId="38773"/>
    <cellStyle name="Normal 130 2 2 5 3 3" xfId="32141"/>
    <cellStyle name="Normal 130 2 2 5 4" xfId="12034"/>
    <cellStyle name="Normal 130 2 2 5 4 2" xfId="35457"/>
    <cellStyle name="Normal 130 2 2 5 5" xfId="19618"/>
    <cellStyle name="Normal 130 2 2 5 5 2" xfId="42155"/>
    <cellStyle name="Normal 130 2 2 5 6" xfId="28825"/>
    <cellStyle name="Normal 130 2 2 6" xfId="6175"/>
    <cellStyle name="Normal 130 2 2 6 2" xfId="9509"/>
    <cellStyle name="Normal 130 2 2 6 2 2" xfId="16213"/>
    <cellStyle name="Normal 130 2 2 6 2 2 2" xfId="39634"/>
    <cellStyle name="Normal 130 2 2 6 2 3" xfId="33002"/>
    <cellStyle name="Normal 130 2 2 6 3" xfId="12897"/>
    <cellStyle name="Normal 130 2 2 6 3 2" xfId="36318"/>
    <cellStyle name="Normal 130 2 2 6 4" xfId="20769"/>
    <cellStyle name="Normal 130 2 2 6 4 2" xfId="43220"/>
    <cellStyle name="Normal 130 2 2 6 5" xfId="29686"/>
    <cellStyle name="Normal 130 2 2 7" xfId="7841"/>
    <cellStyle name="Normal 130 2 2 7 2" xfId="14555"/>
    <cellStyle name="Normal 130 2 2 7 2 2" xfId="37976"/>
    <cellStyle name="Normal 130 2 2 7 3" xfId="21614"/>
    <cellStyle name="Normal 130 2 2 7 3 2" xfId="44063"/>
    <cellStyle name="Normal 130 2 2 7 4" xfId="31344"/>
    <cellStyle name="Normal 130 2 2 8" xfId="11237"/>
    <cellStyle name="Normal 130 2 2 8 2" xfId="34660"/>
    <cellStyle name="Normal 130 2 2 9" xfId="17981"/>
    <cellStyle name="Normal 130 2 2 9 2" xfId="41286"/>
    <cellStyle name="Normal 130 2 3" xfId="1763"/>
    <cellStyle name="Normal 130 2 3 10" xfId="28115"/>
    <cellStyle name="Normal 130 2 3 2" xfId="2227"/>
    <cellStyle name="Normal 130 2 3 2 2" xfId="5498"/>
    <cellStyle name="Normal 130 2 3 2 2 2" xfId="7322"/>
    <cellStyle name="Normal 130 2 3 2 2 2 2" xfId="10653"/>
    <cellStyle name="Normal 130 2 3 2 2 2 2 2" xfId="17357"/>
    <cellStyle name="Normal 130 2 3 2 2 2 2 2 2" xfId="40778"/>
    <cellStyle name="Normal 130 2 3 2 2 2 2 3" xfId="23073"/>
    <cellStyle name="Normal 130 2 3 2 2 2 2 3 2" xfId="45495"/>
    <cellStyle name="Normal 130 2 3 2 2 2 2 4" xfId="34146"/>
    <cellStyle name="Normal 130 2 3 2 2 2 3" xfId="14041"/>
    <cellStyle name="Normal 130 2 3 2 2 2 3 2" xfId="37462"/>
    <cellStyle name="Normal 130 2 3 2 2 2 4" xfId="20246"/>
    <cellStyle name="Normal 130 2 3 2 2 2 4 2" xfId="42781"/>
    <cellStyle name="Normal 130 2 3 2 2 2 5" xfId="30830"/>
    <cellStyle name="Normal 130 2 3 2 2 3" xfId="8995"/>
    <cellStyle name="Normal 130 2 3 2 2 3 2" xfId="15699"/>
    <cellStyle name="Normal 130 2 3 2 2 3 2 2" xfId="39120"/>
    <cellStyle name="Normal 130 2 3 2 2 3 3" xfId="21233"/>
    <cellStyle name="Normal 130 2 3 2 2 3 3 2" xfId="43684"/>
    <cellStyle name="Normal 130 2 3 2 2 3 4" xfId="32488"/>
    <cellStyle name="Normal 130 2 3 2 2 4" xfId="12383"/>
    <cellStyle name="Normal 130 2 3 2 2 4 2" xfId="22259"/>
    <cellStyle name="Normal 130 2 3 2 2 4 2 2" xfId="44681"/>
    <cellStyle name="Normal 130 2 3 2 2 4 3" xfId="35804"/>
    <cellStyle name="Normal 130 2 3 2 2 5" xfId="19407"/>
    <cellStyle name="Normal 130 2 3 2 2 5 2" xfId="41949"/>
    <cellStyle name="Normal 130 2 3 2 2 6" xfId="29172"/>
    <cellStyle name="Normal 130 2 3 2 3" xfId="6418"/>
    <cellStyle name="Normal 130 2 3 2 3 2" xfId="9752"/>
    <cellStyle name="Normal 130 2 3 2 3 2 2" xfId="16456"/>
    <cellStyle name="Normal 130 2 3 2 3 2 2 2" xfId="39877"/>
    <cellStyle name="Normal 130 2 3 2 3 2 3" xfId="22667"/>
    <cellStyle name="Normal 130 2 3 2 3 2 3 2" xfId="45089"/>
    <cellStyle name="Normal 130 2 3 2 3 2 4" xfId="33245"/>
    <cellStyle name="Normal 130 2 3 2 3 3" xfId="13140"/>
    <cellStyle name="Normal 130 2 3 2 3 3 2" xfId="36561"/>
    <cellStyle name="Normal 130 2 3 2 3 4" xfId="19830"/>
    <cellStyle name="Normal 130 2 3 2 3 4 2" xfId="42365"/>
    <cellStyle name="Normal 130 2 3 2 3 5" xfId="29929"/>
    <cellStyle name="Normal 130 2 3 2 4" xfId="8085"/>
    <cellStyle name="Normal 130 2 3 2 4 2" xfId="14798"/>
    <cellStyle name="Normal 130 2 3 2 4 2 2" xfId="38219"/>
    <cellStyle name="Normal 130 2 3 2 4 3" xfId="20774"/>
    <cellStyle name="Normal 130 2 3 2 4 3 2" xfId="43225"/>
    <cellStyle name="Normal 130 2 3 2 4 4" xfId="31587"/>
    <cellStyle name="Normal 130 2 3 2 5" xfId="11480"/>
    <cellStyle name="Normal 130 2 3 2 5 2" xfId="21827"/>
    <cellStyle name="Normal 130 2 3 2 5 2 2" xfId="44267"/>
    <cellStyle name="Normal 130 2 3 2 5 3" xfId="34903"/>
    <cellStyle name="Normal 130 2 3 2 6" xfId="18597"/>
    <cellStyle name="Normal 130 2 3 2 6 2" xfId="41524"/>
    <cellStyle name="Normal 130 2 3 2 7" xfId="25827"/>
    <cellStyle name="Normal 130 2 3 2 7 2" xfId="48072"/>
    <cellStyle name="Normal 130 2 3 2 8" xfId="28271"/>
    <cellStyle name="Normal 130 2 3 3" xfId="2760"/>
    <cellStyle name="Normal 130 2 3 3 2" xfId="5852"/>
    <cellStyle name="Normal 130 2 3 3 2 2" xfId="7634"/>
    <cellStyle name="Normal 130 2 3 3 2 2 2" xfId="10963"/>
    <cellStyle name="Normal 130 2 3 3 2 2 2 2" xfId="17667"/>
    <cellStyle name="Normal 130 2 3 3 2 2 2 2 2" xfId="41088"/>
    <cellStyle name="Normal 130 2 3 3 2 2 2 3" xfId="34456"/>
    <cellStyle name="Normal 130 2 3 3 2 2 3" xfId="14351"/>
    <cellStyle name="Normal 130 2 3 3 2 2 3 2" xfId="37772"/>
    <cellStyle name="Normal 130 2 3 3 2 2 4" xfId="22873"/>
    <cellStyle name="Normal 130 2 3 3 2 2 4 2" xfId="45295"/>
    <cellStyle name="Normal 130 2 3 3 2 2 5" xfId="31140"/>
    <cellStyle name="Normal 130 2 3 3 2 3" xfId="9305"/>
    <cellStyle name="Normal 130 2 3 3 2 3 2" xfId="16009"/>
    <cellStyle name="Normal 130 2 3 3 2 3 2 2" xfId="39430"/>
    <cellStyle name="Normal 130 2 3 3 2 3 3" xfId="32798"/>
    <cellStyle name="Normal 130 2 3 3 2 4" xfId="12693"/>
    <cellStyle name="Normal 130 2 3 3 2 4 2" xfId="36114"/>
    <cellStyle name="Normal 130 2 3 3 2 5" xfId="20038"/>
    <cellStyle name="Normal 130 2 3 3 2 5 2" xfId="42573"/>
    <cellStyle name="Normal 130 2 3 3 2 6" xfId="29482"/>
    <cellStyle name="Normal 130 2 3 3 3" xfId="6735"/>
    <cellStyle name="Normal 130 2 3 3 3 2" xfId="10067"/>
    <cellStyle name="Normal 130 2 3 3 3 2 2" xfId="16771"/>
    <cellStyle name="Normal 130 2 3 3 3 2 2 2" xfId="40192"/>
    <cellStyle name="Normal 130 2 3 3 3 2 3" xfId="33560"/>
    <cellStyle name="Normal 130 2 3 3 3 3" xfId="13455"/>
    <cellStyle name="Normal 130 2 3 3 3 3 2" xfId="36876"/>
    <cellStyle name="Normal 130 2 3 3 3 4" xfId="21232"/>
    <cellStyle name="Normal 130 2 3 3 3 4 2" xfId="43683"/>
    <cellStyle name="Normal 130 2 3 3 3 5" xfId="30244"/>
    <cellStyle name="Normal 130 2 3 3 4" xfId="8401"/>
    <cellStyle name="Normal 130 2 3 3 4 2" xfId="15113"/>
    <cellStyle name="Normal 130 2 3 3 4 2 2" xfId="38534"/>
    <cellStyle name="Normal 130 2 3 3 4 3" xfId="22046"/>
    <cellStyle name="Normal 130 2 3 3 4 3 2" xfId="44474"/>
    <cellStyle name="Normal 130 2 3 3 4 4" xfId="31902"/>
    <cellStyle name="Normal 130 2 3 3 5" xfId="11795"/>
    <cellStyle name="Normal 130 2 3 3 5 2" xfId="35218"/>
    <cellStyle name="Normal 130 2 3 3 6" xfId="19184"/>
    <cellStyle name="Normal 130 2 3 3 6 2" xfId="41741"/>
    <cellStyle name="Normal 130 2 3 3 7" xfId="28586"/>
    <cellStyle name="Normal 130 2 3 4" xfId="3881"/>
    <cellStyle name="Normal 130 2 3 4 2" xfId="6976"/>
    <cellStyle name="Normal 130 2 3 4 2 2" xfId="10308"/>
    <cellStyle name="Normal 130 2 3 4 2 2 2" xfId="17012"/>
    <cellStyle name="Normal 130 2 3 4 2 2 2 2" xfId="40433"/>
    <cellStyle name="Normal 130 2 3 4 2 2 3" xfId="33801"/>
    <cellStyle name="Normal 130 2 3 4 2 3" xfId="13696"/>
    <cellStyle name="Normal 130 2 3 4 2 3 2" xfId="37117"/>
    <cellStyle name="Normal 130 2 3 4 2 4" xfId="22467"/>
    <cellStyle name="Normal 130 2 3 4 2 4 2" xfId="44889"/>
    <cellStyle name="Normal 130 2 3 4 2 5" xfId="30485"/>
    <cellStyle name="Normal 130 2 3 4 3" xfId="8643"/>
    <cellStyle name="Normal 130 2 3 4 3 2" xfId="15354"/>
    <cellStyle name="Normal 130 2 3 4 3 2 2" xfId="38775"/>
    <cellStyle name="Normal 130 2 3 4 3 3" xfId="32143"/>
    <cellStyle name="Normal 130 2 3 4 4" xfId="12036"/>
    <cellStyle name="Normal 130 2 3 4 4 2" xfId="35459"/>
    <cellStyle name="Normal 130 2 3 4 5" xfId="19620"/>
    <cellStyle name="Normal 130 2 3 4 5 2" xfId="42157"/>
    <cellStyle name="Normal 130 2 3 4 6" xfId="28827"/>
    <cellStyle name="Normal 130 2 3 5" xfId="6262"/>
    <cellStyle name="Normal 130 2 3 5 2" xfId="9596"/>
    <cellStyle name="Normal 130 2 3 5 2 2" xfId="16300"/>
    <cellStyle name="Normal 130 2 3 5 2 2 2" xfId="39721"/>
    <cellStyle name="Normal 130 2 3 5 2 3" xfId="33089"/>
    <cellStyle name="Normal 130 2 3 5 3" xfId="12984"/>
    <cellStyle name="Normal 130 2 3 5 3 2" xfId="36405"/>
    <cellStyle name="Normal 130 2 3 5 4" xfId="20773"/>
    <cellStyle name="Normal 130 2 3 5 4 2" xfId="43224"/>
    <cellStyle name="Normal 130 2 3 5 5" xfId="29773"/>
    <cellStyle name="Normal 130 2 3 6" xfId="7928"/>
    <cellStyle name="Normal 130 2 3 6 2" xfId="14642"/>
    <cellStyle name="Normal 130 2 3 6 2 2" xfId="38063"/>
    <cellStyle name="Normal 130 2 3 6 3" xfId="21616"/>
    <cellStyle name="Normal 130 2 3 6 3 2" xfId="44065"/>
    <cellStyle name="Normal 130 2 3 6 4" xfId="31431"/>
    <cellStyle name="Normal 130 2 3 7" xfId="11324"/>
    <cellStyle name="Normal 130 2 3 7 2" xfId="34747"/>
    <cellStyle name="Normal 130 2 3 8" xfId="17983"/>
    <cellStyle name="Normal 130 2 3 8 2" xfId="41288"/>
    <cellStyle name="Normal 130 2 3 9" xfId="23565"/>
    <cellStyle name="Normal 130 2 3 9 2" xfId="45880"/>
    <cellStyle name="Normal 130 2 4" xfId="2224"/>
    <cellStyle name="Normal 130 2 4 2" xfId="5495"/>
    <cellStyle name="Normal 130 2 4 2 2" xfId="7319"/>
    <cellStyle name="Normal 130 2 4 2 2 2" xfId="10650"/>
    <cellStyle name="Normal 130 2 4 2 2 2 2" xfId="17354"/>
    <cellStyle name="Normal 130 2 4 2 2 2 2 2" xfId="40775"/>
    <cellStyle name="Normal 130 2 4 2 2 2 3" xfId="23070"/>
    <cellStyle name="Normal 130 2 4 2 2 2 3 2" xfId="45492"/>
    <cellStyle name="Normal 130 2 4 2 2 2 4" xfId="34143"/>
    <cellStyle name="Normal 130 2 4 2 2 3" xfId="14038"/>
    <cellStyle name="Normal 130 2 4 2 2 3 2" xfId="37459"/>
    <cellStyle name="Normal 130 2 4 2 2 4" xfId="20243"/>
    <cellStyle name="Normal 130 2 4 2 2 4 2" xfId="42778"/>
    <cellStyle name="Normal 130 2 4 2 2 5" xfId="30827"/>
    <cellStyle name="Normal 130 2 4 2 3" xfId="8992"/>
    <cellStyle name="Normal 130 2 4 2 3 2" xfId="15696"/>
    <cellStyle name="Normal 130 2 4 2 3 2 2" xfId="39117"/>
    <cellStyle name="Normal 130 2 4 2 3 3" xfId="21234"/>
    <cellStyle name="Normal 130 2 4 2 3 3 2" xfId="43685"/>
    <cellStyle name="Normal 130 2 4 2 3 4" xfId="32485"/>
    <cellStyle name="Normal 130 2 4 2 4" xfId="12380"/>
    <cellStyle name="Normal 130 2 4 2 4 2" xfId="22256"/>
    <cellStyle name="Normal 130 2 4 2 4 2 2" xfId="44678"/>
    <cellStyle name="Normal 130 2 4 2 4 3" xfId="35801"/>
    <cellStyle name="Normal 130 2 4 2 5" xfId="19404"/>
    <cellStyle name="Normal 130 2 4 2 5 2" xfId="41946"/>
    <cellStyle name="Normal 130 2 4 2 6" xfId="29169"/>
    <cellStyle name="Normal 130 2 4 3" xfId="6415"/>
    <cellStyle name="Normal 130 2 4 3 2" xfId="9749"/>
    <cellStyle name="Normal 130 2 4 3 2 2" xfId="16453"/>
    <cellStyle name="Normal 130 2 4 3 2 2 2" xfId="39874"/>
    <cellStyle name="Normal 130 2 4 3 2 3" xfId="22664"/>
    <cellStyle name="Normal 130 2 4 3 2 3 2" xfId="45086"/>
    <cellStyle name="Normal 130 2 4 3 2 4" xfId="33242"/>
    <cellStyle name="Normal 130 2 4 3 3" xfId="13137"/>
    <cellStyle name="Normal 130 2 4 3 3 2" xfId="36558"/>
    <cellStyle name="Normal 130 2 4 3 4" xfId="19827"/>
    <cellStyle name="Normal 130 2 4 3 4 2" xfId="42362"/>
    <cellStyle name="Normal 130 2 4 3 5" xfId="29926"/>
    <cellStyle name="Normal 130 2 4 4" xfId="8082"/>
    <cellStyle name="Normal 130 2 4 4 2" xfId="14795"/>
    <cellStyle name="Normal 130 2 4 4 2 2" xfId="38216"/>
    <cellStyle name="Normal 130 2 4 4 3" xfId="20775"/>
    <cellStyle name="Normal 130 2 4 4 3 2" xfId="43226"/>
    <cellStyle name="Normal 130 2 4 4 4" xfId="31584"/>
    <cellStyle name="Normal 130 2 4 5" xfId="11477"/>
    <cellStyle name="Normal 130 2 4 5 2" xfId="21824"/>
    <cellStyle name="Normal 130 2 4 5 2 2" xfId="44264"/>
    <cellStyle name="Normal 130 2 4 5 3" xfId="34900"/>
    <cellStyle name="Normal 130 2 4 6" xfId="18594"/>
    <cellStyle name="Normal 130 2 4 6 2" xfId="41521"/>
    <cellStyle name="Normal 130 2 4 7" xfId="25824"/>
    <cellStyle name="Normal 130 2 4 7 2" xfId="48069"/>
    <cellStyle name="Normal 130 2 4 8" xfId="28268"/>
    <cellStyle name="Normal 130 2 5" xfId="2628"/>
    <cellStyle name="Normal 130 2 5 2" xfId="5721"/>
    <cellStyle name="Normal 130 2 5 2 2" xfId="7503"/>
    <cellStyle name="Normal 130 2 5 2 2 2" xfId="10832"/>
    <cellStyle name="Normal 130 2 5 2 2 2 2" xfId="17536"/>
    <cellStyle name="Normal 130 2 5 2 2 2 2 2" xfId="40957"/>
    <cellStyle name="Normal 130 2 5 2 2 2 3" xfId="34325"/>
    <cellStyle name="Normal 130 2 5 2 2 3" xfId="14220"/>
    <cellStyle name="Normal 130 2 5 2 2 3 2" xfId="37641"/>
    <cellStyle name="Normal 130 2 5 2 2 4" xfId="20586"/>
    <cellStyle name="Normal 130 2 5 2 2 4 2" xfId="43037"/>
    <cellStyle name="Normal 130 2 5 2 2 5" xfId="31009"/>
    <cellStyle name="Normal 130 2 5 2 3" xfId="9174"/>
    <cellStyle name="Normal 130 2 5 2 3 2" xfId="15878"/>
    <cellStyle name="Normal 130 2 5 2 3 2 2" xfId="39299"/>
    <cellStyle name="Normal 130 2 5 2 3 3" xfId="21504"/>
    <cellStyle name="Normal 130 2 5 2 3 3 2" xfId="43955"/>
    <cellStyle name="Normal 130 2 5 2 3 4" xfId="32667"/>
    <cellStyle name="Normal 130 2 5 2 4" xfId="12562"/>
    <cellStyle name="Normal 130 2 5 2 4 2" xfId="22870"/>
    <cellStyle name="Normal 130 2 5 2 4 2 2" xfId="45292"/>
    <cellStyle name="Normal 130 2 5 2 4 3" xfId="35983"/>
    <cellStyle name="Normal 130 2 5 2 5" xfId="20035"/>
    <cellStyle name="Normal 130 2 5 2 5 2" xfId="42570"/>
    <cellStyle name="Normal 130 2 5 2 6" xfId="29351"/>
    <cellStyle name="Normal 130 2 5 3" xfId="6604"/>
    <cellStyle name="Normal 130 2 5 3 2" xfId="9936"/>
    <cellStyle name="Normal 130 2 5 3 2 2" xfId="16640"/>
    <cellStyle name="Normal 130 2 5 3 2 2 2" xfId="40061"/>
    <cellStyle name="Normal 130 2 5 3 2 3" xfId="33429"/>
    <cellStyle name="Normal 130 2 5 3 3" xfId="13324"/>
    <cellStyle name="Normal 130 2 5 3 3 2" xfId="36745"/>
    <cellStyle name="Normal 130 2 5 3 4" xfId="20488"/>
    <cellStyle name="Normal 130 2 5 3 4 2" xfId="42941"/>
    <cellStyle name="Normal 130 2 5 3 5" xfId="30113"/>
    <cellStyle name="Normal 130 2 5 4" xfId="8270"/>
    <cellStyle name="Normal 130 2 5 4 2" xfId="14982"/>
    <cellStyle name="Normal 130 2 5 4 2 2" xfId="38403"/>
    <cellStyle name="Normal 130 2 5 4 3" xfId="21045"/>
    <cellStyle name="Normal 130 2 5 4 3 2" xfId="43496"/>
    <cellStyle name="Normal 130 2 5 4 4" xfId="31771"/>
    <cellStyle name="Normal 130 2 5 5" xfId="11664"/>
    <cellStyle name="Normal 130 2 5 5 2" xfId="22043"/>
    <cellStyle name="Normal 130 2 5 5 2 2" xfId="44471"/>
    <cellStyle name="Normal 130 2 5 5 3" xfId="35087"/>
    <cellStyle name="Normal 130 2 5 6" xfId="19181"/>
    <cellStyle name="Normal 130 2 5 6 2" xfId="41738"/>
    <cellStyle name="Normal 130 2 5 7" xfId="28455"/>
    <cellStyle name="Normal 130 2 6" xfId="3878"/>
    <cellStyle name="Normal 130 2 6 2" xfId="6973"/>
    <cellStyle name="Normal 130 2 6 2 2" xfId="10305"/>
    <cellStyle name="Normal 130 2 6 2 2 2" xfId="17009"/>
    <cellStyle name="Normal 130 2 6 2 2 2 2" xfId="40430"/>
    <cellStyle name="Normal 130 2 6 2 2 3" xfId="33798"/>
    <cellStyle name="Normal 130 2 6 2 3" xfId="13693"/>
    <cellStyle name="Normal 130 2 6 2 3 2" xfId="37114"/>
    <cellStyle name="Normal 130 2 6 2 4" xfId="20534"/>
    <cellStyle name="Normal 130 2 6 2 4 2" xfId="42987"/>
    <cellStyle name="Normal 130 2 6 2 5" xfId="30482"/>
    <cellStyle name="Normal 130 2 6 3" xfId="8640"/>
    <cellStyle name="Normal 130 2 6 3 2" xfId="15351"/>
    <cellStyle name="Normal 130 2 6 3 2 2" xfId="38772"/>
    <cellStyle name="Normal 130 2 6 3 3" xfId="21227"/>
    <cellStyle name="Normal 130 2 6 3 3 2" xfId="43678"/>
    <cellStyle name="Normal 130 2 6 3 4" xfId="32140"/>
    <cellStyle name="Normal 130 2 6 4" xfId="12033"/>
    <cellStyle name="Normal 130 2 6 4 2" xfId="22464"/>
    <cellStyle name="Normal 130 2 6 4 2 2" xfId="44886"/>
    <cellStyle name="Normal 130 2 6 4 3" xfId="35456"/>
    <cellStyle name="Normal 130 2 6 5" xfId="19617"/>
    <cellStyle name="Normal 130 2 6 5 2" xfId="42154"/>
    <cellStyle name="Normal 130 2 6 6" xfId="28824"/>
    <cellStyle name="Normal 130 2 7" xfId="6131"/>
    <cellStyle name="Normal 130 2 7 2" xfId="9465"/>
    <cellStyle name="Normal 130 2 7 2 2" xfId="16169"/>
    <cellStyle name="Normal 130 2 7 2 2 2" xfId="39590"/>
    <cellStyle name="Normal 130 2 7 2 3" xfId="32958"/>
    <cellStyle name="Normal 130 2 7 3" xfId="12853"/>
    <cellStyle name="Normal 130 2 7 3 2" xfId="36274"/>
    <cellStyle name="Normal 130 2 7 4" xfId="17852"/>
    <cellStyle name="Normal 130 2 7 4 2" xfId="41202"/>
    <cellStyle name="Normal 130 2 7 5" xfId="29642"/>
    <cellStyle name="Normal 130 2 8" xfId="7797"/>
    <cellStyle name="Normal 130 2 8 2" xfId="14511"/>
    <cellStyle name="Normal 130 2 8 2 2" xfId="37932"/>
    <cellStyle name="Normal 130 2 8 3" xfId="20768"/>
    <cellStyle name="Normal 130 2 8 3 2" xfId="43219"/>
    <cellStyle name="Normal 130 2 8 4" xfId="31300"/>
    <cellStyle name="Normal 130 2 9" xfId="11193"/>
    <cellStyle name="Normal 130 2 9 2" xfId="21613"/>
    <cellStyle name="Normal 130 2 9 2 2" xfId="44062"/>
    <cellStyle name="Normal 130 2 9 3" xfId="34616"/>
    <cellStyle name="Normal 130 3" xfId="1588"/>
    <cellStyle name="Normal 130 3 10" xfId="23566"/>
    <cellStyle name="Normal 130 3 10 2" xfId="45881"/>
    <cellStyle name="Normal 130 3 11" xfId="28027"/>
    <cellStyle name="Normal 130 3 2" xfId="1806"/>
    <cellStyle name="Normal 130 3 2 10" xfId="28158"/>
    <cellStyle name="Normal 130 3 2 2" xfId="2229"/>
    <cellStyle name="Normal 130 3 2 2 2" xfId="5500"/>
    <cellStyle name="Normal 130 3 2 2 2 2" xfId="7324"/>
    <cellStyle name="Normal 130 3 2 2 2 2 2" xfId="10655"/>
    <cellStyle name="Normal 130 3 2 2 2 2 2 2" xfId="17359"/>
    <cellStyle name="Normal 130 3 2 2 2 2 2 2 2" xfId="40780"/>
    <cellStyle name="Normal 130 3 2 2 2 2 2 3" xfId="23075"/>
    <cellStyle name="Normal 130 3 2 2 2 2 2 3 2" xfId="45497"/>
    <cellStyle name="Normal 130 3 2 2 2 2 2 4" xfId="34148"/>
    <cellStyle name="Normal 130 3 2 2 2 2 3" xfId="14043"/>
    <cellStyle name="Normal 130 3 2 2 2 2 3 2" xfId="37464"/>
    <cellStyle name="Normal 130 3 2 2 2 2 4" xfId="20248"/>
    <cellStyle name="Normal 130 3 2 2 2 2 4 2" xfId="42783"/>
    <cellStyle name="Normal 130 3 2 2 2 2 5" xfId="30832"/>
    <cellStyle name="Normal 130 3 2 2 2 3" xfId="8997"/>
    <cellStyle name="Normal 130 3 2 2 2 3 2" xfId="15701"/>
    <cellStyle name="Normal 130 3 2 2 2 3 2 2" xfId="39122"/>
    <cellStyle name="Normal 130 3 2 2 2 3 3" xfId="21237"/>
    <cellStyle name="Normal 130 3 2 2 2 3 3 2" xfId="43688"/>
    <cellStyle name="Normal 130 3 2 2 2 3 4" xfId="32490"/>
    <cellStyle name="Normal 130 3 2 2 2 4" xfId="12385"/>
    <cellStyle name="Normal 130 3 2 2 2 4 2" xfId="22261"/>
    <cellStyle name="Normal 130 3 2 2 2 4 2 2" xfId="44683"/>
    <cellStyle name="Normal 130 3 2 2 2 4 3" xfId="35806"/>
    <cellStyle name="Normal 130 3 2 2 2 5" xfId="19409"/>
    <cellStyle name="Normal 130 3 2 2 2 5 2" xfId="41951"/>
    <cellStyle name="Normal 130 3 2 2 2 6" xfId="29174"/>
    <cellStyle name="Normal 130 3 2 2 3" xfId="6420"/>
    <cellStyle name="Normal 130 3 2 2 3 2" xfId="9754"/>
    <cellStyle name="Normal 130 3 2 2 3 2 2" xfId="16458"/>
    <cellStyle name="Normal 130 3 2 2 3 2 2 2" xfId="39879"/>
    <cellStyle name="Normal 130 3 2 2 3 2 3" xfId="22669"/>
    <cellStyle name="Normal 130 3 2 2 3 2 3 2" xfId="45091"/>
    <cellStyle name="Normal 130 3 2 2 3 2 4" xfId="33247"/>
    <cellStyle name="Normal 130 3 2 2 3 3" xfId="13142"/>
    <cellStyle name="Normal 130 3 2 2 3 3 2" xfId="36563"/>
    <cellStyle name="Normal 130 3 2 2 3 4" xfId="19832"/>
    <cellStyle name="Normal 130 3 2 2 3 4 2" xfId="42367"/>
    <cellStyle name="Normal 130 3 2 2 3 5" xfId="29931"/>
    <cellStyle name="Normal 130 3 2 2 4" xfId="8087"/>
    <cellStyle name="Normal 130 3 2 2 4 2" xfId="14800"/>
    <cellStyle name="Normal 130 3 2 2 4 2 2" xfId="38221"/>
    <cellStyle name="Normal 130 3 2 2 4 3" xfId="20778"/>
    <cellStyle name="Normal 130 3 2 2 4 3 2" xfId="43229"/>
    <cellStyle name="Normal 130 3 2 2 4 4" xfId="31589"/>
    <cellStyle name="Normal 130 3 2 2 5" xfId="11482"/>
    <cellStyle name="Normal 130 3 2 2 5 2" xfId="21829"/>
    <cellStyle name="Normal 130 3 2 2 5 2 2" xfId="44269"/>
    <cellStyle name="Normal 130 3 2 2 5 3" xfId="34905"/>
    <cellStyle name="Normal 130 3 2 2 6" xfId="18599"/>
    <cellStyle name="Normal 130 3 2 2 6 2" xfId="41526"/>
    <cellStyle name="Normal 130 3 2 2 7" xfId="25829"/>
    <cellStyle name="Normal 130 3 2 2 7 2" xfId="48074"/>
    <cellStyle name="Normal 130 3 2 2 8" xfId="28273"/>
    <cellStyle name="Normal 130 3 2 3" xfId="2803"/>
    <cellStyle name="Normal 130 3 2 3 2" xfId="5895"/>
    <cellStyle name="Normal 130 3 2 3 2 2" xfId="7677"/>
    <cellStyle name="Normal 130 3 2 3 2 2 2" xfId="11006"/>
    <cellStyle name="Normal 130 3 2 3 2 2 2 2" xfId="17710"/>
    <cellStyle name="Normal 130 3 2 3 2 2 2 2 2" xfId="41131"/>
    <cellStyle name="Normal 130 3 2 3 2 2 2 3" xfId="34499"/>
    <cellStyle name="Normal 130 3 2 3 2 2 3" xfId="14394"/>
    <cellStyle name="Normal 130 3 2 3 2 2 3 2" xfId="37815"/>
    <cellStyle name="Normal 130 3 2 3 2 2 4" xfId="22875"/>
    <cellStyle name="Normal 130 3 2 3 2 2 4 2" xfId="45297"/>
    <cellStyle name="Normal 130 3 2 3 2 2 5" xfId="31183"/>
    <cellStyle name="Normal 130 3 2 3 2 3" xfId="9348"/>
    <cellStyle name="Normal 130 3 2 3 2 3 2" xfId="16052"/>
    <cellStyle name="Normal 130 3 2 3 2 3 2 2" xfId="39473"/>
    <cellStyle name="Normal 130 3 2 3 2 3 3" xfId="32841"/>
    <cellStyle name="Normal 130 3 2 3 2 4" xfId="12736"/>
    <cellStyle name="Normal 130 3 2 3 2 4 2" xfId="36157"/>
    <cellStyle name="Normal 130 3 2 3 2 5" xfId="20040"/>
    <cellStyle name="Normal 130 3 2 3 2 5 2" xfId="42575"/>
    <cellStyle name="Normal 130 3 2 3 2 6" xfId="29525"/>
    <cellStyle name="Normal 130 3 2 3 3" xfId="6778"/>
    <cellStyle name="Normal 130 3 2 3 3 2" xfId="10110"/>
    <cellStyle name="Normal 130 3 2 3 3 2 2" xfId="16814"/>
    <cellStyle name="Normal 130 3 2 3 3 2 2 2" xfId="40235"/>
    <cellStyle name="Normal 130 3 2 3 3 2 3" xfId="33603"/>
    <cellStyle name="Normal 130 3 2 3 3 3" xfId="13498"/>
    <cellStyle name="Normal 130 3 2 3 3 3 2" xfId="36919"/>
    <cellStyle name="Normal 130 3 2 3 3 4" xfId="21236"/>
    <cellStyle name="Normal 130 3 2 3 3 4 2" xfId="43687"/>
    <cellStyle name="Normal 130 3 2 3 3 5" xfId="30287"/>
    <cellStyle name="Normal 130 3 2 3 4" xfId="8444"/>
    <cellStyle name="Normal 130 3 2 3 4 2" xfId="15156"/>
    <cellStyle name="Normal 130 3 2 3 4 2 2" xfId="38577"/>
    <cellStyle name="Normal 130 3 2 3 4 3" xfId="22048"/>
    <cellStyle name="Normal 130 3 2 3 4 3 2" xfId="44476"/>
    <cellStyle name="Normal 130 3 2 3 4 4" xfId="31945"/>
    <cellStyle name="Normal 130 3 2 3 5" xfId="11838"/>
    <cellStyle name="Normal 130 3 2 3 5 2" xfId="35261"/>
    <cellStyle name="Normal 130 3 2 3 6" xfId="19186"/>
    <cellStyle name="Normal 130 3 2 3 6 2" xfId="41743"/>
    <cellStyle name="Normal 130 3 2 3 7" xfId="28629"/>
    <cellStyle name="Normal 130 3 2 4" xfId="3883"/>
    <cellStyle name="Normal 130 3 2 4 2" xfId="6978"/>
    <cellStyle name="Normal 130 3 2 4 2 2" xfId="10310"/>
    <cellStyle name="Normal 130 3 2 4 2 2 2" xfId="17014"/>
    <cellStyle name="Normal 130 3 2 4 2 2 2 2" xfId="40435"/>
    <cellStyle name="Normal 130 3 2 4 2 2 3" xfId="33803"/>
    <cellStyle name="Normal 130 3 2 4 2 3" xfId="13698"/>
    <cellStyle name="Normal 130 3 2 4 2 3 2" xfId="37119"/>
    <cellStyle name="Normal 130 3 2 4 2 4" xfId="22469"/>
    <cellStyle name="Normal 130 3 2 4 2 4 2" xfId="44891"/>
    <cellStyle name="Normal 130 3 2 4 2 5" xfId="30487"/>
    <cellStyle name="Normal 130 3 2 4 3" xfId="8645"/>
    <cellStyle name="Normal 130 3 2 4 3 2" xfId="15356"/>
    <cellStyle name="Normal 130 3 2 4 3 2 2" xfId="38777"/>
    <cellStyle name="Normal 130 3 2 4 3 3" xfId="32145"/>
    <cellStyle name="Normal 130 3 2 4 4" xfId="12038"/>
    <cellStyle name="Normal 130 3 2 4 4 2" xfId="35461"/>
    <cellStyle name="Normal 130 3 2 4 5" xfId="19622"/>
    <cellStyle name="Normal 130 3 2 4 5 2" xfId="42159"/>
    <cellStyle name="Normal 130 3 2 4 6" xfId="28829"/>
    <cellStyle name="Normal 130 3 2 5" xfId="6305"/>
    <cellStyle name="Normal 130 3 2 5 2" xfId="9639"/>
    <cellStyle name="Normal 130 3 2 5 2 2" xfId="16343"/>
    <cellStyle name="Normal 130 3 2 5 2 2 2" xfId="39764"/>
    <cellStyle name="Normal 130 3 2 5 2 3" xfId="33132"/>
    <cellStyle name="Normal 130 3 2 5 3" xfId="13027"/>
    <cellStyle name="Normal 130 3 2 5 3 2" xfId="36448"/>
    <cellStyle name="Normal 130 3 2 5 4" xfId="20777"/>
    <cellStyle name="Normal 130 3 2 5 4 2" xfId="43228"/>
    <cellStyle name="Normal 130 3 2 5 5" xfId="29816"/>
    <cellStyle name="Normal 130 3 2 6" xfId="7971"/>
    <cellStyle name="Normal 130 3 2 6 2" xfId="14685"/>
    <cellStyle name="Normal 130 3 2 6 2 2" xfId="38106"/>
    <cellStyle name="Normal 130 3 2 6 3" xfId="21618"/>
    <cellStyle name="Normal 130 3 2 6 3 2" xfId="44067"/>
    <cellStyle name="Normal 130 3 2 6 4" xfId="31474"/>
    <cellStyle name="Normal 130 3 2 7" xfId="11367"/>
    <cellStyle name="Normal 130 3 2 7 2" xfId="34790"/>
    <cellStyle name="Normal 130 3 2 8" xfId="17985"/>
    <cellStyle name="Normal 130 3 2 8 2" xfId="41290"/>
    <cellStyle name="Normal 130 3 2 9" xfId="23567"/>
    <cellStyle name="Normal 130 3 2 9 2" xfId="45882"/>
    <cellStyle name="Normal 130 3 3" xfId="2228"/>
    <cellStyle name="Normal 130 3 3 2" xfId="5499"/>
    <cellStyle name="Normal 130 3 3 2 2" xfId="7323"/>
    <cellStyle name="Normal 130 3 3 2 2 2" xfId="10654"/>
    <cellStyle name="Normal 130 3 3 2 2 2 2" xfId="17358"/>
    <cellStyle name="Normal 130 3 3 2 2 2 2 2" xfId="40779"/>
    <cellStyle name="Normal 130 3 3 2 2 2 3" xfId="23074"/>
    <cellStyle name="Normal 130 3 3 2 2 2 3 2" xfId="45496"/>
    <cellStyle name="Normal 130 3 3 2 2 2 4" xfId="34147"/>
    <cellStyle name="Normal 130 3 3 2 2 3" xfId="14042"/>
    <cellStyle name="Normal 130 3 3 2 2 3 2" xfId="37463"/>
    <cellStyle name="Normal 130 3 3 2 2 4" xfId="20247"/>
    <cellStyle name="Normal 130 3 3 2 2 4 2" xfId="42782"/>
    <cellStyle name="Normal 130 3 3 2 2 5" xfId="30831"/>
    <cellStyle name="Normal 130 3 3 2 3" xfId="8996"/>
    <cellStyle name="Normal 130 3 3 2 3 2" xfId="15700"/>
    <cellStyle name="Normal 130 3 3 2 3 2 2" xfId="39121"/>
    <cellStyle name="Normal 130 3 3 2 3 3" xfId="21238"/>
    <cellStyle name="Normal 130 3 3 2 3 3 2" xfId="43689"/>
    <cellStyle name="Normal 130 3 3 2 3 4" xfId="32489"/>
    <cellStyle name="Normal 130 3 3 2 4" xfId="12384"/>
    <cellStyle name="Normal 130 3 3 2 4 2" xfId="22260"/>
    <cellStyle name="Normal 130 3 3 2 4 2 2" xfId="44682"/>
    <cellStyle name="Normal 130 3 3 2 4 3" xfId="35805"/>
    <cellStyle name="Normal 130 3 3 2 5" xfId="19408"/>
    <cellStyle name="Normal 130 3 3 2 5 2" xfId="41950"/>
    <cellStyle name="Normal 130 3 3 2 6" xfId="29173"/>
    <cellStyle name="Normal 130 3 3 3" xfId="6419"/>
    <cellStyle name="Normal 130 3 3 3 2" xfId="9753"/>
    <cellStyle name="Normal 130 3 3 3 2 2" xfId="16457"/>
    <cellStyle name="Normal 130 3 3 3 2 2 2" xfId="39878"/>
    <cellStyle name="Normal 130 3 3 3 2 3" xfId="22668"/>
    <cellStyle name="Normal 130 3 3 3 2 3 2" xfId="45090"/>
    <cellStyle name="Normal 130 3 3 3 2 4" xfId="33246"/>
    <cellStyle name="Normal 130 3 3 3 3" xfId="13141"/>
    <cellStyle name="Normal 130 3 3 3 3 2" xfId="36562"/>
    <cellStyle name="Normal 130 3 3 3 4" xfId="19831"/>
    <cellStyle name="Normal 130 3 3 3 4 2" xfId="42366"/>
    <cellStyle name="Normal 130 3 3 3 5" xfId="29930"/>
    <cellStyle name="Normal 130 3 3 4" xfId="8086"/>
    <cellStyle name="Normal 130 3 3 4 2" xfId="14799"/>
    <cellStyle name="Normal 130 3 3 4 2 2" xfId="38220"/>
    <cellStyle name="Normal 130 3 3 4 3" xfId="20779"/>
    <cellStyle name="Normal 130 3 3 4 3 2" xfId="43230"/>
    <cellStyle name="Normal 130 3 3 4 4" xfId="31588"/>
    <cellStyle name="Normal 130 3 3 5" xfId="11481"/>
    <cellStyle name="Normal 130 3 3 5 2" xfId="21828"/>
    <cellStyle name="Normal 130 3 3 5 2 2" xfId="44268"/>
    <cellStyle name="Normal 130 3 3 5 3" xfId="34904"/>
    <cellStyle name="Normal 130 3 3 6" xfId="18598"/>
    <cellStyle name="Normal 130 3 3 6 2" xfId="41525"/>
    <cellStyle name="Normal 130 3 3 7" xfId="25828"/>
    <cellStyle name="Normal 130 3 3 7 2" xfId="48073"/>
    <cellStyle name="Normal 130 3 3 8" xfId="28272"/>
    <cellStyle name="Normal 130 3 4" xfId="2671"/>
    <cellStyle name="Normal 130 3 4 2" xfId="5764"/>
    <cellStyle name="Normal 130 3 4 2 2" xfId="7546"/>
    <cellStyle name="Normal 130 3 4 2 2 2" xfId="10875"/>
    <cellStyle name="Normal 130 3 4 2 2 2 2" xfId="17579"/>
    <cellStyle name="Normal 130 3 4 2 2 2 2 2" xfId="41000"/>
    <cellStyle name="Normal 130 3 4 2 2 2 3" xfId="34368"/>
    <cellStyle name="Normal 130 3 4 2 2 3" xfId="14263"/>
    <cellStyle name="Normal 130 3 4 2 2 3 2" xfId="37684"/>
    <cellStyle name="Normal 130 3 4 2 2 4" xfId="22874"/>
    <cellStyle name="Normal 130 3 4 2 2 4 2" xfId="45296"/>
    <cellStyle name="Normal 130 3 4 2 2 5" xfId="31052"/>
    <cellStyle name="Normal 130 3 4 2 3" xfId="9217"/>
    <cellStyle name="Normal 130 3 4 2 3 2" xfId="15921"/>
    <cellStyle name="Normal 130 3 4 2 3 2 2" xfId="39342"/>
    <cellStyle name="Normal 130 3 4 2 3 3" xfId="32710"/>
    <cellStyle name="Normal 130 3 4 2 4" xfId="12605"/>
    <cellStyle name="Normal 130 3 4 2 4 2" xfId="36026"/>
    <cellStyle name="Normal 130 3 4 2 5" xfId="20039"/>
    <cellStyle name="Normal 130 3 4 2 5 2" xfId="42574"/>
    <cellStyle name="Normal 130 3 4 2 6" xfId="29394"/>
    <cellStyle name="Normal 130 3 4 3" xfId="6647"/>
    <cellStyle name="Normal 130 3 4 3 2" xfId="9979"/>
    <cellStyle name="Normal 130 3 4 3 2 2" xfId="16683"/>
    <cellStyle name="Normal 130 3 4 3 2 2 2" xfId="40104"/>
    <cellStyle name="Normal 130 3 4 3 2 3" xfId="33472"/>
    <cellStyle name="Normal 130 3 4 3 3" xfId="13367"/>
    <cellStyle name="Normal 130 3 4 3 3 2" xfId="36788"/>
    <cellStyle name="Normal 130 3 4 3 4" xfId="21235"/>
    <cellStyle name="Normal 130 3 4 3 4 2" xfId="43686"/>
    <cellStyle name="Normal 130 3 4 3 5" xfId="30156"/>
    <cellStyle name="Normal 130 3 4 4" xfId="8313"/>
    <cellStyle name="Normal 130 3 4 4 2" xfId="15025"/>
    <cellStyle name="Normal 130 3 4 4 2 2" xfId="38446"/>
    <cellStyle name="Normal 130 3 4 4 3" xfId="22047"/>
    <cellStyle name="Normal 130 3 4 4 3 2" xfId="44475"/>
    <cellStyle name="Normal 130 3 4 4 4" xfId="31814"/>
    <cellStyle name="Normal 130 3 4 5" xfId="11707"/>
    <cellStyle name="Normal 130 3 4 5 2" xfId="35130"/>
    <cellStyle name="Normal 130 3 4 6" xfId="19185"/>
    <cellStyle name="Normal 130 3 4 6 2" xfId="41742"/>
    <cellStyle name="Normal 130 3 4 7" xfId="28498"/>
    <cellStyle name="Normal 130 3 5" xfId="3882"/>
    <cellStyle name="Normal 130 3 5 2" xfId="6977"/>
    <cellStyle name="Normal 130 3 5 2 2" xfId="10309"/>
    <cellStyle name="Normal 130 3 5 2 2 2" xfId="17013"/>
    <cellStyle name="Normal 130 3 5 2 2 2 2" xfId="40434"/>
    <cellStyle name="Normal 130 3 5 2 2 3" xfId="33802"/>
    <cellStyle name="Normal 130 3 5 2 3" xfId="13697"/>
    <cellStyle name="Normal 130 3 5 2 3 2" xfId="37118"/>
    <cellStyle name="Normal 130 3 5 2 4" xfId="22468"/>
    <cellStyle name="Normal 130 3 5 2 4 2" xfId="44890"/>
    <cellStyle name="Normal 130 3 5 2 5" xfId="30486"/>
    <cellStyle name="Normal 130 3 5 3" xfId="8644"/>
    <cellStyle name="Normal 130 3 5 3 2" xfId="15355"/>
    <cellStyle name="Normal 130 3 5 3 2 2" xfId="38776"/>
    <cellStyle name="Normal 130 3 5 3 3" xfId="32144"/>
    <cellStyle name="Normal 130 3 5 4" xfId="12037"/>
    <cellStyle name="Normal 130 3 5 4 2" xfId="35460"/>
    <cellStyle name="Normal 130 3 5 5" xfId="19621"/>
    <cellStyle name="Normal 130 3 5 5 2" xfId="42158"/>
    <cellStyle name="Normal 130 3 5 6" xfId="28828"/>
    <cellStyle name="Normal 130 3 6" xfId="6174"/>
    <cellStyle name="Normal 130 3 6 2" xfId="9508"/>
    <cellStyle name="Normal 130 3 6 2 2" xfId="16212"/>
    <cellStyle name="Normal 130 3 6 2 2 2" xfId="39633"/>
    <cellStyle name="Normal 130 3 6 2 3" xfId="33001"/>
    <cellStyle name="Normal 130 3 6 3" xfId="12896"/>
    <cellStyle name="Normal 130 3 6 3 2" xfId="36317"/>
    <cellStyle name="Normal 130 3 6 4" xfId="20776"/>
    <cellStyle name="Normal 130 3 6 4 2" xfId="43227"/>
    <cellStyle name="Normal 130 3 6 5" xfId="29685"/>
    <cellStyle name="Normal 130 3 7" xfId="7840"/>
    <cellStyle name="Normal 130 3 7 2" xfId="14554"/>
    <cellStyle name="Normal 130 3 7 2 2" xfId="37975"/>
    <cellStyle name="Normal 130 3 7 3" xfId="21617"/>
    <cellStyle name="Normal 130 3 7 3 2" xfId="44066"/>
    <cellStyle name="Normal 130 3 7 4" xfId="31343"/>
    <cellStyle name="Normal 130 3 8" xfId="11236"/>
    <cellStyle name="Normal 130 3 8 2" xfId="34659"/>
    <cellStyle name="Normal 130 3 9" xfId="17984"/>
    <cellStyle name="Normal 130 3 9 2" xfId="41289"/>
    <cellStyle name="Normal 130 4" xfId="1726"/>
    <cellStyle name="Normal 130 4 10" xfId="28079"/>
    <cellStyle name="Normal 130 4 2" xfId="2230"/>
    <cellStyle name="Normal 130 4 2 2" xfId="5501"/>
    <cellStyle name="Normal 130 4 2 2 2" xfId="7325"/>
    <cellStyle name="Normal 130 4 2 2 2 2" xfId="10656"/>
    <cellStyle name="Normal 130 4 2 2 2 2 2" xfId="17360"/>
    <cellStyle name="Normal 130 4 2 2 2 2 2 2" xfId="40781"/>
    <cellStyle name="Normal 130 4 2 2 2 2 3" xfId="23076"/>
    <cellStyle name="Normal 130 4 2 2 2 2 3 2" xfId="45498"/>
    <cellStyle name="Normal 130 4 2 2 2 2 4" xfId="34149"/>
    <cellStyle name="Normal 130 4 2 2 2 3" xfId="14044"/>
    <cellStyle name="Normal 130 4 2 2 2 3 2" xfId="37465"/>
    <cellStyle name="Normal 130 4 2 2 2 4" xfId="20249"/>
    <cellStyle name="Normal 130 4 2 2 2 4 2" xfId="42784"/>
    <cellStyle name="Normal 130 4 2 2 2 5" xfId="30833"/>
    <cellStyle name="Normal 130 4 2 2 3" xfId="8998"/>
    <cellStyle name="Normal 130 4 2 2 3 2" xfId="15702"/>
    <cellStyle name="Normal 130 4 2 2 3 2 2" xfId="39123"/>
    <cellStyle name="Normal 130 4 2 2 3 3" xfId="21240"/>
    <cellStyle name="Normal 130 4 2 2 3 3 2" xfId="43691"/>
    <cellStyle name="Normal 130 4 2 2 3 4" xfId="32491"/>
    <cellStyle name="Normal 130 4 2 2 4" xfId="12386"/>
    <cellStyle name="Normal 130 4 2 2 4 2" xfId="22262"/>
    <cellStyle name="Normal 130 4 2 2 4 2 2" xfId="44684"/>
    <cellStyle name="Normal 130 4 2 2 4 3" xfId="35807"/>
    <cellStyle name="Normal 130 4 2 2 5" xfId="19410"/>
    <cellStyle name="Normal 130 4 2 2 5 2" xfId="41952"/>
    <cellStyle name="Normal 130 4 2 2 6" xfId="29175"/>
    <cellStyle name="Normal 130 4 2 3" xfId="6421"/>
    <cellStyle name="Normal 130 4 2 3 2" xfId="9755"/>
    <cellStyle name="Normal 130 4 2 3 2 2" xfId="16459"/>
    <cellStyle name="Normal 130 4 2 3 2 2 2" xfId="39880"/>
    <cellStyle name="Normal 130 4 2 3 2 3" xfId="22670"/>
    <cellStyle name="Normal 130 4 2 3 2 3 2" xfId="45092"/>
    <cellStyle name="Normal 130 4 2 3 2 4" xfId="33248"/>
    <cellStyle name="Normal 130 4 2 3 3" xfId="13143"/>
    <cellStyle name="Normal 130 4 2 3 3 2" xfId="36564"/>
    <cellStyle name="Normal 130 4 2 3 4" xfId="19833"/>
    <cellStyle name="Normal 130 4 2 3 4 2" xfId="42368"/>
    <cellStyle name="Normal 130 4 2 3 5" xfId="29932"/>
    <cellStyle name="Normal 130 4 2 4" xfId="8088"/>
    <cellStyle name="Normal 130 4 2 4 2" xfId="14801"/>
    <cellStyle name="Normal 130 4 2 4 2 2" xfId="38222"/>
    <cellStyle name="Normal 130 4 2 4 3" xfId="20781"/>
    <cellStyle name="Normal 130 4 2 4 3 2" xfId="43232"/>
    <cellStyle name="Normal 130 4 2 4 4" xfId="31590"/>
    <cellStyle name="Normal 130 4 2 5" xfId="11483"/>
    <cellStyle name="Normal 130 4 2 5 2" xfId="21830"/>
    <cellStyle name="Normal 130 4 2 5 2 2" xfId="44270"/>
    <cellStyle name="Normal 130 4 2 5 3" xfId="34906"/>
    <cellStyle name="Normal 130 4 2 6" xfId="18600"/>
    <cellStyle name="Normal 130 4 2 6 2" xfId="41527"/>
    <cellStyle name="Normal 130 4 2 7" xfId="25830"/>
    <cellStyle name="Normal 130 4 2 7 2" xfId="48075"/>
    <cellStyle name="Normal 130 4 2 8" xfId="28274"/>
    <cellStyle name="Normal 130 4 3" xfId="2724"/>
    <cellStyle name="Normal 130 4 3 2" xfId="5816"/>
    <cellStyle name="Normal 130 4 3 2 2" xfId="7598"/>
    <cellStyle name="Normal 130 4 3 2 2 2" xfId="10927"/>
    <cellStyle name="Normal 130 4 3 2 2 2 2" xfId="17631"/>
    <cellStyle name="Normal 130 4 3 2 2 2 2 2" xfId="41052"/>
    <cellStyle name="Normal 130 4 3 2 2 2 3" xfId="34420"/>
    <cellStyle name="Normal 130 4 3 2 2 3" xfId="14315"/>
    <cellStyle name="Normal 130 4 3 2 2 3 2" xfId="37736"/>
    <cellStyle name="Normal 130 4 3 2 2 4" xfId="22876"/>
    <cellStyle name="Normal 130 4 3 2 2 4 2" xfId="45298"/>
    <cellStyle name="Normal 130 4 3 2 2 5" xfId="31104"/>
    <cellStyle name="Normal 130 4 3 2 3" xfId="9269"/>
    <cellStyle name="Normal 130 4 3 2 3 2" xfId="15973"/>
    <cellStyle name="Normal 130 4 3 2 3 2 2" xfId="39394"/>
    <cellStyle name="Normal 130 4 3 2 3 3" xfId="32762"/>
    <cellStyle name="Normal 130 4 3 2 4" xfId="12657"/>
    <cellStyle name="Normal 130 4 3 2 4 2" xfId="36078"/>
    <cellStyle name="Normal 130 4 3 2 5" xfId="20041"/>
    <cellStyle name="Normal 130 4 3 2 5 2" xfId="42576"/>
    <cellStyle name="Normal 130 4 3 2 6" xfId="29446"/>
    <cellStyle name="Normal 130 4 3 3" xfId="6699"/>
    <cellStyle name="Normal 130 4 3 3 2" xfId="10031"/>
    <cellStyle name="Normal 130 4 3 3 2 2" xfId="16735"/>
    <cellStyle name="Normal 130 4 3 3 2 2 2" xfId="40156"/>
    <cellStyle name="Normal 130 4 3 3 2 3" xfId="33524"/>
    <cellStyle name="Normal 130 4 3 3 3" xfId="13419"/>
    <cellStyle name="Normal 130 4 3 3 3 2" xfId="36840"/>
    <cellStyle name="Normal 130 4 3 3 4" xfId="21239"/>
    <cellStyle name="Normal 130 4 3 3 4 2" xfId="43690"/>
    <cellStyle name="Normal 130 4 3 3 5" xfId="30208"/>
    <cellStyle name="Normal 130 4 3 4" xfId="8365"/>
    <cellStyle name="Normal 130 4 3 4 2" xfId="15077"/>
    <cellStyle name="Normal 130 4 3 4 2 2" xfId="38498"/>
    <cellStyle name="Normal 130 4 3 4 3" xfId="22049"/>
    <cellStyle name="Normal 130 4 3 4 3 2" xfId="44477"/>
    <cellStyle name="Normal 130 4 3 4 4" xfId="31866"/>
    <cellStyle name="Normal 130 4 3 5" xfId="11759"/>
    <cellStyle name="Normal 130 4 3 5 2" xfId="35182"/>
    <cellStyle name="Normal 130 4 3 6" xfId="19187"/>
    <cellStyle name="Normal 130 4 3 6 2" xfId="41744"/>
    <cellStyle name="Normal 130 4 3 7" xfId="28550"/>
    <cellStyle name="Normal 130 4 4" xfId="3884"/>
    <cellStyle name="Normal 130 4 4 2" xfId="6979"/>
    <cellStyle name="Normal 130 4 4 2 2" xfId="10311"/>
    <cellStyle name="Normal 130 4 4 2 2 2" xfId="17015"/>
    <cellStyle name="Normal 130 4 4 2 2 2 2" xfId="40436"/>
    <cellStyle name="Normal 130 4 4 2 2 3" xfId="33804"/>
    <cellStyle name="Normal 130 4 4 2 3" xfId="13699"/>
    <cellStyle name="Normal 130 4 4 2 3 2" xfId="37120"/>
    <cellStyle name="Normal 130 4 4 2 4" xfId="22470"/>
    <cellStyle name="Normal 130 4 4 2 4 2" xfId="44892"/>
    <cellStyle name="Normal 130 4 4 2 5" xfId="30488"/>
    <cellStyle name="Normal 130 4 4 3" xfId="8646"/>
    <cellStyle name="Normal 130 4 4 3 2" xfId="15357"/>
    <cellStyle name="Normal 130 4 4 3 2 2" xfId="38778"/>
    <cellStyle name="Normal 130 4 4 3 3" xfId="32146"/>
    <cellStyle name="Normal 130 4 4 4" xfId="12039"/>
    <cellStyle name="Normal 130 4 4 4 2" xfId="35462"/>
    <cellStyle name="Normal 130 4 4 5" xfId="19623"/>
    <cellStyle name="Normal 130 4 4 5 2" xfId="42160"/>
    <cellStyle name="Normal 130 4 4 6" xfId="28830"/>
    <cellStyle name="Normal 130 4 5" xfId="6226"/>
    <cellStyle name="Normal 130 4 5 2" xfId="9560"/>
    <cellStyle name="Normal 130 4 5 2 2" xfId="16264"/>
    <cellStyle name="Normal 130 4 5 2 2 2" xfId="39685"/>
    <cellStyle name="Normal 130 4 5 2 3" xfId="33053"/>
    <cellStyle name="Normal 130 4 5 3" xfId="12948"/>
    <cellStyle name="Normal 130 4 5 3 2" xfId="36369"/>
    <cellStyle name="Normal 130 4 5 4" xfId="20780"/>
    <cellStyle name="Normal 130 4 5 4 2" xfId="43231"/>
    <cellStyle name="Normal 130 4 5 5" xfId="29737"/>
    <cellStyle name="Normal 130 4 6" xfId="7892"/>
    <cellStyle name="Normal 130 4 6 2" xfId="14606"/>
    <cellStyle name="Normal 130 4 6 2 2" xfId="38027"/>
    <cellStyle name="Normal 130 4 6 3" xfId="21619"/>
    <cellStyle name="Normal 130 4 6 3 2" xfId="44068"/>
    <cellStyle name="Normal 130 4 6 4" xfId="31395"/>
    <cellStyle name="Normal 130 4 7" xfId="11288"/>
    <cellStyle name="Normal 130 4 7 2" xfId="34711"/>
    <cellStyle name="Normal 130 4 8" xfId="17986"/>
    <cellStyle name="Normal 130 4 8 2" xfId="41291"/>
    <cellStyle name="Normal 130 4 9" xfId="23568"/>
    <cellStyle name="Normal 130 4 9 2" xfId="45883"/>
    <cellStyle name="Normal 130 5" xfId="2223"/>
    <cellStyle name="Normal 130 5 2" xfId="5494"/>
    <cellStyle name="Normal 130 5 2 2" xfId="7318"/>
    <cellStyle name="Normal 130 5 2 2 2" xfId="10649"/>
    <cellStyle name="Normal 130 5 2 2 2 2" xfId="17353"/>
    <cellStyle name="Normal 130 5 2 2 2 2 2" xfId="40774"/>
    <cellStyle name="Normal 130 5 2 2 2 3" xfId="23069"/>
    <cellStyle name="Normal 130 5 2 2 2 3 2" xfId="45491"/>
    <cellStyle name="Normal 130 5 2 2 2 4" xfId="34142"/>
    <cellStyle name="Normal 130 5 2 2 3" xfId="14037"/>
    <cellStyle name="Normal 130 5 2 2 3 2" xfId="37458"/>
    <cellStyle name="Normal 130 5 2 2 4" xfId="20242"/>
    <cellStyle name="Normal 130 5 2 2 4 2" xfId="42777"/>
    <cellStyle name="Normal 130 5 2 2 5" xfId="30826"/>
    <cellStyle name="Normal 130 5 2 3" xfId="8991"/>
    <cellStyle name="Normal 130 5 2 3 2" xfId="15695"/>
    <cellStyle name="Normal 130 5 2 3 2 2" xfId="39116"/>
    <cellStyle name="Normal 130 5 2 3 3" xfId="21241"/>
    <cellStyle name="Normal 130 5 2 3 3 2" xfId="43692"/>
    <cellStyle name="Normal 130 5 2 3 4" xfId="32484"/>
    <cellStyle name="Normal 130 5 2 4" xfId="12379"/>
    <cellStyle name="Normal 130 5 2 4 2" xfId="22255"/>
    <cellStyle name="Normal 130 5 2 4 2 2" xfId="44677"/>
    <cellStyle name="Normal 130 5 2 4 3" xfId="35800"/>
    <cellStyle name="Normal 130 5 2 5" xfId="19403"/>
    <cellStyle name="Normal 130 5 2 5 2" xfId="41945"/>
    <cellStyle name="Normal 130 5 2 6" xfId="25823"/>
    <cellStyle name="Normal 130 5 2 6 2" xfId="48068"/>
    <cellStyle name="Normal 130 5 2 7" xfId="29168"/>
    <cellStyle name="Normal 130 5 3" xfId="6414"/>
    <cellStyle name="Normal 130 5 3 2" xfId="9748"/>
    <cellStyle name="Normal 130 5 3 2 2" xfId="16452"/>
    <cellStyle name="Normal 130 5 3 2 2 2" xfId="39873"/>
    <cellStyle name="Normal 130 5 3 2 3" xfId="22663"/>
    <cellStyle name="Normal 130 5 3 2 3 2" xfId="45085"/>
    <cellStyle name="Normal 130 5 3 2 4" xfId="33241"/>
    <cellStyle name="Normal 130 5 3 3" xfId="13136"/>
    <cellStyle name="Normal 130 5 3 3 2" xfId="36557"/>
    <cellStyle name="Normal 130 5 3 4" xfId="19826"/>
    <cellStyle name="Normal 130 5 3 4 2" xfId="42361"/>
    <cellStyle name="Normal 130 5 3 5" xfId="29925"/>
    <cellStyle name="Normal 130 5 4" xfId="8081"/>
    <cellStyle name="Normal 130 5 4 2" xfId="14794"/>
    <cellStyle name="Normal 130 5 4 2 2" xfId="38215"/>
    <cellStyle name="Normal 130 5 4 3" xfId="20782"/>
    <cellStyle name="Normal 130 5 4 3 2" xfId="43233"/>
    <cellStyle name="Normal 130 5 4 4" xfId="31583"/>
    <cellStyle name="Normal 130 5 5" xfId="11476"/>
    <cellStyle name="Normal 130 5 5 2" xfId="21823"/>
    <cellStyle name="Normal 130 5 5 2 2" xfId="44263"/>
    <cellStyle name="Normal 130 5 5 3" xfId="34899"/>
    <cellStyle name="Normal 130 5 6" xfId="18593"/>
    <cellStyle name="Normal 130 5 6 2" xfId="41520"/>
    <cellStyle name="Normal 130 5 7" xfId="23444"/>
    <cellStyle name="Normal 130 5 7 2" xfId="45783"/>
    <cellStyle name="Normal 130 5 8" xfId="28267"/>
    <cellStyle name="Normal 130 6" xfId="2591"/>
    <cellStyle name="Normal 130 6 2" xfId="5685"/>
    <cellStyle name="Normal 130 6 2 2" xfId="7468"/>
    <cellStyle name="Normal 130 6 2 2 2" xfId="10797"/>
    <cellStyle name="Normal 130 6 2 2 2 2" xfId="17501"/>
    <cellStyle name="Normal 130 6 2 2 2 2 2" xfId="40922"/>
    <cellStyle name="Normal 130 6 2 2 2 3" xfId="34290"/>
    <cellStyle name="Normal 130 6 2 2 3" xfId="14185"/>
    <cellStyle name="Normal 130 6 2 2 3 2" xfId="37606"/>
    <cellStyle name="Normal 130 6 2 2 4" xfId="20585"/>
    <cellStyle name="Normal 130 6 2 2 4 2" xfId="43036"/>
    <cellStyle name="Normal 130 6 2 2 5" xfId="30974"/>
    <cellStyle name="Normal 130 6 2 3" xfId="9139"/>
    <cellStyle name="Normal 130 6 2 3 2" xfId="15843"/>
    <cellStyle name="Normal 130 6 2 3 2 2" xfId="39264"/>
    <cellStyle name="Normal 130 6 2 3 3" xfId="21503"/>
    <cellStyle name="Normal 130 6 2 3 3 2" xfId="43954"/>
    <cellStyle name="Normal 130 6 2 3 4" xfId="32632"/>
    <cellStyle name="Normal 130 6 2 4" xfId="12527"/>
    <cellStyle name="Normal 130 6 2 4 2" xfId="22869"/>
    <cellStyle name="Normal 130 6 2 4 2 2" xfId="45291"/>
    <cellStyle name="Normal 130 6 2 4 3" xfId="35948"/>
    <cellStyle name="Normal 130 6 2 5" xfId="20034"/>
    <cellStyle name="Normal 130 6 2 5 2" xfId="42569"/>
    <cellStyle name="Normal 130 6 2 6" xfId="29316"/>
    <cellStyle name="Normal 130 6 3" xfId="6568"/>
    <cellStyle name="Normal 130 6 3 2" xfId="9900"/>
    <cellStyle name="Normal 130 6 3 2 2" xfId="16604"/>
    <cellStyle name="Normal 130 6 3 2 2 2" xfId="40025"/>
    <cellStyle name="Normal 130 6 3 2 3" xfId="33393"/>
    <cellStyle name="Normal 130 6 3 3" xfId="13288"/>
    <cellStyle name="Normal 130 6 3 3 2" xfId="36709"/>
    <cellStyle name="Normal 130 6 3 4" xfId="20487"/>
    <cellStyle name="Normal 130 6 3 4 2" xfId="42940"/>
    <cellStyle name="Normal 130 6 3 5" xfId="30077"/>
    <cellStyle name="Normal 130 6 4" xfId="8234"/>
    <cellStyle name="Normal 130 6 4 2" xfId="14946"/>
    <cellStyle name="Normal 130 6 4 2 2" xfId="38367"/>
    <cellStyle name="Normal 130 6 4 3" xfId="21044"/>
    <cellStyle name="Normal 130 6 4 3 2" xfId="43495"/>
    <cellStyle name="Normal 130 6 4 4" xfId="31735"/>
    <cellStyle name="Normal 130 6 5" xfId="11628"/>
    <cellStyle name="Normal 130 6 5 2" xfId="22042"/>
    <cellStyle name="Normal 130 6 5 2 2" xfId="44470"/>
    <cellStyle name="Normal 130 6 5 3" xfId="35051"/>
    <cellStyle name="Normal 130 6 6" xfId="19180"/>
    <cellStyle name="Normal 130 6 6 2" xfId="41737"/>
    <cellStyle name="Normal 130 6 7" xfId="28419"/>
    <cellStyle name="Normal 130 7" xfId="3877"/>
    <cellStyle name="Normal 130 7 2" xfId="6972"/>
    <cellStyle name="Normal 130 7 2 2" xfId="10304"/>
    <cellStyle name="Normal 130 7 2 2 2" xfId="17008"/>
    <cellStyle name="Normal 130 7 2 2 2 2" xfId="40429"/>
    <cellStyle name="Normal 130 7 2 2 3" xfId="33797"/>
    <cellStyle name="Normal 130 7 2 3" xfId="13692"/>
    <cellStyle name="Normal 130 7 2 3 2" xfId="37113"/>
    <cellStyle name="Normal 130 7 2 4" xfId="20533"/>
    <cellStyle name="Normal 130 7 2 4 2" xfId="42986"/>
    <cellStyle name="Normal 130 7 2 5" xfId="30481"/>
    <cellStyle name="Normal 130 7 3" xfId="8639"/>
    <cellStyle name="Normal 130 7 3 2" xfId="15350"/>
    <cellStyle name="Normal 130 7 3 2 2" xfId="38771"/>
    <cellStyle name="Normal 130 7 3 3" xfId="21226"/>
    <cellStyle name="Normal 130 7 3 3 2" xfId="43677"/>
    <cellStyle name="Normal 130 7 3 4" xfId="32139"/>
    <cellStyle name="Normal 130 7 4" xfId="12032"/>
    <cellStyle name="Normal 130 7 4 2" xfId="22463"/>
    <cellStyle name="Normal 130 7 4 2 2" xfId="44885"/>
    <cellStyle name="Normal 130 7 4 3" xfId="35455"/>
    <cellStyle name="Normal 130 7 5" xfId="19616"/>
    <cellStyle name="Normal 130 7 5 2" xfId="42153"/>
    <cellStyle name="Normal 130 7 6" xfId="28823"/>
    <cellStyle name="Normal 130 8" xfId="6095"/>
    <cellStyle name="Normal 130 8 2" xfId="9429"/>
    <cellStyle name="Normal 130 8 2 2" xfId="16133"/>
    <cellStyle name="Normal 130 8 2 2 2" xfId="39554"/>
    <cellStyle name="Normal 130 8 2 3" xfId="32922"/>
    <cellStyle name="Normal 130 8 3" xfId="12817"/>
    <cellStyle name="Normal 130 8 3 2" xfId="36238"/>
    <cellStyle name="Normal 130 8 4" xfId="17853"/>
    <cellStyle name="Normal 130 8 4 2" xfId="41203"/>
    <cellStyle name="Normal 130 8 5" xfId="29606"/>
    <cellStyle name="Normal 130 9" xfId="7760"/>
    <cellStyle name="Normal 130 9 2" xfId="14475"/>
    <cellStyle name="Normal 130 9 2 2" xfId="37896"/>
    <cellStyle name="Normal 130 9 3" xfId="20767"/>
    <cellStyle name="Normal 130 9 3 2" xfId="43218"/>
    <cellStyle name="Normal 130 9 4" xfId="31264"/>
    <cellStyle name="Normal 131" xfId="1265"/>
    <cellStyle name="Normal 131 2" xfId="18601"/>
    <cellStyle name="Normal 132" xfId="1403"/>
    <cellStyle name="Normal 132 2" xfId="18602"/>
    <cellStyle name="Normal 132 3" xfId="23351"/>
    <cellStyle name="Normal 133" xfId="1391"/>
    <cellStyle name="Normal 133 10" xfId="11160"/>
    <cellStyle name="Normal 133 10 2" xfId="21620"/>
    <cellStyle name="Normal 133 10 2 2" xfId="44069"/>
    <cellStyle name="Normal 133 10 3" xfId="34583"/>
    <cellStyle name="Normal 133 11" xfId="17987"/>
    <cellStyle name="Normal 133 11 2" xfId="41292"/>
    <cellStyle name="Normal 133 12" xfId="23569"/>
    <cellStyle name="Normal 133 12 2" xfId="45884"/>
    <cellStyle name="Normal 133 13" xfId="23343"/>
    <cellStyle name="Normal 133 14" xfId="27951"/>
    <cellStyle name="Normal 133 2" xfId="1451"/>
    <cellStyle name="Normal 133 2 10" xfId="17988"/>
    <cellStyle name="Normal 133 2 10 2" xfId="41293"/>
    <cellStyle name="Normal 133 2 11" xfId="23570"/>
    <cellStyle name="Normal 133 2 11 2" xfId="45885"/>
    <cellStyle name="Normal 133 2 12" xfId="27987"/>
    <cellStyle name="Normal 133 2 2" xfId="1591"/>
    <cellStyle name="Normal 133 2 2 10" xfId="23571"/>
    <cellStyle name="Normal 133 2 2 10 2" xfId="45886"/>
    <cellStyle name="Normal 133 2 2 11" xfId="28030"/>
    <cellStyle name="Normal 133 2 2 2" xfId="1809"/>
    <cellStyle name="Normal 133 2 2 2 10" xfId="28161"/>
    <cellStyle name="Normal 133 2 2 2 2" xfId="2234"/>
    <cellStyle name="Normal 133 2 2 2 2 2" xfId="5505"/>
    <cellStyle name="Normal 133 2 2 2 2 2 2" xfId="7329"/>
    <cellStyle name="Normal 133 2 2 2 2 2 2 2" xfId="10660"/>
    <cellStyle name="Normal 133 2 2 2 2 2 2 2 2" xfId="17364"/>
    <cellStyle name="Normal 133 2 2 2 2 2 2 2 2 2" xfId="40785"/>
    <cellStyle name="Normal 133 2 2 2 2 2 2 2 3" xfId="23080"/>
    <cellStyle name="Normal 133 2 2 2 2 2 2 2 3 2" xfId="45502"/>
    <cellStyle name="Normal 133 2 2 2 2 2 2 2 4" xfId="34153"/>
    <cellStyle name="Normal 133 2 2 2 2 2 2 3" xfId="14048"/>
    <cellStyle name="Normal 133 2 2 2 2 2 2 3 2" xfId="37469"/>
    <cellStyle name="Normal 133 2 2 2 2 2 2 4" xfId="20253"/>
    <cellStyle name="Normal 133 2 2 2 2 2 2 4 2" xfId="42788"/>
    <cellStyle name="Normal 133 2 2 2 2 2 2 5" xfId="30837"/>
    <cellStyle name="Normal 133 2 2 2 2 2 3" xfId="9002"/>
    <cellStyle name="Normal 133 2 2 2 2 2 3 2" xfId="15706"/>
    <cellStyle name="Normal 133 2 2 2 2 2 3 2 2" xfId="39127"/>
    <cellStyle name="Normal 133 2 2 2 2 2 3 3" xfId="21246"/>
    <cellStyle name="Normal 133 2 2 2 2 2 3 3 2" xfId="43697"/>
    <cellStyle name="Normal 133 2 2 2 2 2 3 4" xfId="32495"/>
    <cellStyle name="Normal 133 2 2 2 2 2 4" xfId="12390"/>
    <cellStyle name="Normal 133 2 2 2 2 2 4 2" xfId="22266"/>
    <cellStyle name="Normal 133 2 2 2 2 2 4 2 2" xfId="44688"/>
    <cellStyle name="Normal 133 2 2 2 2 2 4 3" xfId="35811"/>
    <cellStyle name="Normal 133 2 2 2 2 2 5" xfId="19414"/>
    <cellStyle name="Normal 133 2 2 2 2 2 5 2" xfId="41956"/>
    <cellStyle name="Normal 133 2 2 2 2 2 6" xfId="29179"/>
    <cellStyle name="Normal 133 2 2 2 2 3" xfId="6425"/>
    <cellStyle name="Normal 133 2 2 2 2 3 2" xfId="9759"/>
    <cellStyle name="Normal 133 2 2 2 2 3 2 2" xfId="16463"/>
    <cellStyle name="Normal 133 2 2 2 2 3 2 2 2" xfId="39884"/>
    <cellStyle name="Normal 133 2 2 2 2 3 2 3" xfId="22674"/>
    <cellStyle name="Normal 133 2 2 2 2 3 2 3 2" xfId="45096"/>
    <cellStyle name="Normal 133 2 2 2 2 3 2 4" xfId="33252"/>
    <cellStyle name="Normal 133 2 2 2 2 3 3" xfId="13147"/>
    <cellStyle name="Normal 133 2 2 2 2 3 3 2" xfId="36568"/>
    <cellStyle name="Normal 133 2 2 2 2 3 4" xfId="19837"/>
    <cellStyle name="Normal 133 2 2 2 2 3 4 2" xfId="42372"/>
    <cellStyle name="Normal 133 2 2 2 2 3 5" xfId="29936"/>
    <cellStyle name="Normal 133 2 2 2 2 4" xfId="8092"/>
    <cellStyle name="Normal 133 2 2 2 2 4 2" xfId="14805"/>
    <cellStyle name="Normal 133 2 2 2 2 4 2 2" xfId="38226"/>
    <cellStyle name="Normal 133 2 2 2 2 4 3" xfId="20787"/>
    <cellStyle name="Normal 133 2 2 2 2 4 3 2" xfId="43238"/>
    <cellStyle name="Normal 133 2 2 2 2 4 4" xfId="31594"/>
    <cellStyle name="Normal 133 2 2 2 2 5" xfId="11487"/>
    <cellStyle name="Normal 133 2 2 2 2 5 2" xfId="21834"/>
    <cellStyle name="Normal 133 2 2 2 2 5 2 2" xfId="44274"/>
    <cellStyle name="Normal 133 2 2 2 2 5 3" xfId="34910"/>
    <cellStyle name="Normal 133 2 2 2 2 6" xfId="18606"/>
    <cellStyle name="Normal 133 2 2 2 2 6 2" xfId="41531"/>
    <cellStyle name="Normal 133 2 2 2 2 7" xfId="25834"/>
    <cellStyle name="Normal 133 2 2 2 2 7 2" xfId="48079"/>
    <cellStyle name="Normal 133 2 2 2 2 8" xfId="28278"/>
    <cellStyle name="Normal 133 2 2 2 3" xfId="2806"/>
    <cellStyle name="Normal 133 2 2 2 3 2" xfId="5898"/>
    <cellStyle name="Normal 133 2 2 2 3 2 2" xfId="7680"/>
    <cellStyle name="Normal 133 2 2 2 3 2 2 2" xfId="11009"/>
    <cellStyle name="Normal 133 2 2 2 3 2 2 2 2" xfId="17713"/>
    <cellStyle name="Normal 133 2 2 2 3 2 2 2 2 2" xfId="41134"/>
    <cellStyle name="Normal 133 2 2 2 3 2 2 2 3" xfId="34502"/>
    <cellStyle name="Normal 133 2 2 2 3 2 2 3" xfId="14397"/>
    <cellStyle name="Normal 133 2 2 2 3 2 2 3 2" xfId="37818"/>
    <cellStyle name="Normal 133 2 2 2 3 2 2 4" xfId="22880"/>
    <cellStyle name="Normal 133 2 2 2 3 2 2 4 2" xfId="45302"/>
    <cellStyle name="Normal 133 2 2 2 3 2 2 5" xfId="31186"/>
    <cellStyle name="Normal 133 2 2 2 3 2 3" xfId="9351"/>
    <cellStyle name="Normal 133 2 2 2 3 2 3 2" xfId="16055"/>
    <cellStyle name="Normal 133 2 2 2 3 2 3 2 2" xfId="39476"/>
    <cellStyle name="Normal 133 2 2 2 3 2 3 3" xfId="32844"/>
    <cellStyle name="Normal 133 2 2 2 3 2 4" xfId="12739"/>
    <cellStyle name="Normal 133 2 2 2 3 2 4 2" xfId="36160"/>
    <cellStyle name="Normal 133 2 2 2 3 2 5" xfId="20045"/>
    <cellStyle name="Normal 133 2 2 2 3 2 5 2" xfId="42580"/>
    <cellStyle name="Normal 133 2 2 2 3 2 6" xfId="29528"/>
    <cellStyle name="Normal 133 2 2 2 3 3" xfId="6781"/>
    <cellStyle name="Normal 133 2 2 2 3 3 2" xfId="10113"/>
    <cellStyle name="Normal 133 2 2 2 3 3 2 2" xfId="16817"/>
    <cellStyle name="Normal 133 2 2 2 3 3 2 2 2" xfId="40238"/>
    <cellStyle name="Normal 133 2 2 2 3 3 2 3" xfId="33606"/>
    <cellStyle name="Normal 133 2 2 2 3 3 3" xfId="13501"/>
    <cellStyle name="Normal 133 2 2 2 3 3 3 2" xfId="36922"/>
    <cellStyle name="Normal 133 2 2 2 3 3 4" xfId="21245"/>
    <cellStyle name="Normal 133 2 2 2 3 3 4 2" xfId="43696"/>
    <cellStyle name="Normal 133 2 2 2 3 3 5" xfId="30290"/>
    <cellStyle name="Normal 133 2 2 2 3 4" xfId="8447"/>
    <cellStyle name="Normal 133 2 2 2 3 4 2" xfId="15159"/>
    <cellStyle name="Normal 133 2 2 2 3 4 2 2" xfId="38580"/>
    <cellStyle name="Normal 133 2 2 2 3 4 3" xfId="22053"/>
    <cellStyle name="Normal 133 2 2 2 3 4 3 2" xfId="44481"/>
    <cellStyle name="Normal 133 2 2 2 3 4 4" xfId="31948"/>
    <cellStyle name="Normal 133 2 2 2 3 5" xfId="11841"/>
    <cellStyle name="Normal 133 2 2 2 3 5 2" xfId="35264"/>
    <cellStyle name="Normal 133 2 2 2 3 6" xfId="19191"/>
    <cellStyle name="Normal 133 2 2 2 3 6 2" xfId="41748"/>
    <cellStyle name="Normal 133 2 2 2 3 7" xfId="28632"/>
    <cellStyle name="Normal 133 2 2 2 4" xfId="3888"/>
    <cellStyle name="Normal 133 2 2 2 4 2" xfId="6983"/>
    <cellStyle name="Normal 133 2 2 2 4 2 2" xfId="10315"/>
    <cellStyle name="Normal 133 2 2 2 4 2 2 2" xfId="17019"/>
    <cellStyle name="Normal 133 2 2 2 4 2 2 2 2" xfId="40440"/>
    <cellStyle name="Normal 133 2 2 2 4 2 2 3" xfId="33808"/>
    <cellStyle name="Normal 133 2 2 2 4 2 3" xfId="13703"/>
    <cellStyle name="Normal 133 2 2 2 4 2 3 2" xfId="37124"/>
    <cellStyle name="Normal 133 2 2 2 4 2 4" xfId="22474"/>
    <cellStyle name="Normal 133 2 2 2 4 2 4 2" xfId="44896"/>
    <cellStyle name="Normal 133 2 2 2 4 2 5" xfId="30492"/>
    <cellStyle name="Normal 133 2 2 2 4 3" xfId="8650"/>
    <cellStyle name="Normal 133 2 2 2 4 3 2" xfId="15361"/>
    <cellStyle name="Normal 133 2 2 2 4 3 2 2" xfId="38782"/>
    <cellStyle name="Normal 133 2 2 2 4 3 3" xfId="32150"/>
    <cellStyle name="Normal 133 2 2 2 4 4" xfId="12043"/>
    <cellStyle name="Normal 133 2 2 2 4 4 2" xfId="35466"/>
    <cellStyle name="Normal 133 2 2 2 4 5" xfId="19627"/>
    <cellStyle name="Normal 133 2 2 2 4 5 2" xfId="42164"/>
    <cellStyle name="Normal 133 2 2 2 4 6" xfId="28834"/>
    <cellStyle name="Normal 133 2 2 2 5" xfId="6308"/>
    <cellStyle name="Normal 133 2 2 2 5 2" xfId="9642"/>
    <cellStyle name="Normal 133 2 2 2 5 2 2" xfId="16346"/>
    <cellStyle name="Normal 133 2 2 2 5 2 2 2" xfId="39767"/>
    <cellStyle name="Normal 133 2 2 2 5 2 3" xfId="33135"/>
    <cellStyle name="Normal 133 2 2 2 5 3" xfId="13030"/>
    <cellStyle name="Normal 133 2 2 2 5 3 2" xfId="36451"/>
    <cellStyle name="Normal 133 2 2 2 5 4" xfId="20786"/>
    <cellStyle name="Normal 133 2 2 2 5 4 2" xfId="43237"/>
    <cellStyle name="Normal 133 2 2 2 5 5" xfId="29819"/>
    <cellStyle name="Normal 133 2 2 2 6" xfId="7974"/>
    <cellStyle name="Normal 133 2 2 2 6 2" xfId="14688"/>
    <cellStyle name="Normal 133 2 2 2 6 2 2" xfId="38109"/>
    <cellStyle name="Normal 133 2 2 2 6 3" xfId="21623"/>
    <cellStyle name="Normal 133 2 2 2 6 3 2" xfId="44072"/>
    <cellStyle name="Normal 133 2 2 2 6 4" xfId="31477"/>
    <cellStyle name="Normal 133 2 2 2 7" xfId="11370"/>
    <cellStyle name="Normal 133 2 2 2 7 2" xfId="34793"/>
    <cellStyle name="Normal 133 2 2 2 8" xfId="17990"/>
    <cellStyle name="Normal 133 2 2 2 8 2" xfId="41295"/>
    <cellStyle name="Normal 133 2 2 2 9" xfId="23572"/>
    <cellStyle name="Normal 133 2 2 2 9 2" xfId="45887"/>
    <cellStyle name="Normal 133 2 2 3" xfId="2233"/>
    <cellStyle name="Normal 133 2 2 3 2" xfId="5504"/>
    <cellStyle name="Normal 133 2 2 3 2 2" xfId="7328"/>
    <cellStyle name="Normal 133 2 2 3 2 2 2" xfId="10659"/>
    <cellStyle name="Normal 133 2 2 3 2 2 2 2" xfId="17363"/>
    <cellStyle name="Normal 133 2 2 3 2 2 2 2 2" xfId="40784"/>
    <cellStyle name="Normal 133 2 2 3 2 2 2 3" xfId="23079"/>
    <cellStyle name="Normal 133 2 2 3 2 2 2 3 2" xfId="45501"/>
    <cellStyle name="Normal 133 2 2 3 2 2 2 4" xfId="34152"/>
    <cellStyle name="Normal 133 2 2 3 2 2 3" xfId="14047"/>
    <cellStyle name="Normal 133 2 2 3 2 2 3 2" xfId="37468"/>
    <cellStyle name="Normal 133 2 2 3 2 2 4" xfId="20252"/>
    <cellStyle name="Normal 133 2 2 3 2 2 4 2" xfId="42787"/>
    <cellStyle name="Normal 133 2 2 3 2 2 5" xfId="30836"/>
    <cellStyle name="Normal 133 2 2 3 2 3" xfId="9001"/>
    <cellStyle name="Normal 133 2 2 3 2 3 2" xfId="15705"/>
    <cellStyle name="Normal 133 2 2 3 2 3 2 2" xfId="39126"/>
    <cellStyle name="Normal 133 2 2 3 2 3 3" xfId="21247"/>
    <cellStyle name="Normal 133 2 2 3 2 3 3 2" xfId="43698"/>
    <cellStyle name="Normal 133 2 2 3 2 3 4" xfId="32494"/>
    <cellStyle name="Normal 133 2 2 3 2 4" xfId="12389"/>
    <cellStyle name="Normal 133 2 2 3 2 4 2" xfId="22265"/>
    <cellStyle name="Normal 133 2 2 3 2 4 2 2" xfId="44687"/>
    <cellStyle name="Normal 133 2 2 3 2 4 3" xfId="35810"/>
    <cellStyle name="Normal 133 2 2 3 2 5" xfId="19413"/>
    <cellStyle name="Normal 133 2 2 3 2 5 2" xfId="41955"/>
    <cellStyle name="Normal 133 2 2 3 2 6" xfId="29178"/>
    <cellStyle name="Normal 133 2 2 3 3" xfId="6424"/>
    <cellStyle name="Normal 133 2 2 3 3 2" xfId="9758"/>
    <cellStyle name="Normal 133 2 2 3 3 2 2" xfId="16462"/>
    <cellStyle name="Normal 133 2 2 3 3 2 2 2" xfId="39883"/>
    <cellStyle name="Normal 133 2 2 3 3 2 3" xfId="22673"/>
    <cellStyle name="Normal 133 2 2 3 3 2 3 2" xfId="45095"/>
    <cellStyle name="Normal 133 2 2 3 3 2 4" xfId="33251"/>
    <cellStyle name="Normal 133 2 2 3 3 3" xfId="13146"/>
    <cellStyle name="Normal 133 2 2 3 3 3 2" xfId="36567"/>
    <cellStyle name="Normal 133 2 2 3 3 4" xfId="19836"/>
    <cellStyle name="Normal 133 2 2 3 3 4 2" xfId="42371"/>
    <cellStyle name="Normal 133 2 2 3 3 5" xfId="29935"/>
    <cellStyle name="Normal 133 2 2 3 4" xfId="8091"/>
    <cellStyle name="Normal 133 2 2 3 4 2" xfId="14804"/>
    <cellStyle name="Normal 133 2 2 3 4 2 2" xfId="38225"/>
    <cellStyle name="Normal 133 2 2 3 4 3" xfId="20788"/>
    <cellStyle name="Normal 133 2 2 3 4 3 2" xfId="43239"/>
    <cellStyle name="Normal 133 2 2 3 4 4" xfId="31593"/>
    <cellStyle name="Normal 133 2 2 3 5" xfId="11486"/>
    <cellStyle name="Normal 133 2 2 3 5 2" xfId="21833"/>
    <cellStyle name="Normal 133 2 2 3 5 2 2" xfId="44273"/>
    <cellStyle name="Normal 133 2 2 3 5 3" xfId="34909"/>
    <cellStyle name="Normal 133 2 2 3 6" xfId="18605"/>
    <cellStyle name="Normal 133 2 2 3 6 2" xfId="41530"/>
    <cellStyle name="Normal 133 2 2 3 7" xfId="25833"/>
    <cellStyle name="Normal 133 2 2 3 7 2" xfId="48078"/>
    <cellStyle name="Normal 133 2 2 3 8" xfId="28277"/>
    <cellStyle name="Normal 133 2 2 4" xfId="2674"/>
    <cellStyle name="Normal 133 2 2 4 2" xfId="5767"/>
    <cellStyle name="Normal 133 2 2 4 2 2" xfId="7549"/>
    <cellStyle name="Normal 133 2 2 4 2 2 2" xfId="10878"/>
    <cellStyle name="Normal 133 2 2 4 2 2 2 2" xfId="17582"/>
    <cellStyle name="Normal 133 2 2 4 2 2 2 2 2" xfId="41003"/>
    <cellStyle name="Normal 133 2 2 4 2 2 2 3" xfId="34371"/>
    <cellStyle name="Normal 133 2 2 4 2 2 3" xfId="14266"/>
    <cellStyle name="Normal 133 2 2 4 2 2 3 2" xfId="37687"/>
    <cellStyle name="Normal 133 2 2 4 2 2 4" xfId="22879"/>
    <cellStyle name="Normal 133 2 2 4 2 2 4 2" xfId="45301"/>
    <cellStyle name="Normal 133 2 2 4 2 2 5" xfId="31055"/>
    <cellStyle name="Normal 133 2 2 4 2 3" xfId="9220"/>
    <cellStyle name="Normal 133 2 2 4 2 3 2" xfId="15924"/>
    <cellStyle name="Normal 133 2 2 4 2 3 2 2" xfId="39345"/>
    <cellStyle name="Normal 133 2 2 4 2 3 3" xfId="32713"/>
    <cellStyle name="Normal 133 2 2 4 2 4" xfId="12608"/>
    <cellStyle name="Normal 133 2 2 4 2 4 2" xfId="36029"/>
    <cellStyle name="Normal 133 2 2 4 2 5" xfId="20044"/>
    <cellStyle name="Normal 133 2 2 4 2 5 2" xfId="42579"/>
    <cellStyle name="Normal 133 2 2 4 2 6" xfId="29397"/>
    <cellStyle name="Normal 133 2 2 4 3" xfId="6650"/>
    <cellStyle name="Normal 133 2 2 4 3 2" xfId="9982"/>
    <cellStyle name="Normal 133 2 2 4 3 2 2" xfId="16686"/>
    <cellStyle name="Normal 133 2 2 4 3 2 2 2" xfId="40107"/>
    <cellStyle name="Normal 133 2 2 4 3 2 3" xfId="33475"/>
    <cellStyle name="Normal 133 2 2 4 3 3" xfId="13370"/>
    <cellStyle name="Normal 133 2 2 4 3 3 2" xfId="36791"/>
    <cellStyle name="Normal 133 2 2 4 3 4" xfId="21244"/>
    <cellStyle name="Normal 133 2 2 4 3 4 2" xfId="43695"/>
    <cellStyle name="Normal 133 2 2 4 3 5" xfId="30159"/>
    <cellStyle name="Normal 133 2 2 4 4" xfId="8316"/>
    <cellStyle name="Normal 133 2 2 4 4 2" xfId="15028"/>
    <cellStyle name="Normal 133 2 2 4 4 2 2" xfId="38449"/>
    <cellStyle name="Normal 133 2 2 4 4 3" xfId="22052"/>
    <cellStyle name="Normal 133 2 2 4 4 3 2" xfId="44480"/>
    <cellStyle name="Normal 133 2 2 4 4 4" xfId="31817"/>
    <cellStyle name="Normal 133 2 2 4 5" xfId="11710"/>
    <cellStyle name="Normal 133 2 2 4 5 2" xfId="35133"/>
    <cellStyle name="Normal 133 2 2 4 6" xfId="19190"/>
    <cellStyle name="Normal 133 2 2 4 6 2" xfId="41747"/>
    <cellStyle name="Normal 133 2 2 4 7" xfId="28501"/>
    <cellStyle name="Normal 133 2 2 5" xfId="3887"/>
    <cellStyle name="Normal 133 2 2 5 2" xfId="6982"/>
    <cellStyle name="Normal 133 2 2 5 2 2" xfId="10314"/>
    <cellStyle name="Normal 133 2 2 5 2 2 2" xfId="17018"/>
    <cellStyle name="Normal 133 2 2 5 2 2 2 2" xfId="40439"/>
    <cellStyle name="Normal 133 2 2 5 2 2 3" xfId="33807"/>
    <cellStyle name="Normal 133 2 2 5 2 3" xfId="13702"/>
    <cellStyle name="Normal 133 2 2 5 2 3 2" xfId="37123"/>
    <cellStyle name="Normal 133 2 2 5 2 4" xfId="22473"/>
    <cellStyle name="Normal 133 2 2 5 2 4 2" xfId="44895"/>
    <cellStyle name="Normal 133 2 2 5 2 5" xfId="30491"/>
    <cellStyle name="Normal 133 2 2 5 3" xfId="8649"/>
    <cellStyle name="Normal 133 2 2 5 3 2" xfId="15360"/>
    <cellStyle name="Normal 133 2 2 5 3 2 2" xfId="38781"/>
    <cellStyle name="Normal 133 2 2 5 3 3" xfId="32149"/>
    <cellStyle name="Normal 133 2 2 5 4" xfId="12042"/>
    <cellStyle name="Normal 133 2 2 5 4 2" xfId="35465"/>
    <cellStyle name="Normal 133 2 2 5 5" xfId="19626"/>
    <cellStyle name="Normal 133 2 2 5 5 2" xfId="42163"/>
    <cellStyle name="Normal 133 2 2 5 6" xfId="28833"/>
    <cellStyle name="Normal 133 2 2 6" xfId="6177"/>
    <cellStyle name="Normal 133 2 2 6 2" xfId="9511"/>
    <cellStyle name="Normal 133 2 2 6 2 2" xfId="16215"/>
    <cellStyle name="Normal 133 2 2 6 2 2 2" xfId="39636"/>
    <cellStyle name="Normal 133 2 2 6 2 3" xfId="33004"/>
    <cellStyle name="Normal 133 2 2 6 3" xfId="12899"/>
    <cellStyle name="Normal 133 2 2 6 3 2" xfId="36320"/>
    <cellStyle name="Normal 133 2 2 6 4" xfId="20785"/>
    <cellStyle name="Normal 133 2 2 6 4 2" xfId="43236"/>
    <cellStyle name="Normal 133 2 2 6 5" xfId="29688"/>
    <cellStyle name="Normal 133 2 2 7" xfId="7843"/>
    <cellStyle name="Normal 133 2 2 7 2" xfId="14557"/>
    <cellStyle name="Normal 133 2 2 7 2 2" xfId="37978"/>
    <cellStyle name="Normal 133 2 2 7 3" xfId="21622"/>
    <cellStyle name="Normal 133 2 2 7 3 2" xfId="44071"/>
    <cellStyle name="Normal 133 2 2 7 4" xfId="31346"/>
    <cellStyle name="Normal 133 2 2 8" xfId="11239"/>
    <cellStyle name="Normal 133 2 2 8 2" xfId="34662"/>
    <cellStyle name="Normal 133 2 2 9" xfId="17989"/>
    <cellStyle name="Normal 133 2 2 9 2" xfId="41294"/>
    <cellStyle name="Normal 133 2 3" xfId="1766"/>
    <cellStyle name="Normal 133 2 3 10" xfId="28118"/>
    <cellStyle name="Normal 133 2 3 2" xfId="2235"/>
    <cellStyle name="Normal 133 2 3 2 2" xfId="5506"/>
    <cellStyle name="Normal 133 2 3 2 2 2" xfId="7330"/>
    <cellStyle name="Normal 133 2 3 2 2 2 2" xfId="10661"/>
    <cellStyle name="Normal 133 2 3 2 2 2 2 2" xfId="17365"/>
    <cellStyle name="Normal 133 2 3 2 2 2 2 2 2" xfId="40786"/>
    <cellStyle name="Normal 133 2 3 2 2 2 2 3" xfId="23081"/>
    <cellStyle name="Normal 133 2 3 2 2 2 2 3 2" xfId="45503"/>
    <cellStyle name="Normal 133 2 3 2 2 2 2 4" xfId="34154"/>
    <cellStyle name="Normal 133 2 3 2 2 2 3" xfId="14049"/>
    <cellStyle name="Normal 133 2 3 2 2 2 3 2" xfId="37470"/>
    <cellStyle name="Normal 133 2 3 2 2 2 4" xfId="20254"/>
    <cellStyle name="Normal 133 2 3 2 2 2 4 2" xfId="42789"/>
    <cellStyle name="Normal 133 2 3 2 2 2 5" xfId="30838"/>
    <cellStyle name="Normal 133 2 3 2 2 3" xfId="9003"/>
    <cellStyle name="Normal 133 2 3 2 2 3 2" xfId="15707"/>
    <cellStyle name="Normal 133 2 3 2 2 3 2 2" xfId="39128"/>
    <cellStyle name="Normal 133 2 3 2 2 3 3" xfId="21249"/>
    <cellStyle name="Normal 133 2 3 2 2 3 3 2" xfId="43700"/>
    <cellStyle name="Normal 133 2 3 2 2 3 4" xfId="32496"/>
    <cellStyle name="Normal 133 2 3 2 2 4" xfId="12391"/>
    <cellStyle name="Normal 133 2 3 2 2 4 2" xfId="22267"/>
    <cellStyle name="Normal 133 2 3 2 2 4 2 2" xfId="44689"/>
    <cellStyle name="Normal 133 2 3 2 2 4 3" xfId="35812"/>
    <cellStyle name="Normal 133 2 3 2 2 5" xfId="19415"/>
    <cellStyle name="Normal 133 2 3 2 2 5 2" xfId="41957"/>
    <cellStyle name="Normal 133 2 3 2 2 6" xfId="29180"/>
    <cellStyle name="Normal 133 2 3 2 3" xfId="6426"/>
    <cellStyle name="Normal 133 2 3 2 3 2" xfId="9760"/>
    <cellStyle name="Normal 133 2 3 2 3 2 2" xfId="16464"/>
    <cellStyle name="Normal 133 2 3 2 3 2 2 2" xfId="39885"/>
    <cellStyle name="Normal 133 2 3 2 3 2 3" xfId="22675"/>
    <cellStyle name="Normal 133 2 3 2 3 2 3 2" xfId="45097"/>
    <cellStyle name="Normal 133 2 3 2 3 2 4" xfId="33253"/>
    <cellStyle name="Normal 133 2 3 2 3 3" xfId="13148"/>
    <cellStyle name="Normal 133 2 3 2 3 3 2" xfId="36569"/>
    <cellStyle name="Normal 133 2 3 2 3 4" xfId="19838"/>
    <cellStyle name="Normal 133 2 3 2 3 4 2" xfId="42373"/>
    <cellStyle name="Normal 133 2 3 2 3 5" xfId="29937"/>
    <cellStyle name="Normal 133 2 3 2 4" xfId="8093"/>
    <cellStyle name="Normal 133 2 3 2 4 2" xfId="14806"/>
    <cellStyle name="Normal 133 2 3 2 4 2 2" xfId="38227"/>
    <cellStyle name="Normal 133 2 3 2 4 3" xfId="20790"/>
    <cellStyle name="Normal 133 2 3 2 4 3 2" xfId="43241"/>
    <cellStyle name="Normal 133 2 3 2 4 4" xfId="31595"/>
    <cellStyle name="Normal 133 2 3 2 5" xfId="11488"/>
    <cellStyle name="Normal 133 2 3 2 5 2" xfId="21835"/>
    <cellStyle name="Normal 133 2 3 2 5 2 2" xfId="44275"/>
    <cellStyle name="Normal 133 2 3 2 5 3" xfId="34911"/>
    <cellStyle name="Normal 133 2 3 2 6" xfId="18607"/>
    <cellStyle name="Normal 133 2 3 2 6 2" xfId="41532"/>
    <cellStyle name="Normal 133 2 3 2 7" xfId="25835"/>
    <cellStyle name="Normal 133 2 3 2 7 2" xfId="48080"/>
    <cellStyle name="Normal 133 2 3 2 8" xfId="28279"/>
    <cellStyle name="Normal 133 2 3 3" xfId="2763"/>
    <cellStyle name="Normal 133 2 3 3 2" xfId="5855"/>
    <cellStyle name="Normal 133 2 3 3 2 2" xfId="7637"/>
    <cellStyle name="Normal 133 2 3 3 2 2 2" xfId="10966"/>
    <cellStyle name="Normal 133 2 3 3 2 2 2 2" xfId="17670"/>
    <cellStyle name="Normal 133 2 3 3 2 2 2 2 2" xfId="41091"/>
    <cellStyle name="Normal 133 2 3 3 2 2 2 3" xfId="34459"/>
    <cellStyle name="Normal 133 2 3 3 2 2 3" xfId="14354"/>
    <cellStyle name="Normal 133 2 3 3 2 2 3 2" xfId="37775"/>
    <cellStyle name="Normal 133 2 3 3 2 2 4" xfId="22881"/>
    <cellStyle name="Normal 133 2 3 3 2 2 4 2" xfId="45303"/>
    <cellStyle name="Normal 133 2 3 3 2 2 5" xfId="31143"/>
    <cellStyle name="Normal 133 2 3 3 2 3" xfId="9308"/>
    <cellStyle name="Normal 133 2 3 3 2 3 2" xfId="16012"/>
    <cellStyle name="Normal 133 2 3 3 2 3 2 2" xfId="39433"/>
    <cellStyle name="Normal 133 2 3 3 2 3 3" xfId="32801"/>
    <cellStyle name="Normal 133 2 3 3 2 4" xfId="12696"/>
    <cellStyle name="Normal 133 2 3 3 2 4 2" xfId="36117"/>
    <cellStyle name="Normal 133 2 3 3 2 5" xfId="20046"/>
    <cellStyle name="Normal 133 2 3 3 2 5 2" xfId="42581"/>
    <cellStyle name="Normal 133 2 3 3 2 6" xfId="29485"/>
    <cellStyle name="Normal 133 2 3 3 3" xfId="6738"/>
    <cellStyle name="Normal 133 2 3 3 3 2" xfId="10070"/>
    <cellStyle name="Normal 133 2 3 3 3 2 2" xfId="16774"/>
    <cellStyle name="Normal 133 2 3 3 3 2 2 2" xfId="40195"/>
    <cellStyle name="Normal 133 2 3 3 3 2 3" xfId="33563"/>
    <cellStyle name="Normal 133 2 3 3 3 3" xfId="13458"/>
    <cellStyle name="Normal 133 2 3 3 3 3 2" xfId="36879"/>
    <cellStyle name="Normal 133 2 3 3 3 4" xfId="21248"/>
    <cellStyle name="Normal 133 2 3 3 3 4 2" xfId="43699"/>
    <cellStyle name="Normal 133 2 3 3 3 5" xfId="30247"/>
    <cellStyle name="Normal 133 2 3 3 4" xfId="8404"/>
    <cellStyle name="Normal 133 2 3 3 4 2" xfId="15116"/>
    <cellStyle name="Normal 133 2 3 3 4 2 2" xfId="38537"/>
    <cellStyle name="Normal 133 2 3 3 4 3" xfId="22054"/>
    <cellStyle name="Normal 133 2 3 3 4 3 2" xfId="44482"/>
    <cellStyle name="Normal 133 2 3 3 4 4" xfId="31905"/>
    <cellStyle name="Normal 133 2 3 3 5" xfId="11798"/>
    <cellStyle name="Normal 133 2 3 3 5 2" xfId="35221"/>
    <cellStyle name="Normal 133 2 3 3 6" xfId="19192"/>
    <cellStyle name="Normal 133 2 3 3 6 2" xfId="41749"/>
    <cellStyle name="Normal 133 2 3 3 7" xfId="28589"/>
    <cellStyle name="Normal 133 2 3 4" xfId="3889"/>
    <cellStyle name="Normal 133 2 3 4 2" xfId="6984"/>
    <cellStyle name="Normal 133 2 3 4 2 2" xfId="10316"/>
    <cellStyle name="Normal 133 2 3 4 2 2 2" xfId="17020"/>
    <cellStyle name="Normal 133 2 3 4 2 2 2 2" xfId="40441"/>
    <cellStyle name="Normal 133 2 3 4 2 2 3" xfId="33809"/>
    <cellStyle name="Normal 133 2 3 4 2 3" xfId="13704"/>
    <cellStyle name="Normal 133 2 3 4 2 3 2" xfId="37125"/>
    <cellStyle name="Normal 133 2 3 4 2 4" xfId="22475"/>
    <cellStyle name="Normal 133 2 3 4 2 4 2" xfId="44897"/>
    <cellStyle name="Normal 133 2 3 4 2 5" xfId="30493"/>
    <cellStyle name="Normal 133 2 3 4 3" xfId="8651"/>
    <cellStyle name="Normal 133 2 3 4 3 2" xfId="15362"/>
    <cellStyle name="Normal 133 2 3 4 3 2 2" xfId="38783"/>
    <cellStyle name="Normal 133 2 3 4 3 3" xfId="32151"/>
    <cellStyle name="Normal 133 2 3 4 4" xfId="12044"/>
    <cellStyle name="Normal 133 2 3 4 4 2" xfId="35467"/>
    <cellStyle name="Normal 133 2 3 4 5" xfId="19628"/>
    <cellStyle name="Normal 133 2 3 4 5 2" xfId="42165"/>
    <cellStyle name="Normal 133 2 3 4 6" xfId="28835"/>
    <cellStyle name="Normal 133 2 3 5" xfId="6265"/>
    <cellStyle name="Normal 133 2 3 5 2" xfId="9599"/>
    <cellStyle name="Normal 133 2 3 5 2 2" xfId="16303"/>
    <cellStyle name="Normal 133 2 3 5 2 2 2" xfId="39724"/>
    <cellStyle name="Normal 133 2 3 5 2 3" xfId="33092"/>
    <cellStyle name="Normal 133 2 3 5 3" xfId="12987"/>
    <cellStyle name="Normal 133 2 3 5 3 2" xfId="36408"/>
    <cellStyle name="Normal 133 2 3 5 4" xfId="20789"/>
    <cellStyle name="Normal 133 2 3 5 4 2" xfId="43240"/>
    <cellStyle name="Normal 133 2 3 5 5" xfId="29776"/>
    <cellStyle name="Normal 133 2 3 6" xfId="7931"/>
    <cellStyle name="Normal 133 2 3 6 2" xfId="14645"/>
    <cellStyle name="Normal 133 2 3 6 2 2" xfId="38066"/>
    <cellStyle name="Normal 133 2 3 6 3" xfId="21624"/>
    <cellStyle name="Normal 133 2 3 6 3 2" xfId="44073"/>
    <cellStyle name="Normal 133 2 3 6 4" xfId="31434"/>
    <cellStyle name="Normal 133 2 3 7" xfId="11327"/>
    <cellStyle name="Normal 133 2 3 7 2" xfId="34750"/>
    <cellStyle name="Normal 133 2 3 8" xfId="17991"/>
    <cellStyle name="Normal 133 2 3 8 2" xfId="41296"/>
    <cellStyle name="Normal 133 2 3 9" xfId="23573"/>
    <cellStyle name="Normal 133 2 3 9 2" xfId="45888"/>
    <cellStyle name="Normal 133 2 4" xfId="2232"/>
    <cellStyle name="Normal 133 2 4 2" xfId="5503"/>
    <cellStyle name="Normal 133 2 4 2 2" xfId="7327"/>
    <cellStyle name="Normal 133 2 4 2 2 2" xfId="10658"/>
    <cellStyle name="Normal 133 2 4 2 2 2 2" xfId="17362"/>
    <cellStyle name="Normal 133 2 4 2 2 2 2 2" xfId="40783"/>
    <cellStyle name="Normal 133 2 4 2 2 2 3" xfId="23078"/>
    <cellStyle name="Normal 133 2 4 2 2 2 3 2" xfId="45500"/>
    <cellStyle name="Normal 133 2 4 2 2 2 4" xfId="34151"/>
    <cellStyle name="Normal 133 2 4 2 2 3" xfId="14046"/>
    <cellStyle name="Normal 133 2 4 2 2 3 2" xfId="37467"/>
    <cellStyle name="Normal 133 2 4 2 2 4" xfId="20251"/>
    <cellStyle name="Normal 133 2 4 2 2 4 2" xfId="42786"/>
    <cellStyle name="Normal 133 2 4 2 2 5" xfId="30835"/>
    <cellStyle name="Normal 133 2 4 2 3" xfId="9000"/>
    <cellStyle name="Normal 133 2 4 2 3 2" xfId="15704"/>
    <cellStyle name="Normal 133 2 4 2 3 2 2" xfId="39125"/>
    <cellStyle name="Normal 133 2 4 2 3 3" xfId="21250"/>
    <cellStyle name="Normal 133 2 4 2 3 3 2" xfId="43701"/>
    <cellStyle name="Normal 133 2 4 2 3 4" xfId="32493"/>
    <cellStyle name="Normal 133 2 4 2 4" xfId="12388"/>
    <cellStyle name="Normal 133 2 4 2 4 2" xfId="22264"/>
    <cellStyle name="Normal 133 2 4 2 4 2 2" xfId="44686"/>
    <cellStyle name="Normal 133 2 4 2 4 3" xfId="35809"/>
    <cellStyle name="Normal 133 2 4 2 5" xfId="19412"/>
    <cellStyle name="Normal 133 2 4 2 5 2" xfId="41954"/>
    <cellStyle name="Normal 133 2 4 2 6" xfId="29177"/>
    <cellStyle name="Normal 133 2 4 3" xfId="6423"/>
    <cellStyle name="Normal 133 2 4 3 2" xfId="9757"/>
    <cellStyle name="Normal 133 2 4 3 2 2" xfId="16461"/>
    <cellStyle name="Normal 133 2 4 3 2 2 2" xfId="39882"/>
    <cellStyle name="Normal 133 2 4 3 2 3" xfId="22672"/>
    <cellStyle name="Normal 133 2 4 3 2 3 2" xfId="45094"/>
    <cellStyle name="Normal 133 2 4 3 2 4" xfId="33250"/>
    <cellStyle name="Normal 133 2 4 3 3" xfId="13145"/>
    <cellStyle name="Normal 133 2 4 3 3 2" xfId="36566"/>
    <cellStyle name="Normal 133 2 4 3 4" xfId="19835"/>
    <cellStyle name="Normal 133 2 4 3 4 2" xfId="42370"/>
    <cellStyle name="Normal 133 2 4 3 5" xfId="29934"/>
    <cellStyle name="Normal 133 2 4 4" xfId="8090"/>
    <cellStyle name="Normal 133 2 4 4 2" xfId="14803"/>
    <cellStyle name="Normal 133 2 4 4 2 2" xfId="38224"/>
    <cellStyle name="Normal 133 2 4 4 3" xfId="20791"/>
    <cellStyle name="Normal 133 2 4 4 3 2" xfId="43242"/>
    <cellStyle name="Normal 133 2 4 4 4" xfId="31592"/>
    <cellStyle name="Normal 133 2 4 5" xfId="11485"/>
    <cellStyle name="Normal 133 2 4 5 2" xfId="21832"/>
    <cellStyle name="Normal 133 2 4 5 2 2" xfId="44272"/>
    <cellStyle name="Normal 133 2 4 5 3" xfId="34908"/>
    <cellStyle name="Normal 133 2 4 6" xfId="18604"/>
    <cellStyle name="Normal 133 2 4 6 2" xfId="41529"/>
    <cellStyle name="Normal 133 2 4 7" xfId="25832"/>
    <cellStyle name="Normal 133 2 4 7 2" xfId="48077"/>
    <cellStyle name="Normal 133 2 4 8" xfId="28276"/>
    <cellStyle name="Normal 133 2 5" xfId="2631"/>
    <cellStyle name="Normal 133 2 5 2" xfId="5724"/>
    <cellStyle name="Normal 133 2 5 2 2" xfId="7506"/>
    <cellStyle name="Normal 133 2 5 2 2 2" xfId="10835"/>
    <cellStyle name="Normal 133 2 5 2 2 2 2" xfId="17539"/>
    <cellStyle name="Normal 133 2 5 2 2 2 2 2" xfId="40960"/>
    <cellStyle name="Normal 133 2 5 2 2 2 3" xfId="34328"/>
    <cellStyle name="Normal 133 2 5 2 2 3" xfId="14223"/>
    <cellStyle name="Normal 133 2 5 2 2 3 2" xfId="37644"/>
    <cellStyle name="Normal 133 2 5 2 2 4" xfId="20588"/>
    <cellStyle name="Normal 133 2 5 2 2 4 2" xfId="43039"/>
    <cellStyle name="Normal 133 2 5 2 2 5" xfId="31012"/>
    <cellStyle name="Normal 133 2 5 2 3" xfId="9177"/>
    <cellStyle name="Normal 133 2 5 2 3 2" xfId="15881"/>
    <cellStyle name="Normal 133 2 5 2 3 2 2" xfId="39302"/>
    <cellStyle name="Normal 133 2 5 2 3 3" xfId="21506"/>
    <cellStyle name="Normal 133 2 5 2 3 3 2" xfId="43957"/>
    <cellStyle name="Normal 133 2 5 2 3 4" xfId="32670"/>
    <cellStyle name="Normal 133 2 5 2 4" xfId="12565"/>
    <cellStyle name="Normal 133 2 5 2 4 2" xfId="22878"/>
    <cellStyle name="Normal 133 2 5 2 4 2 2" xfId="45300"/>
    <cellStyle name="Normal 133 2 5 2 4 3" xfId="35986"/>
    <cellStyle name="Normal 133 2 5 2 5" xfId="20043"/>
    <cellStyle name="Normal 133 2 5 2 5 2" xfId="42578"/>
    <cellStyle name="Normal 133 2 5 2 6" xfId="29354"/>
    <cellStyle name="Normal 133 2 5 3" xfId="6607"/>
    <cellStyle name="Normal 133 2 5 3 2" xfId="9939"/>
    <cellStyle name="Normal 133 2 5 3 2 2" xfId="16643"/>
    <cellStyle name="Normal 133 2 5 3 2 2 2" xfId="40064"/>
    <cellStyle name="Normal 133 2 5 3 2 3" xfId="33432"/>
    <cellStyle name="Normal 133 2 5 3 3" xfId="13327"/>
    <cellStyle name="Normal 133 2 5 3 3 2" xfId="36748"/>
    <cellStyle name="Normal 133 2 5 3 4" xfId="20490"/>
    <cellStyle name="Normal 133 2 5 3 4 2" xfId="42943"/>
    <cellStyle name="Normal 133 2 5 3 5" xfId="30116"/>
    <cellStyle name="Normal 133 2 5 4" xfId="8273"/>
    <cellStyle name="Normal 133 2 5 4 2" xfId="14985"/>
    <cellStyle name="Normal 133 2 5 4 2 2" xfId="38406"/>
    <cellStyle name="Normal 133 2 5 4 3" xfId="21047"/>
    <cellStyle name="Normal 133 2 5 4 3 2" xfId="43498"/>
    <cellStyle name="Normal 133 2 5 4 4" xfId="31774"/>
    <cellStyle name="Normal 133 2 5 5" xfId="11667"/>
    <cellStyle name="Normal 133 2 5 5 2" xfId="22051"/>
    <cellStyle name="Normal 133 2 5 5 2 2" xfId="44479"/>
    <cellStyle name="Normal 133 2 5 5 3" xfId="35090"/>
    <cellStyle name="Normal 133 2 5 6" xfId="19189"/>
    <cellStyle name="Normal 133 2 5 6 2" xfId="41746"/>
    <cellStyle name="Normal 133 2 5 7" xfId="28458"/>
    <cellStyle name="Normal 133 2 6" xfId="3886"/>
    <cellStyle name="Normal 133 2 6 2" xfId="6981"/>
    <cellStyle name="Normal 133 2 6 2 2" xfId="10313"/>
    <cellStyle name="Normal 133 2 6 2 2 2" xfId="17017"/>
    <cellStyle name="Normal 133 2 6 2 2 2 2" xfId="40438"/>
    <cellStyle name="Normal 133 2 6 2 2 3" xfId="33806"/>
    <cellStyle name="Normal 133 2 6 2 3" xfId="13701"/>
    <cellStyle name="Normal 133 2 6 2 3 2" xfId="37122"/>
    <cellStyle name="Normal 133 2 6 2 4" xfId="20536"/>
    <cellStyle name="Normal 133 2 6 2 4 2" xfId="42989"/>
    <cellStyle name="Normal 133 2 6 2 5" xfId="30490"/>
    <cellStyle name="Normal 133 2 6 3" xfId="8648"/>
    <cellStyle name="Normal 133 2 6 3 2" xfId="15359"/>
    <cellStyle name="Normal 133 2 6 3 2 2" xfId="38780"/>
    <cellStyle name="Normal 133 2 6 3 3" xfId="21243"/>
    <cellStyle name="Normal 133 2 6 3 3 2" xfId="43694"/>
    <cellStyle name="Normal 133 2 6 3 4" xfId="32148"/>
    <cellStyle name="Normal 133 2 6 4" xfId="12041"/>
    <cellStyle name="Normal 133 2 6 4 2" xfId="22472"/>
    <cellStyle name="Normal 133 2 6 4 2 2" xfId="44894"/>
    <cellStyle name="Normal 133 2 6 4 3" xfId="35464"/>
    <cellStyle name="Normal 133 2 6 5" xfId="19625"/>
    <cellStyle name="Normal 133 2 6 5 2" xfId="42162"/>
    <cellStyle name="Normal 133 2 6 6" xfId="28832"/>
    <cellStyle name="Normal 133 2 7" xfId="6134"/>
    <cellStyle name="Normal 133 2 7 2" xfId="9468"/>
    <cellStyle name="Normal 133 2 7 2 2" xfId="16172"/>
    <cellStyle name="Normal 133 2 7 2 2 2" xfId="39593"/>
    <cellStyle name="Normal 133 2 7 2 3" xfId="32961"/>
    <cellStyle name="Normal 133 2 7 3" xfId="12856"/>
    <cellStyle name="Normal 133 2 7 3 2" xfId="36277"/>
    <cellStyle name="Normal 133 2 7 4" xfId="17854"/>
    <cellStyle name="Normal 133 2 7 4 2" xfId="41204"/>
    <cellStyle name="Normal 133 2 7 5" xfId="29645"/>
    <cellStyle name="Normal 133 2 8" xfId="7800"/>
    <cellStyle name="Normal 133 2 8 2" xfId="14514"/>
    <cellStyle name="Normal 133 2 8 2 2" xfId="37935"/>
    <cellStyle name="Normal 133 2 8 3" xfId="20784"/>
    <cellStyle name="Normal 133 2 8 3 2" xfId="43235"/>
    <cellStyle name="Normal 133 2 8 4" xfId="31303"/>
    <cellStyle name="Normal 133 2 9" xfId="11196"/>
    <cellStyle name="Normal 133 2 9 2" xfId="21621"/>
    <cellStyle name="Normal 133 2 9 2 2" xfId="44070"/>
    <cellStyle name="Normal 133 2 9 3" xfId="34619"/>
    <cellStyle name="Normal 133 3" xfId="1590"/>
    <cellStyle name="Normal 133 3 10" xfId="23574"/>
    <cellStyle name="Normal 133 3 10 2" xfId="45889"/>
    <cellStyle name="Normal 133 3 11" xfId="28029"/>
    <cellStyle name="Normal 133 3 2" xfId="1808"/>
    <cellStyle name="Normal 133 3 2 10" xfId="28160"/>
    <cellStyle name="Normal 133 3 2 2" xfId="2237"/>
    <cellStyle name="Normal 133 3 2 2 2" xfId="5508"/>
    <cellStyle name="Normal 133 3 2 2 2 2" xfId="7332"/>
    <cellStyle name="Normal 133 3 2 2 2 2 2" xfId="10663"/>
    <cellStyle name="Normal 133 3 2 2 2 2 2 2" xfId="17367"/>
    <cellStyle name="Normal 133 3 2 2 2 2 2 2 2" xfId="40788"/>
    <cellStyle name="Normal 133 3 2 2 2 2 2 3" xfId="23083"/>
    <cellStyle name="Normal 133 3 2 2 2 2 2 3 2" xfId="45505"/>
    <cellStyle name="Normal 133 3 2 2 2 2 2 4" xfId="34156"/>
    <cellStyle name="Normal 133 3 2 2 2 2 3" xfId="14051"/>
    <cellStyle name="Normal 133 3 2 2 2 2 3 2" xfId="37472"/>
    <cellStyle name="Normal 133 3 2 2 2 2 4" xfId="20256"/>
    <cellStyle name="Normal 133 3 2 2 2 2 4 2" xfId="42791"/>
    <cellStyle name="Normal 133 3 2 2 2 2 5" xfId="30840"/>
    <cellStyle name="Normal 133 3 2 2 2 3" xfId="9005"/>
    <cellStyle name="Normal 133 3 2 2 2 3 2" xfId="15709"/>
    <cellStyle name="Normal 133 3 2 2 2 3 2 2" xfId="39130"/>
    <cellStyle name="Normal 133 3 2 2 2 3 3" xfId="21253"/>
    <cellStyle name="Normal 133 3 2 2 2 3 3 2" xfId="43704"/>
    <cellStyle name="Normal 133 3 2 2 2 3 4" xfId="32498"/>
    <cellStyle name="Normal 133 3 2 2 2 4" xfId="12393"/>
    <cellStyle name="Normal 133 3 2 2 2 4 2" xfId="22269"/>
    <cellStyle name="Normal 133 3 2 2 2 4 2 2" xfId="44691"/>
    <cellStyle name="Normal 133 3 2 2 2 4 3" xfId="35814"/>
    <cellStyle name="Normal 133 3 2 2 2 5" xfId="19417"/>
    <cellStyle name="Normal 133 3 2 2 2 5 2" xfId="41959"/>
    <cellStyle name="Normal 133 3 2 2 2 6" xfId="29182"/>
    <cellStyle name="Normal 133 3 2 2 3" xfId="6428"/>
    <cellStyle name="Normal 133 3 2 2 3 2" xfId="9762"/>
    <cellStyle name="Normal 133 3 2 2 3 2 2" xfId="16466"/>
    <cellStyle name="Normal 133 3 2 2 3 2 2 2" xfId="39887"/>
    <cellStyle name="Normal 133 3 2 2 3 2 3" xfId="22677"/>
    <cellStyle name="Normal 133 3 2 2 3 2 3 2" xfId="45099"/>
    <cellStyle name="Normal 133 3 2 2 3 2 4" xfId="33255"/>
    <cellStyle name="Normal 133 3 2 2 3 3" xfId="13150"/>
    <cellStyle name="Normal 133 3 2 2 3 3 2" xfId="36571"/>
    <cellStyle name="Normal 133 3 2 2 3 4" xfId="19840"/>
    <cellStyle name="Normal 133 3 2 2 3 4 2" xfId="42375"/>
    <cellStyle name="Normal 133 3 2 2 3 5" xfId="29939"/>
    <cellStyle name="Normal 133 3 2 2 4" xfId="8095"/>
    <cellStyle name="Normal 133 3 2 2 4 2" xfId="14808"/>
    <cellStyle name="Normal 133 3 2 2 4 2 2" xfId="38229"/>
    <cellStyle name="Normal 133 3 2 2 4 3" xfId="20794"/>
    <cellStyle name="Normal 133 3 2 2 4 3 2" xfId="43245"/>
    <cellStyle name="Normal 133 3 2 2 4 4" xfId="31597"/>
    <cellStyle name="Normal 133 3 2 2 5" xfId="11490"/>
    <cellStyle name="Normal 133 3 2 2 5 2" xfId="21837"/>
    <cellStyle name="Normal 133 3 2 2 5 2 2" xfId="44277"/>
    <cellStyle name="Normal 133 3 2 2 5 3" xfId="34913"/>
    <cellStyle name="Normal 133 3 2 2 6" xfId="18609"/>
    <cellStyle name="Normal 133 3 2 2 6 2" xfId="41534"/>
    <cellStyle name="Normal 133 3 2 2 7" xfId="25837"/>
    <cellStyle name="Normal 133 3 2 2 7 2" xfId="48082"/>
    <cellStyle name="Normal 133 3 2 2 8" xfId="28281"/>
    <cellStyle name="Normal 133 3 2 3" xfId="2805"/>
    <cellStyle name="Normal 133 3 2 3 2" xfId="5897"/>
    <cellStyle name="Normal 133 3 2 3 2 2" xfId="7679"/>
    <cellStyle name="Normal 133 3 2 3 2 2 2" xfId="11008"/>
    <cellStyle name="Normal 133 3 2 3 2 2 2 2" xfId="17712"/>
    <cellStyle name="Normal 133 3 2 3 2 2 2 2 2" xfId="41133"/>
    <cellStyle name="Normal 133 3 2 3 2 2 2 3" xfId="34501"/>
    <cellStyle name="Normal 133 3 2 3 2 2 3" xfId="14396"/>
    <cellStyle name="Normal 133 3 2 3 2 2 3 2" xfId="37817"/>
    <cellStyle name="Normal 133 3 2 3 2 2 4" xfId="22883"/>
    <cellStyle name="Normal 133 3 2 3 2 2 4 2" xfId="45305"/>
    <cellStyle name="Normal 133 3 2 3 2 2 5" xfId="31185"/>
    <cellStyle name="Normal 133 3 2 3 2 3" xfId="9350"/>
    <cellStyle name="Normal 133 3 2 3 2 3 2" xfId="16054"/>
    <cellStyle name="Normal 133 3 2 3 2 3 2 2" xfId="39475"/>
    <cellStyle name="Normal 133 3 2 3 2 3 3" xfId="32843"/>
    <cellStyle name="Normal 133 3 2 3 2 4" xfId="12738"/>
    <cellStyle name="Normal 133 3 2 3 2 4 2" xfId="36159"/>
    <cellStyle name="Normal 133 3 2 3 2 5" xfId="20048"/>
    <cellStyle name="Normal 133 3 2 3 2 5 2" xfId="42583"/>
    <cellStyle name="Normal 133 3 2 3 2 6" xfId="29527"/>
    <cellStyle name="Normal 133 3 2 3 3" xfId="6780"/>
    <cellStyle name="Normal 133 3 2 3 3 2" xfId="10112"/>
    <cellStyle name="Normal 133 3 2 3 3 2 2" xfId="16816"/>
    <cellStyle name="Normal 133 3 2 3 3 2 2 2" xfId="40237"/>
    <cellStyle name="Normal 133 3 2 3 3 2 3" xfId="33605"/>
    <cellStyle name="Normal 133 3 2 3 3 3" xfId="13500"/>
    <cellStyle name="Normal 133 3 2 3 3 3 2" xfId="36921"/>
    <cellStyle name="Normal 133 3 2 3 3 4" xfId="21252"/>
    <cellStyle name="Normal 133 3 2 3 3 4 2" xfId="43703"/>
    <cellStyle name="Normal 133 3 2 3 3 5" xfId="30289"/>
    <cellStyle name="Normal 133 3 2 3 4" xfId="8446"/>
    <cellStyle name="Normal 133 3 2 3 4 2" xfId="15158"/>
    <cellStyle name="Normal 133 3 2 3 4 2 2" xfId="38579"/>
    <cellStyle name="Normal 133 3 2 3 4 3" xfId="22056"/>
    <cellStyle name="Normal 133 3 2 3 4 3 2" xfId="44484"/>
    <cellStyle name="Normal 133 3 2 3 4 4" xfId="31947"/>
    <cellStyle name="Normal 133 3 2 3 5" xfId="11840"/>
    <cellStyle name="Normal 133 3 2 3 5 2" xfId="35263"/>
    <cellStyle name="Normal 133 3 2 3 6" xfId="19194"/>
    <cellStyle name="Normal 133 3 2 3 6 2" xfId="41751"/>
    <cellStyle name="Normal 133 3 2 3 7" xfId="28631"/>
    <cellStyle name="Normal 133 3 2 4" xfId="3891"/>
    <cellStyle name="Normal 133 3 2 4 2" xfId="6986"/>
    <cellStyle name="Normal 133 3 2 4 2 2" xfId="10318"/>
    <cellStyle name="Normal 133 3 2 4 2 2 2" xfId="17022"/>
    <cellStyle name="Normal 133 3 2 4 2 2 2 2" xfId="40443"/>
    <cellStyle name="Normal 133 3 2 4 2 2 3" xfId="33811"/>
    <cellStyle name="Normal 133 3 2 4 2 3" xfId="13706"/>
    <cellStyle name="Normal 133 3 2 4 2 3 2" xfId="37127"/>
    <cellStyle name="Normal 133 3 2 4 2 4" xfId="22477"/>
    <cellStyle name="Normal 133 3 2 4 2 4 2" xfId="44899"/>
    <cellStyle name="Normal 133 3 2 4 2 5" xfId="30495"/>
    <cellStyle name="Normal 133 3 2 4 3" xfId="8653"/>
    <cellStyle name="Normal 133 3 2 4 3 2" xfId="15364"/>
    <cellStyle name="Normal 133 3 2 4 3 2 2" xfId="38785"/>
    <cellStyle name="Normal 133 3 2 4 3 3" xfId="32153"/>
    <cellStyle name="Normal 133 3 2 4 4" xfId="12046"/>
    <cellStyle name="Normal 133 3 2 4 4 2" xfId="35469"/>
    <cellStyle name="Normal 133 3 2 4 5" xfId="19630"/>
    <cellStyle name="Normal 133 3 2 4 5 2" xfId="42167"/>
    <cellStyle name="Normal 133 3 2 4 6" xfId="28837"/>
    <cellStyle name="Normal 133 3 2 5" xfId="6307"/>
    <cellStyle name="Normal 133 3 2 5 2" xfId="9641"/>
    <cellStyle name="Normal 133 3 2 5 2 2" xfId="16345"/>
    <cellStyle name="Normal 133 3 2 5 2 2 2" xfId="39766"/>
    <cellStyle name="Normal 133 3 2 5 2 3" xfId="33134"/>
    <cellStyle name="Normal 133 3 2 5 3" xfId="13029"/>
    <cellStyle name="Normal 133 3 2 5 3 2" xfId="36450"/>
    <cellStyle name="Normal 133 3 2 5 4" xfId="20793"/>
    <cellStyle name="Normal 133 3 2 5 4 2" xfId="43244"/>
    <cellStyle name="Normal 133 3 2 5 5" xfId="29818"/>
    <cellStyle name="Normal 133 3 2 6" xfId="7973"/>
    <cellStyle name="Normal 133 3 2 6 2" xfId="14687"/>
    <cellStyle name="Normal 133 3 2 6 2 2" xfId="38108"/>
    <cellStyle name="Normal 133 3 2 6 3" xfId="21626"/>
    <cellStyle name="Normal 133 3 2 6 3 2" xfId="44075"/>
    <cellStyle name="Normal 133 3 2 6 4" xfId="31476"/>
    <cellStyle name="Normal 133 3 2 7" xfId="11369"/>
    <cellStyle name="Normal 133 3 2 7 2" xfId="34792"/>
    <cellStyle name="Normal 133 3 2 8" xfId="17993"/>
    <cellStyle name="Normal 133 3 2 8 2" xfId="41298"/>
    <cellStyle name="Normal 133 3 2 9" xfId="23575"/>
    <cellStyle name="Normal 133 3 2 9 2" xfId="45890"/>
    <cellStyle name="Normal 133 3 3" xfId="2236"/>
    <cellStyle name="Normal 133 3 3 2" xfId="5507"/>
    <cellStyle name="Normal 133 3 3 2 2" xfId="7331"/>
    <cellStyle name="Normal 133 3 3 2 2 2" xfId="10662"/>
    <cellStyle name="Normal 133 3 3 2 2 2 2" xfId="17366"/>
    <cellStyle name="Normal 133 3 3 2 2 2 2 2" xfId="40787"/>
    <cellStyle name="Normal 133 3 3 2 2 2 3" xfId="23082"/>
    <cellStyle name="Normal 133 3 3 2 2 2 3 2" xfId="45504"/>
    <cellStyle name="Normal 133 3 3 2 2 2 4" xfId="34155"/>
    <cellStyle name="Normal 133 3 3 2 2 3" xfId="14050"/>
    <cellStyle name="Normal 133 3 3 2 2 3 2" xfId="37471"/>
    <cellStyle name="Normal 133 3 3 2 2 4" xfId="20255"/>
    <cellStyle name="Normal 133 3 3 2 2 4 2" xfId="42790"/>
    <cellStyle name="Normal 133 3 3 2 2 5" xfId="30839"/>
    <cellStyle name="Normal 133 3 3 2 3" xfId="9004"/>
    <cellStyle name="Normal 133 3 3 2 3 2" xfId="15708"/>
    <cellStyle name="Normal 133 3 3 2 3 2 2" xfId="39129"/>
    <cellStyle name="Normal 133 3 3 2 3 3" xfId="21254"/>
    <cellStyle name="Normal 133 3 3 2 3 3 2" xfId="43705"/>
    <cellStyle name="Normal 133 3 3 2 3 4" xfId="32497"/>
    <cellStyle name="Normal 133 3 3 2 4" xfId="12392"/>
    <cellStyle name="Normal 133 3 3 2 4 2" xfId="22268"/>
    <cellStyle name="Normal 133 3 3 2 4 2 2" xfId="44690"/>
    <cellStyle name="Normal 133 3 3 2 4 3" xfId="35813"/>
    <cellStyle name="Normal 133 3 3 2 5" xfId="19416"/>
    <cellStyle name="Normal 133 3 3 2 5 2" xfId="41958"/>
    <cellStyle name="Normal 133 3 3 2 6" xfId="29181"/>
    <cellStyle name="Normal 133 3 3 3" xfId="6427"/>
    <cellStyle name="Normal 133 3 3 3 2" xfId="9761"/>
    <cellStyle name="Normal 133 3 3 3 2 2" xfId="16465"/>
    <cellStyle name="Normal 133 3 3 3 2 2 2" xfId="39886"/>
    <cellStyle name="Normal 133 3 3 3 2 3" xfId="22676"/>
    <cellStyle name="Normal 133 3 3 3 2 3 2" xfId="45098"/>
    <cellStyle name="Normal 133 3 3 3 2 4" xfId="33254"/>
    <cellStyle name="Normal 133 3 3 3 3" xfId="13149"/>
    <cellStyle name="Normal 133 3 3 3 3 2" xfId="36570"/>
    <cellStyle name="Normal 133 3 3 3 4" xfId="19839"/>
    <cellStyle name="Normal 133 3 3 3 4 2" xfId="42374"/>
    <cellStyle name="Normal 133 3 3 3 5" xfId="29938"/>
    <cellStyle name="Normal 133 3 3 4" xfId="8094"/>
    <cellStyle name="Normal 133 3 3 4 2" xfId="14807"/>
    <cellStyle name="Normal 133 3 3 4 2 2" xfId="38228"/>
    <cellStyle name="Normal 133 3 3 4 3" xfId="20795"/>
    <cellStyle name="Normal 133 3 3 4 3 2" xfId="43246"/>
    <cellStyle name="Normal 133 3 3 4 4" xfId="31596"/>
    <cellStyle name="Normal 133 3 3 5" xfId="11489"/>
    <cellStyle name="Normal 133 3 3 5 2" xfId="21836"/>
    <cellStyle name="Normal 133 3 3 5 2 2" xfId="44276"/>
    <cellStyle name="Normal 133 3 3 5 3" xfId="34912"/>
    <cellStyle name="Normal 133 3 3 6" xfId="18608"/>
    <cellStyle name="Normal 133 3 3 6 2" xfId="41533"/>
    <cellStyle name="Normal 133 3 3 7" xfId="25836"/>
    <cellStyle name="Normal 133 3 3 7 2" xfId="48081"/>
    <cellStyle name="Normal 133 3 3 8" xfId="28280"/>
    <cellStyle name="Normal 133 3 4" xfId="2673"/>
    <cellStyle name="Normal 133 3 4 2" xfId="5766"/>
    <cellStyle name="Normal 133 3 4 2 2" xfId="7548"/>
    <cellStyle name="Normal 133 3 4 2 2 2" xfId="10877"/>
    <cellStyle name="Normal 133 3 4 2 2 2 2" xfId="17581"/>
    <cellStyle name="Normal 133 3 4 2 2 2 2 2" xfId="41002"/>
    <cellStyle name="Normal 133 3 4 2 2 2 3" xfId="34370"/>
    <cellStyle name="Normal 133 3 4 2 2 3" xfId="14265"/>
    <cellStyle name="Normal 133 3 4 2 2 3 2" xfId="37686"/>
    <cellStyle name="Normal 133 3 4 2 2 4" xfId="22882"/>
    <cellStyle name="Normal 133 3 4 2 2 4 2" xfId="45304"/>
    <cellStyle name="Normal 133 3 4 2 2 5" xfId="31054"/>
    <cellStyle name="Normal 133 3 4 2 3" xfId="9219"/>
    <cellStyle name="Normal 133 3 4 2 3 2" xfId="15923"/>
    <cellStyle name="Normal 133 3 4 2 3 2 2" xfId="39344"/>
    <cellStyle name="Normal 133 3 4 2 3 3" xfId="32712"/>
    <cellStyle name="Normal 133 3 4 2 4" xfId="12607"/>
    <cellStyle name="Normal 133 3 4 2 4 2" xfId="36028"/>
    <cellStyle name="Normal 133 3 4 2 5" xfId="20047"/>
    <cellStyle name="Normal 133 3 4 2 5 2" xfId="42582"/>
    <cellStyle name="Normal 133 3 4 2 6" xfId="29396"/>
    <cellStyle name="Normal 133 3 4 3" xfId="6649"/>
    <cellStyle name="Normal 133 3 4 3 2" xfId="9981"/>
    <cellStyle name="Normal 133 3 4 3 2 2" xfId="16685"/>
    <cellStyle name="Normal 133 3 4 3 2 2 2" xfId="40106"/>
    <cellStyle name="Normal 133 3 4 3 2 3" xfId="33474"/>
    <cellStyle name="Normal 133 3 4 3 3" xfId="13369"/>
    <cellStyle name="Normal 133 3 4 3 3 2" xfId="36790"/>
    <cellStyle name="Normal 133 3 4 3 4" xfId="21251"/>
    <cellStyle name="Normal 133 3 4 3 4 2" xfId="43702"/>
    <cellStyle name="Normal 133 3 4 3 5" xfId="30158"/>
    <cellStyle name="Normal 133 3 4 4" xfId="8315"/>
    <cellStyle name="Normal 133 3 4 4 2" xfId="15027"/>
    <cellStyle name="Normal 133 3 4 4 2 2" xfId="38448"/>
    <cellStyle name="Normal 133 3 4 4 3" xfId="22055"/>
    <cellStyle name="Normal 133 3 4 4 3 2" xfId="44483"/>
    <cellStyle name="Normal 133 3 4 4 4" xfId="31816"/>
    <cellStyle name="Normal 133 3 4 5" xfId="11709"/>
    <cellStyle name="Normal 133 3 4 5 2" xfId="35132"/>
    <cellStyle name="Normal 133 3 4 6" xfId="19193"/>
    <cellStyle name="Normal 133 3 4 6 2" xfId="41750"/>
    <cellStyle name="Normal 133 3 4 7" xfId="28500"/>
    <cellStyle name="Normal 133 3 5" xfId="3890"/>
    <cellStyle name="Normal 133 3 5 2" xfId="6985"/>
    <cellStyle name="Normal 133 3 5 2 2" xfId="10317"/>
    <cellStyle name="Normal 133 3 5 2 2 2" xfId="17021"/>
    <cellStyle name="Normal 133 3 5 2 2 2 2" xfId="40442"/>
    <cellStyle name="Normal 133 3 5 2 2 3" xfId="33810"/>
    <cellStyle name="Normal 133 3 5 2 3" xfId="13705"/>
    <cellStyle name="Normal 133 3 5 2 3 2" xfId="37126"/>
    <cellStyle name="Normal 133 3 5 2 4" xfId="22476"/>
    <cellStyle name="Normal 133 3 5 2 4 2" xfId="44898"/>
    <cellStyle name="Normal 133 3 5 2 5" xfId="30494"/>
    <cellStyle name="Normal 133 3 5 3" xfId="8652"/>
    <cellStyle name="Normal 133 3 5 3 2" xfId="15363"/>
    <cellStyle name="Normal 133 3 5 3 2 2" xfId="38784"/>
    <cellStyle name="Normal 133 3 5 3 3" xfId="32152"/>
    <cellStyle name="Normal 133 3 5 4" xfId="12045"/>
    <cellStyle name="Normal 133 3 5 4 2" xfId="35468"/>
    <cellStyle name="Normal 133 3 5 5" xfId="19629"/>
    <cellStyle name="Normal 133 3 5 5 2" xfId="42166"/>
    <cellStyle name="Normal 133 3 5 6" xfId="28836"/>
    <cellStyle name="Normal 133 3 6" xfId="6176"/>
    <cellStyle name="Normal 133 3 6 2" xfId="9510"/>
    <cellStyle name="Normal 133 3 6 2 2" xfId="16214"/>
    <cellStyle name="Normal 133 3 6 2 2 2" xfId="39635"/>
    <cellStyle name="Normal 133 3 6 2 3" xfId="33003"/>
    <cellStyle name="Normal 133 3 6 3" xfId="12898"/>
    <cellStyle name="Normal 133 3 6 3 2" xfId="36319"/>
    <cellStyle name="Normal 133 3 6 4" xfId="20792"/>
    <cellStyle name="Normal 133 3 6 4 2" xfId="43243"/>
    <cellStyle name="Normal 133 3 6 5" xfId="29687"/>
    <cellStyle name="Normal 133 3 7" xfId="7842"/>
    <cellStyle name="Normal 133 3 7 2" xfId="14556"/>
    <cellStyle name="Normal 133 3 7 2 2" xfId="37977"/>
    <cellStyle name="Normal 133 3 7 3" xfId="21625"/>
    <cellStyle name="Normal 133 3 7 3 2" xfId="44074"/>
    <cellStyle name="Normal 133 3 7 4" xfId="31345"/>
    <cellStyle name="Normal 133 3 8" xfId="11238"/>
    <cellStyle name="Normal 133 3 8 2" xfId="34661"/>
    <cellStyle name="Normal 133 3 9" xfId="17992"/>
    <cellStyle name="Normal 133 3 9 2" xfId="41297"/>
    <cellStyle name="Normal 133 4" xfId="1730"/>
    <cellStyle name="Normal 133 4 10" xfId="28082"/>
    <cellStyle name="Normal 133 4 2" xfId="2238"/>
    <cellStyle name="Normal 133 4 2 2" xfId="5509"/>
    <cellStyle name="Normal 133 4 2 2 2" xfId="7333"/>
    <cellStyle name="Normal 133 4 2 2 2 2" xfId="10664"/>
    <cellStyle name="Normal 133 4 2 2 2 2 2" xfId="17368"/>
    <cellStyle name="Normal 133 4 2 2 2 2 2 2" xfId="40789"/>
    <cellStyle name="Normal 133 4 2 2 2 2 3" xfId="23084"/>
    <cellStyle name="Normal 133 4 2 2 2 2 3 2" xfId="45506"/>
    <cellStyle name="Normal 133 4 2 2 2 2 4" xfId="34157"/>
    <cellStyle name="Normal 133 4 2 2 2 3" xfId="14052"/>
    <cellStyle name="Normal 133 4 2 2 2 3 2" xfId="37473"/>
    <cellStyle name="Normal 133 4 2 2 2 4" xfId="20257"/>
    <cellStyle name="Normal 133 4 2 2 2 4 2" xfId="42792"/>
    <cellStyle name="Normal 133 4 2 2 2 5" xfId="30841"/>
    <cellStyle name="Normal 133 4 2 2 3" xfId="9006"/>
    <cellStyle name="Normal 133 4 2 2 3 2" xfId="15710"/>
    <cellStyle name="Normal 133 4 2 2 3 2 2" xfId="39131"/>
    <cellStyle name="Normal 133 4 2 2 3 3" xfId="21256"/>
    <cellStyle name="Normal 133 4 2 2 3 3 2" xfId="43707"/>
    <cellStyle name="Normal 133 4 2 2 3 4" xfId="32499"/>
    <cellStyle name="Normal 133 4 2 2 4" xfId="12394"/>
    <cellStyle name="Normal 133 4 2 2 4 2" xfId="22270"/>
    <cellStyle name="Normal 133 4 2 2 4 2 2" xfId="44692"/>
    <cellStyle name="Normal 133 4 2 2 4 3" xfId="35815"/>
    <cellStyle name="Normal 133 4 2 2 5" xfId="19418"/>
    <cellStyle name="Normal 133 4 2 2 5 2" xfId="41960"/>
    <cellStyle name="Normal 133 4 2 2 6" xfId="29183"/>
    <cellStyle name="Normal 133 4 2 3" xfId="6429"/>
    <cellStyle name="Normal 133 4 2 3 2" xfId="9763"/>
    <cellStyle name="Normal 133 4 2 3 2 2" xfId="16467"/>
    <cellStyle name="Normal 133 4 2 3 2 2 2" xfId="39888"/>
    <cellStyle name="Normal 133 4 2 3 2 3" xfId="22678"/>
    <cellStyle name="Normal 133 4 2 3 2 3 2" xfId="45100"/>
    <cellStyle name="Normal 133 4 2 3 2 4" xfId="33256"/>
    <cellStyle name="Normal 133 4 2 3 3" xfId="13151"/>
    <cellStyle name="Normal 133 4 2 3 3 2" xfId="36572"/>
    <cellStyle name="Normal 133 4 2 3 4" xfId="19841"/>
    <cellStyle name="Normal 133 4 2 3 4 2" xfId="42376"/>
    <cellStyle name="Normal 133 4 2 3 5" xfId="29940"/>
    <cellStyle name="Normal 133 4 2 4" xfId="8096"/>
    <cellStyle name="Normal 133 4 2 4 2" xfId="14809"/>
    <cellStyle name="Normal 133 4 2 4 2 2" xfId="38230"/>
    <cellStyle name="Normal 133 4 2 4 3" xfId="20797"/>
    <cellStyle name="Normal 133 4 2 4 3 2" xfId="43248"/>
    <cellStyle name="Normal 133 4 2 4 4" xfId="31598"/>
    <cellStyle name="Normal 133 4 2 5" xfId="11491"/>
    <cellStyle name="Normal 133 4 2 5 2" xfId="21838"/>
    <cellStyle name="Normal 133 4 2 5 2 2" xfId="44278"/>
    <cellStyle name="Normal 133 4 2 5 3" xfId="34914"/>
    <cellStyle name="Normal 133 4 2 6" xfId="18610"/>
    <cellStyle name="Normal 133 4 2 6 2" xfId="41535"/>
    <cellStyle name="Normal 133 4 2 7" xfId="25838"/>
    <cellStyle name="Normal 133 4 2 7 2" xfId="48083"/>
    <cellStyle name="Normal 133 4 2 8" xfId="28282"/>
    <cellStyle name="Normal 133 4 3" xfId="2727"/>
    <cellStyle name="Normal 133 4 3 2" xfId="5819"/>
    <cellStyle name="Normal 133 4 3 2 2" xfId="7601"/>
    <cellStyle name="Normal 133 4 3 2 2 2" xfId="10930"/>
    <cellStyle name="Normal 133 4 3 2 2 2 2" xfId="17634"/>
    <cellStyle name="Normal 133 4 3 2 2 2 2 2" xfId="41055"/>
    <cellStyle name="Normal 133 4 3 2 2 2 3" xfId="34423"/>
    <cellStyle name="Normal 133 4 3 2 2 3" xfId="14318"/>
    <cellStyle name="Normal 133 4 3 2 2 3 2" xfId="37739"/>
    <cellStyle name="Normal 133 4 3 2 2 4" xfId="22884"/>
    <cellStyle name="Normal 133 4 3 2 2 4 2" xfId="45306"/>
    <cellStyle name="Normal 133 4 3 2 2 5" xfId="31107"/>
    <cellStyle name="Normal 133 4 3 2 3" xfId="9272"/>
    <cellStyle name="Normal 133 4 3 2 3 2" xfId="15976"/>
    <cellStyle name="Normal 133 4 3 2 3 2 2" xfId="39397"/>
    <cellStyle name="Normal 133 4 3 2 3 3" xfId="32765"/>
    <cellStyle name="Normal 133 4 3 2 4" xfId="12660"/>
    <cellStyle name="Normal 133 4 3 2 4 2" xfId="36081"/>
    <cellStyle name="Normal 133 4 3 2 5" xfId="20049"/>
    <cellStyle name="Normal 133 4 3 2 5 2" xfId="42584"/>
    <cellStyle name="Normal 133 4 3 2 6" xfId="29449"/>
    <cellStyle name="Normal 133 4 3 3" xfId="6702"/>
    <cellStyle name="Normal 133 4 3 3 2" xfId="10034"/>
    <cellStyle name="Normal 133 4 3 3 2 2" xfId="16738"/>
    <cellStyle name="Normal 133 4 3 3 2 2 2" xfId="40159"/>
    <cellStyle name="Normal 133 4 3 3 2 3" xfId="33527"/>
    <cellStyle name="Normal 133 4 3 3 3" xfId="13422"/>
    <cellStyle name="Normal 133 4 3 3 3 2" xfId="36843"/>
    <cellStyle name="Normal 133 4 3 3 4" xfId="21255"/>
    <cellStyle name="Normal 133 4 3 3 4 2" xfId="43706"/>
    <cellStyle name="Normal 133 4 3 3 5" xfId="30211"/>
    <cellStyle name="Normal 133 4 3 4" xfId="8368"/>
    <cellStyle name="Normal 133 4 3 4 2" xfId="15080"/>
    <cellStyle name="Normal 133 4 3 4 2 2" xfId="38501"/>
    <cellStyle name="Normal 133 4 3 4 3" xfId="22057"/>
    <cellStyle name="Normal 133 4 3 4 3 2" xfId="44485"/>
    <cellStyle name="Normal 133 4 3 4 4" xfId="31869"/>
    <cellStyle name="Normal 133 4 3 5" xfId="11762"/>
    <cellStyle name="Normal 133 4 3 5 2" xfId="35185"/>
    <cellStyle name="Normal 133 4 3 6" xfId="19195"/>
    <cellStyle name="Normal 133 4 3 6 2" xfId="41752"/>
    <cellStyle name="Normal 133 4 3 7" xfId="28553"/>
    <cellStyle name="Normal 133 4 4" xfId="3892"/>
    <cellStyle name="Normal 133 4 4 2" xfId="6987"/>
    <cellStyle name="Normal 133 4 4 2 2" xfId="10319"/>
    <cellStyle name="Normal 133 4 4 2 2 2" xfId="17023"/>
    <cellStyle name="Normal 133 4 4 2 2 2 2" xfId="40444"/>
    <cellStyle name="Normal 133 4 4 2 2 3" xfId="33812"/>
    <cellStyle name="Normal 133 4 4 2 3" xfId="13707"/>
    <cellStyle name="Normal 133 4 4 2 3 2" xfId="37128"/>
    <cellStyle name="Normal 133 4 4 2 4" xfId="22478"/>
    <cellStyle name="Normal 133 4 4 2 4 2" xfId="44900"/>
    <cellStyle name="Normal 133 4 4 2 5" xfId="30496"/>
    <cellStyle name="Normal 133 4 4 3" xfId="8654"/>
    <cellStyle name="Normal 133 4 4 3 2" xfId="15365"/>
    <cellStyle name="Normal 133 4 4 3 2 2" xfId="38786"/>
    <cellStyle name="Normal 133 4 4 3 3" xfId="32154"/>
    <cellStyle name="Normal 133 4 4 4" xfId="12047"/>
    <cellStyle name="Normal 133 4 4 4 2" xfId="35470"/>
    <cellStyle name="Normal 133 4 4 5" xfId="19631"/>
    <cellStyle name="Normal 133 4 4 5 2" xfId="42168"/>
    <cellStyle name="Normal 133 4 4 6" xfId="28838"/>
    <cellStyle name="Normal 133 4 5" xfId="6229"/>
    <cellStyle name="Normal 133 4 5 2" xfId="9563"/>
    <cellStyle name="Normal 133 4 5 2 2" xfId="16267"/>
    <cellStyle name="Normal 133 4 5 2 2 2" xfId="39688"/>
    <cellStyle name="Normal 133 4 5 2 3" xfId="33056"/>
    <cellStyle name="Normal 133 4 5 3" xfId="12951"/>
    <cellStyle name="Normal 133 4 5 3 2" xfId="36372"/>
    <cellStyle name="Normal 133 4 5 4" xfId="20796"/>
    <cellStyle name="Normal 133 4 5 4 2" xfId="43247"/>
    <cellStyle name="Normal 133 4 5 5" xfId="29740"/>
    <cellStyle name="Normal 133 4 6" xfId="7895"/>
    <cellStyle name="Normal 133 4 6 2" xfId="14609"/>
    <cellStyle name="Normal 133 4 6 2 2" xfId="38030"/>
    <cellStyle name="Normal 133 4 6 3" xfId="21627"/>
    <cellStyle name="Normal 133 4 6 3 2" xfId="44076"/>
    <cellStyle name="Normal 133 4 6 4" xfId="31398"/>
    <cellStyle name="Normal 133 4 7" xfId="11291"/>
    <cellStyle name="Normal 133 4 7 2" xfId="34714"/>
    <cellStyle name="Normal 133 4 8" xfId="17994"/>
    <cellStyle name="Normal 133 4 8 2" xfId="41299"/>
    <cellStyle name="Normal 133 4 9" xfId="23576"/>
    <cellStyle name="Normal 133 4 9 2" xfId="45891"/>
    <cellStyle name="Normal 133 5" xfId="2231"/>
    <cellStyle name="Normal 133 5 2" xfId="5502"/>
    <cellStyle name="Normal 133 5 2 2" xfId="7326"/>
    <cellStyle name="Normal 133 5 2 2 2" xfId="10657"/>
    <cellStyle name="Normal 133 5 2 2 2 2" xfId="17361"/>
    <cellStyle name="Normal 133 5 2 2 2 2 2" xfId="40782"/>
    <cellStyle name="Normal 133 5 2 2 2 3" xfId="23077"/>
    <cellStyle name="Normal 133 5 2 2 2 3 2" xfId="45499"/>
    <cellStyle name="Normal 133 5 2 2 2 4" xfId="34150"/>
    <cellStyle name="Normal 133 5 2 2 3" xfId="14045"/>
    <cellStyle name="Normal 133 5 2 2 3 2" xfId="37466"/>
    <cellStyle name="Normal 133 5 2 2 4" xfId="20250"/>
    <cellStyle name="Normal 133 5 2 2 4 2" xfId="42785"/>
    <cellStyle name="Normal 133 5 2 2 5" xfId="30834"/>
    <cellStyle name="Normal 133 5 2 3" xfId="8999"/>
    <cellStyle name="Normal 133 5 2 3 2" xfId="15703"/>
    <cellStyle name="Normal 133 5 2 3 2 2" xfId="39124"/>
    <cellStyle name="Normal 133 5 2 3 3" xfId="21257"/>
    <cellStyle name="Normal 133 5 2 3 3 2" xfId="43708"/>
    <cellStyle name="Normal 133 5 2 3 4" xfId="32492"/>
    <cellStyle name="Normal 133 5 2 4" xfId="12387"/>
    <cellStyle name="Normal 133 5 2 4 2" xfId="22263"/>
    <cellStyle name="Normal 133 5 2 4 2 2" xfId="44685"/>
    <cellStyle name="Normal 133 5 2 4 3" xfId="35808"/>
    <cellStyle name="Normal 133 5 2 5" xfId="19411"/>
    <cellStyle name="Normal 133 5 2 5 2" xfId="41953"/>
    <cellStyle name="Normal 133 5 2 6" xfId="25831"/>
    <cellStyle name="Normal 133 5 2 6 2" xfId="48076"/>
    <cellStyle name="Normal 133 5 2 7" xfId="29176"/>
    <cellStyle name="Normal 133 5 3" xfId="6422"/>
    <cellStyle name="Normal 133 5 3 2" xfId="9756"/>
    <cellStyle name="Normal 133 5 3 2 2" xfId="16460"/>
    <cellStyle name="Normal 133 5 3 2 2 2" xfId="39881"/>
    <cellStyle name="Normal 133 5 3 2 3" xfId="22671"/>
    <cellStyle name="Normal 133 5 3 2 3 2" xfId="45093"/>
    <cellStyle name="Normal 133 5 3 2 4" xfId="33249"/>
    <cellStyle name="Normal 133 5 3 3" xfId="13144"/>
    <cellStyle name="Normal 133 5 3 3 2" xfId="36565"/>
    <cellStyle name="Normal 133 5 3 4" xfId="19834"/>
    <cellStyle name="Normal 133 5 3 4 2" xfId="42369"/>
    <cellStyle name="Normal 133 5 3 5" xfId="29933"/>
    <cellStyle name="Normal 133 5 4" xfId="8089"/>
    <cellStyle name="Normal 133 5 4 2" xfId="14802"/>
    <cellStyle name="Normal 133 5 4 2 2" xfId="38223"/>
    <cellStyle name="Normal 133 5 4 3" xfId="20798"/>
    <cellStyle name="Normal 133 5 4 3 2" xfId="43249"/>
    <cellStyle name="Normal 133 5 4 4" xfId="31591"/>
    <cellStyle name="Normal 133 5 5" xfId="11484"/>
    <cellStyle name="Normal 133 5 5 2" xfId="21831"/>
    <cellStyle name="Normal 133 5 5 2 2" xfId="44271"/>
    <cellStyle name="Normal 133 5 5 3" xfId="34907"/>
    <cellStyle name="Normal 133 5 6" xfId="18603"/>
    <cellStyle name="Normal 133 5 6 2" xfId="41528"/>
    <cellStyle name="Normal 133 5 7" xfId="23445"/>
    <cellStyle name="Normal 133 5 7 2" xfId="45784"/>
    <cellStyle name="Normal 133 5 8" xfId="28275"/>
    <cellStyle name="Normal 133 6" xfId="2594"/>
    <cellStyle name="Normal 133 6 2" xfId="5688"/>
    <cellStyle name="Normal 133 6 2 2" xfId="7471"/>
    <cellStyle name="Normal 133 6 2 2 2" xfId="10800"/>
    <cellStyle name="Normal 133 6 2 2 2 2" xfId="17504"/>
    <cellStyle name="Normal 133 6 2 2 2 2 2" xfId="40925"/>
    <cellStyle name="Normal 133 6 2 2 2 3" xfId="34293"/>
    <cellStyle name="Normal 133 6 2 2 3" xfId="14188"/>
    <cellStyle name="Normal 133 6 2 2 3 2" xfId="37609"/>
    <cellStyle name="Normal 133 6 2 2 4" xfId="20587"/>
    <cellStyle name="Normal 133 6 2 2 4 2" xfId="43038"/>
    <cellStyle name="Normal 133 6 2 2 5" xfId="30977"/>
    <cellStyle name="Normal 133 6 2 3" xfId="9142"/>
    <cellStyle name="Normal 133 6 2 3 2" xfId="15846"/>
    <cellStyle name="Normal 133 6 2 3 2 2" xfId="39267"/>
    <cellStyle name="Normal 133 6 2 3 3" xfId="21505"/>
    <cellStyle name="Normal 133 6 2 3 3 2" xfId="43956"/>
    <cellStyle name="Normal 133 6 2 3 4" xfId="32635"/>
    <cellStyle name="Normal 133 6 2 4" xfId="12530"/>
    <cellStyle name="Normal 133 6 2 4 2" xfId="22877"/>
    <cellStyle name="Normal 133 6 2 4 2 2" xfId="45299"/>
    <cellStyle name="Normal 133 6 2 4 3" xfId="35951"/>
    <cellStyle name="Normal 133 6 2 5" xfId="20042"/>
    <cellStyle name="Normal 133 6 2 5 2" xfId="42577"/>
    <cellStyle name="Normal 133 6 2 6" xfId="29319"/>
    <cellStyle name="Normal 133 6 3" xfId="6571"/>
    <cellStyle name="Normal 133 6 3 2" xfId="9903"/>
    <cellStyle name="Normal 133 6 3 2 2" xfId="16607"/>
    <cellStyle name="Normal 133 6 3 2 2 2" xfId="40028"/>
    <cellStyle name="Normal 133 6 3 2 3" xfId="33396"/>
    <cellStyle name="Normal 133 6 3 3" xfId="13291"/>
    <cellStyle name="Normal 133 6 3 3 2" xfId="36712"/>
    <cellStyle name="Normal 133 6 3 4" xfId="20489"/>
    <cellStyle name="Normal 133 6 3 4 2" xfId="42942"/>
    <cellStyle name="Normal 133 6 3 5" xfId="30080"/>
    <cellStyle name="Normal 133 6 4" xfId="8237"/>
    <cellStyle name="Normal 133 6 4 2" xfId="14949"/>
    <cellStyle name="Normal 133 6 4 2 2" xfId="38370"/>
    <cellStyle name="Normal 133 6 4 3" xfId="21046"/>
    <cellStyle name="Normal 133 6 4 3 2" xfId="43497"/>
    <cellStyle name="Normal 133 6 4 4" xfId="31738"/>
    <cellStyle name="Normal 133 6 5" xfId="11631"/>
    <cellStyle name="Normal 133 6 5 2" xfId="22050"/>
    <cellStyle name="Normal 133 6 5 2 2" xfId="44478"/>
    <cellStyle name="Normal 133 6 5 3" xfId="35054"/>
    <cellStyle name="Normal 133 6 6" xfId="19188"/>
    <cellStyle name="Normal 133 6 6 2" xfId="41745"/>
    <cellStyle name="Normal 133 6 7" xfId="28422"/>
    <cellStyle name="Normal 133 7" xfId="3885"/>
    <cellStyle name="Normal 133 7 2" xfId="6980"/>
    <cellStyle name="Normal 133 7 2 2" xfId="10312"/>
    <cellStyle name="Normal 133 7 2 2 2" xfId="17016"/>
    <cellStyle name="Normal 133 7 2 2 2 2" xfId="40437"/>
    <cellStyle name="Normal 133 7 2 2 3" xfId="33805"/>
    <cellStyle name="Normal 133 7 2 3" xfId="13700"/>
    <cellStyle name="Normal 133 7 2 3 2" xfId="37121"/>
    <cellStyle name="Normal 133 7 2 4" xfId="20535"/>
    <cellStyle name="Normal 133 7 2 4 2" xfId="42988"/>
    <cellStyle name="Normal 133 7 2 5" xfId="30489"/>
    <cellStyle name="Normal 133 7 3" xfId="8647"/>
    <cellStyle name="Normal 133 7 3 2" xfId="15358"/>
    <cellStyle name="Normal 133 7 3 2 2" xfId="38779"/>
    <cellStyle name="Normal 133 7 3 3" xfId="21242"/>
    <cellStyle name="Normal 133 7 3 3 2" xfId="43693"/>
    <cellStyle name="Normal 133 7 3 4" xfId="32147"/>
    <cellStyle name="Normal 133 7 4" xfId="12040"/>
    <cellStyle name="Normal 133 7 4 2" xfId="22471"/>
    <cellStyle name="Normal 133 7 4 2 2" xfId="44893"/>
    <cellStyle name="Normal 133 7 4 3" xfId="35463"/>
    <cellStyle name="Normal 133 7 5" xfId="19624"/>
    <cellStyle name="Normal 133 7 5 2" xfId="42161"/>
    <cellStyle name="Normal 133 7 6" xfId="28831"/>
    <cellStyle name="Normal 133 8" xfId="6098"/>
    <cellStyle name="Normal 133 8 2" xfId="9432"/>
    <cellStyle name="Normal 133 8 2 2" xfId="16136"/>
    <cellStyle name="Normal 133 8 2 2 2" xfId="39557"/>
    <cellStyle name="Normal 133 8 2 3" xfId="32925"/>
    <cellStyle name="Normal 133 8 3" xfId="12820"/>
    <cellStyle name="Normal 133 8 3 2" xfId="36241"/>
    <cellStyle name="Normal 133 8 4" xfId="17855"/>
    <cellStyle name="Normal 133 8 4 2" xfId="41205"/>
    <cellStyle name="Normal 133 8 5" xfId="29609"/>
    <cellStyle name="Normal 133 9" xfId="7763"/>
    <cellStyle name="Normal 133 9 2" xfId="14478"/>
    <cellStyle name="Normal 133 9 2 2" xfId="37899"/>
    <cellStyle name="Normal 133 9 3" xfId="20783"/>
    <cellStyle name="Normal 133 9 3 2" xfId="43234"/>
    <cellStyle name="Normal 133 9 4" xfId="31267"/>
    <cellStyle name="Normal 134" xfId="1412"/>
    <cellStyle name="Normal 134 2" xfId="18611"/>
    <cellStyle name="Normal 135" xfId="1415"/>
    <cellStyle name="Normal 135 2" xfId="18612"/>
    <cellStyle name="Normal 136" xfId="1413"/>
    <cellStyle name="Normal 136 2" xfId="18613"/>
    <cellStyle name="Normal 137" xfId="1414"/>
    <cellStyle name="Normal 137 2" xfId="18614"/>
    <cellStyle name="Normal 138" xfId="1424"/>
    <cellStyle name="Normal 138 2" xfId="18615"/>
    <cellStyle name="Normal 138 3" xfId="23352"/>
    <cellStyle name="Normal 139" xfId="1427"/>
    <cellStyle name="Normal 139 2" xfId="18616"/>
    <cellStyle name="Normal 14" xfId="466"/>
    <cellStyle name="Normal 14 2" xfId="467"/>
    <cellStyle name="Normal 14 2 2" xfId="3893"/>
    <cellStyle name="Normal 14 3" xfId="853"/>
    <cellStyle name="Normal 14 3 2" xfId="3894"/>
    <cellStyle name="Normal 14 4" xfId="854"/>
    <cellStyle name="Normal 14 4 2" xfId="3895"/>
    <cellStyle name="Normal 14 4 2 2" xfId="18618"/>
    <cellStyle name="Normal 14 5" xfId="18617"/>
    <cellStyle name="Normal 140" xfId="1426"/>
    <cellStyle name="Normal 140 2" xfId="18619"/>
    <cellStyle name="Normal 141" xfId="1425"/>
    <cellStyle name="Normal 141 2" xfId="18620"/>
    <cellStyle name="Normal 142" xfId="1464"/>
    <cellStyle name="Normal 142 10" xfId="23580"/>
    <cellStyle name="Normal 142 10 2" xfId="45892"/>
    <cellStyle name="Normal 142 11" xfId="28000"/>
    <cellStyle name="Normal 142 2" xfId="1592"/>
    <cellStyle name="Normal 142 2 2" xfId="18622"/>
    <cellStyle name="Normal 142 3" xfId="1779"/>
    <cellStyle name="Normal 142 3 10" xfId="28131"/>
    <cellStyle name="Normal 142 3 2" xfId="2239"/>
    <cellStyle name="Normal 142 3 2 2" xfId="5510"/>
    <cellStyle name="Normal 142 3 2 2 2" xfId="7334"/>
    <cellStyle name="Normal 142 3 2 2 2 2" xfId="10665"/>
    <cellStyle name="Normal 142 3 2 2 2 2 2" xfId="17369"/>
    <cellStyle name="Normal 142 3 2 2 2 2 2 2" xfId="40790"/>
    <cellStyle name="Normal 142 3 2 2 2 2 3" xfId="23085"/>
    <cellStyle name="Normal 142 3 2 2 2 2 3 2" xfId="45507"/>
    <cellStyle name="Normal 142 3 2 2 2 2 4" xfId="34158"/>
    <cellStyle name="Normal 142 3 2 2 2 3" xfId="14053"/>
    <cellStyle name="Normal 142 3 2 2 2 3 2" xfId="37474"/>
    <cellStyle name="Normal 142 3 2 2 2 4" xfId="20258"/>
    <cellStyle name="Normal 142 3 2 2 2 4 2" xfId="42793"/>
    <cellStyle name="Normal 142 3 2 2 2 5" xfId="30842"/>
    <cellStyle name="Normal 142 3 2 2 3" xfId="9007"/>
    <cellStyle name="Normal 142 3 2 2 3 2" xfId="15711"/>
    <cellStyle name="Normal 142 3 2 2 3 2 2" xfId="39132"/>
    <cellStyle name="Normal 142 3 2 2 3 3" xfId="21259"/>
    <cellStyle name="Normal 142 3 2 2 3 3 2" xfId="43710"/>
    <cellStyle name="Normal 142 3 2 2 3 4" xfId="32500"/>
    <cellStyle name="Normal 142 3 2 2 4" xfId="12395"/>
    <cellStyle name="Normal 142 3 2 2 4 2" xfId="22271"/>
    <cellStyle name="Normal 142 3 2 2 4 2 2" xfId="44693"/>
    <cellStyle name="Normal 142 3 2 2 4 3" xfId="35816"/>
    <cellStyle name="Normal 142 3 2 2 5" xfId="19419"/>
    <cellStyle name="Normal 142 3 2 2 5 2" xfId="41961"/>
    <cellStyle name="Normal 142 3 2 2 6" xfId="29184"/>
    <cellStyle name="Normal 142 3 2 3" xfId="6430"/>
    <cellStyle name="Normal 142 3 2 3 2" xfId="9764"/>
    <cellStyle name="Normal 142 3 2 3 2 2" xfId="16468"/>
    <cellStyle name="Normal 142 3 2 3 2 2 2" xfId="39889"/>
    <cellStyle name="Normal 142 3 2 3 2 3" xfId="22679"/>
    <cellStyle name="Normal 142 3 2 3 2 3 2" xfId="45101"/>
    <cellStyle name="Normal 142 3 2 3 2 4" xfId="33257"/>
    <cellStyle name="Normal 142 3 2 3 3" xfId="13152"/>
    <cellStyle name="Normal 142 3 2 3 3 2" xfId="36573"/>
    <cellStyle name="Normal 142 3 2 3 4" xfId="19842"/>
    <cellStyle name="Normal 142 3 2 3 4 2" xfId="42377"/>
    <cellStyle name="Normal 142 3 2 3 5" xfId="29941"/>
    <cellStyle name="Normal 142 3 2 4" xfId="8097"/>
    <cellStyle name="Normal 142 3 2 4 2" xfId="14810"/>
    <cellStyle name="Normal 142 3 2 4 2 2" xfId="38231"/>
    <cellStyle name="Normal 142 3 2 4 3" xfId="20800"/>
    <cellStyle name="Normal 142 3 2 4 3 2" xfId="43251"/>
    <cellStyle name="Normal 142 3 2 4 4" xfId="31599"/>
    <cellStyle name="Normal 142 3 2 5" xfId="11492"/>
    <cellStyle name="Normal 142 3 2 5 2" xfId="21840"/>
    <cellStyle name="Normal 142 3 2 5 2 2" xfId="44279"/>
    <cellStyle name="Normal 142 3 2 5 3" xfId="34915"/>
    <cellStyle name="Normal 142 3 2 6" xfId="18623"/>
    <cellStyle name="Normal 142 3 2 6 2" xfId="41536"/>
    <cellStyle name="Normal 142 3 2 7" xfId="25840"/>
    <cellStyle name="Normal 142 3 2 7 2" xfId="48085"/>
    <cellStyle name="Normal 142 3 2 8" xfId="28283"/>
    <cellStyle name="Normal 142 3 3" xfId="2776"/>
    <cellStyle name="Normal 142 3 3 2" xfId="5868"/>
    <cellStyle name="Normal 142 3 3 2 2" xfId="7650"/>
    <cellStyle name="Normal 142 3 3 2 2 2" xfId="10979"/>
    <cellStyle name="Normal 142 3 3 2 2 2 2" xfId="17683"/>
    <cellStyle name="Normal 142 3 3 2 2 2 2 2" xfId="41104"/>
    <cellStyle name="Normal 142 3 3 2 2 2 3" xfId="34472"/>
    <cellStyle name="Normal 142 3 3 2 2 3" xfId="14367"/>
    <cellStyle name="Normal 142 3 3 2 2 3 2" xfId="37788"/>
    <cellStyle name="Normal 142 3 3 2 2 4" xfId="22885"/>
    <cellStyle name="Normal 142 3 3 2 2 4 2" xfId="45307"/>
    <cellStyle name="Normal 142 3 3 2 2 5" xfId="31156"/>
    <cellStyle name="Normal 142 3 3 2 3" xfId="9321"/>
    <cellStyle name="Normal 142 3 3 2 3 2" xfId="16025"/>
    <cellStyle name="Normal 142 3 3 2 3 2 2" xfId="39446"/>
    <cellStyle name="Normal 142 3 3 2 3 3" xfId="32814"/>
    <cellStyle name="Normal 142 3 3 2 4" xfId="12709"/>
    <cellStyle name="Normal 142 3 3 2 4 2" xfId="36130"/>
    <cellStyle name="Normal 142 3 3 2 5" xfId="20050"/>
    <cellStyle name="Normal 142 3 3 2 5 2" xfId="42585"/>
    <cellStyle name="Normal 142 3 3 2 6" xfId="29498"/>
    <cellStyle name="Normal 142 3 3 3" xfId="6751"/>
    <cellStyle name="Normal 142 3 3 3 2" xfId="10083"/>
    <cellStyle name="Normal 142 3 3 3 2 2" xfId="16787"/>
    <cellStyle name="Normal 142 3 3 3 2 2 2" xfId="40208"/>
    <cellStyle name="Normal 142 3 3 3 2 3" xfId="33576"/>
    <cellStyle name="Normal 142 3 3 3 3" xfId="13471"/>
    <cellStyle name="Normal 142 3 3 3 3 2" xfId="36892"/>
    <cellStyle name="Normal 142 3 3 3 4" xfId="21258"/>
    <cellStyle name="Normal 142 3 3 3 4 2" xfId="43709"/>
    <cellStyle name="Normal 142 3 3 3 5" xfId="30260"/>
    <cellStyle name="Normal 142 3 3 4" xfId="8417"/>
    <cellStyle name="Normal 142 3 3 4 2" xfId="15129"/>
    <cellStyle name="Normal 142 3 3 4 2 2" xfId="38550"/>
    <cellStyle name="Normal 142 3 3 4 3" xfId="22058"/>
    <cellStyle name="Normal 142 3 3 4 3 2" xfId="44486"/>
    <cellStyle name="Normal 142 3 3 4 4" xfId="31918"/>
    <cellStyle name="Normal 142 3 3 5" xfId="11811"/>
    <cellStyle name="Normal 142 3 3 5 2" xfId="35234"/>
    <cellStyle name="Normal 142 3 3 6" xfId="19196"/>
    <cellStyle name="Normal 142 3 3 6 2" xfId="41753"/>
    <cellStyle name="Normal 142 3 3 7" xfId="28602"/>
    <cellStyle name="Normal 142 3 4" xfId="3897"/>
    <cellStyle name="Normal 142 3 4 2" xfId="6989"/>
    <cellStyle name="Normal 142 3 4 2 2" xfId="10321"/>
    <cellStyle name="Normal 142 3 4 2 2 2" xfId="17025"/>
    <cellStyle name="Normal 142 3 4 2 2 2 2" xfId="40446"/>
    <cellStyle name="Normal 142 3 4 2 2 3" xfId="33814"/>
    <cellStyle name="Normal 142 3 4 2 3" xfId="13709"/>
    <cellStyle name="Normal 142 3 4 2 3 2" xfId="37130"/>
    <cellStyle name="Normal 142 3 4 2 4" xfId="22479"/>
    <cellStyle name="Normal 142 3 4 2 4 2" xfId="44901"/>
    <cellStyle name="Normal 142 3 4 2 5" xfId="30498"/>
    <cellStyle name="Normal 142 3 4 3" xfId="8656"/>
    <cellStyle name="Normal 142 3 4 3 2" xfId="15367"/>
    <cellStyle name="Normal 142 3 4 3 2 2" xfId="38788"/>
    <cellStyle name="Normal 142 3 4 3 3" xfId="32156"/>
    <cellStyle name="Normal 142 3 4 4" xfId="12049"/>
    <cellStyle name="Normal 142 3 4 4 2" xfId="35472"/>
    <cellStyle name="Normal 142 3 4 5" xfId="19632"/>
    <cellStyle name="Normal 142 3 4 5 2" xfId="42169"/>
    <cellStyle name="Normal 142 3 4 6" xfId="28840"/>
    <cellStyle name="Normal 142 3 5" xfId="6278"/>
    <cellStyle name="Normal 142 3 5 2" xfId="9612"/>
    <cellStyle name="Normal 142 3 5 2 2" xfId="16316"/>
    <cellStyle name="Normal 142 3 5 2 2 2" xfId="39737"/>
    <cellStyle name="Normal 142 3 5 2 3" xfId="33105"/>
    <cellStyle name="Normal 142 3 5 3" xfId="13000"/>
    <cellStyle name="Normal 142 3 5 3 2" xfId="36421"/>
    <cellStyle name="Normal 142 3 5 4" xfId="20799"/>
    <cellStyle name="Normal 142 3 5 4 2" xfId="43250"/>
    <cellStyle name="Normal 142 3 5 5" xfId="29789"/>
    <cellStyle name="Normal 142 3 6" xfId="7944"/>
    <cellStyle name="Normal 142 3 6 2" xfId="14658"/>
    <cellStyle name="Normal 142 3 6 2 2" xfId="38079"/>
    <cellStyle name="Normal 142 3 6 3" xfId="21628"/>
    <cellStyle name="Normal 142 3 6 3 2" xfId="44077"/>
    <cellStyle name="Normal 142 3 6 4" xfId="31447"/>
    <cellStyle name="Normal 142 3 7" xfId="11340"/>
    <cellStyle name="Normal 142 3 7 2" xfId="34763"/>
    <cellStyle name="Normal 142 3 8" xfId="17995"/>
    <cellStyle name="Normal 142 3 8 2" xfId="41300"/>
    <cellStyle name="Normal 142 3 9" xfId="23581"/>
    <cellStyle name="Normal 142 3 9 2" xfId="45893"/>
    <cellStyle name="Normal 142 4" xfId="2240"/>
    <cellStyle name="Normal 142 4 2" xfId="5511"/>
    <cellStyle name="Normal 142 4 2 2" xfId="7335"/>
    <cellStyle name="Normal 142 4 2 2 2" xfId="10666"/>
    <cellStyle name="Normal 142 4 2 2 2 2" xfId="17370"/>
    <cellStyle name="Normal 142 4 2 2 2 2 2" xfId="40791"/>
    <cellStyle name="Normal 142 4 2 2 2 3" xfId="20259"/>
    <cellStyle name="Normal 142 4 2 2 2 3 2" xfId="42794"/>
    <cellStyle name="Normal 142 4 2 2 2 4" xfId="34159"/>
    <cellStyle name="Normal 142 4 2 2 3" xfId="14054"/>
    <cellStyle name="Normal 142 4 2 2 3 2" xfId="22272"/>
    <cellStyle name="Normal 142 4 2 2 3 2 2" xfId="44694"/>
    <cellStyle name="Normal 142 4 2 2 3 3" xfId="37475"/>
    <cellStyle name="Normal 142 4 2 2 4" xfId="19420"/>
    <cellStyle name="Normal 142 4 2 2 4 2" xfId="41962"/>
    <cellStyle name="Normal 142 4 2 2 5" xfId="30843"/>
    <cellStyle name="Normal 142 4 2 3" xfId="9008"/>
    <cellStyle name="Normal 142 4 2 3 2" xfId="15712"/>
    <cellStyle name="Normal 142 4 2 3 2 2" xfId="22680"/>
    <cellStyle name="Normal 142 4 2 3 2 2 2" xfId="45102"/>
    <cellStyle name="Normal 142 4 2 3 2 3" xfId="39133"/>
    <cellStyle name="Normal 142 4 2 3 3" xfId="19843"/>
    <cellStyle name="Normal 142 4 2 3 3 2" xfId="42378"/>
    <cellStyle name="Normal 142 4 2 3 4" xfId="32501"/>
    <cellStyle name="Normal 142 4 2 4" xfId="12396"/>
    <cellStyle name="Normal 142 4 2 4 2" xfId="21841"/>
    <cellStyle name="Normal 142 4 2 4 2 2" xfId="44280"/>
    <cellStyle name="Normal 142 4 2 4 3" xfId="35817"/>
    <cellStyle name="Normal 142 4 2 5" xfId="18624"/>
    <cellStyle name="Normal 142 4 2 5 2" xfId="41537"/>
    <cellStyle name="Normal 142 4 2 6" xfId="29185"/>
    <cellStyle name="Normal 142 4 3" xfId="6431"/>
    <cellStyle name="Normal 142 4 3 2" xfId="9765"/>
    <cellStyle name="Normal 142 4 3 2 2" xfId="16469"/>
    <cellStyle name="Normal 142 4 3 2 2 2" xfId="39890"/>
    <cellStyle name="Normal 142 4 3 2 3" xfId="20051"/>
    <cellStyle name="Normal 142 4 3 2 3 2" xfId="42586"/>
    <cellStyle name="Normal 142 4 3 2 4" xfId="33258"/>
    <cellStyle name="Normal 142 4 3 3" xfId="13153"/>
    <cellStyle name="Normal 142 4 3 3 2" xfId="22059"/>
    <cellStyle name="Normal 142 4 3 3 2 2" xfId="44487"/>
    <cellStyle name="Normal 142 4 3 3 3" xfId="36574"/>
    <cellStyle name="Normal 142 4 3 4" xfId="19197"/>
    <cellStyle name="Normal 142 4 3 4 2" xfId="41754"/>
    <cellStyle name="Normal 142 4 3 5" xfId="29942"/>
    <cellStyle name="Normal 142 4 4" xfId="8098"/>
    <cellStyle name="Normal 142 4 4 2" xfId="14811"/>
    <cellStyle name="Normal 142 4 4 2 2" xfId="22480"/>
    <cellStyle name="Normal 142 4 4 2 2 2" xfId="44902"/>
    <cellStyle name="Normal 142 4 4 2 3" xfId="38232"/>
    <cellStyle name="Normal 142 4 4 3" xfId="19633"/>
    <cellStyle name="Normal 142 4 4 3 2" xfId="42170"/>
    <cellStyle name="Normal 142 4 4 4" xfId="31600"/>
    <cellStyle name="Normal 142 4 5" xfId="11493"/>
    <cellStyle name="Normal 142 4 5 2" xfId="21629"/>
    <cellStyle name="Normal 142 4 5 2 2" xfId="44078"/>
    <cellStyle name="Normal 142 4 5 3" xfId="34916"/>
    <cellStyle name="Normal 142 4 6" xfId="17996"/>
    <cellStyle name="Normal 142 4 6 2" xfId="41301"/>
    <cellStyle name="Normal 142 4 7" xfId="25839"/>
    <cellStyle name="Normal 142 4 7 2" xfId="48084"/>
    <cellStyle name="Normal 142 4 8" xfId="28284"/>
    <cellStyle name="Normal 142 5" xfId="2644"/>
    <cellStyle name="Normal 142 5 2" xfId="5737"/>
    <cellStyle name="Normal 142 5 2 2" xfId="7519"/>
    <cellStyle name="Normal 142 5 2 2 2" xfId="10848"/>
    <cellStyle name="Normal 142 5 2 2 2 2" xfId="17552"/>
    <cellStyle name="Normal 142 5 2 2 2 2 2" xfId="40973"/>
    <cellStyle name="Normal 142 5 2 2 2 3" xfId="34341"/>
    <cellStyle name="Normal 142 5 2 2 3" xfId="14236"/>
    <cellStyle name="Normal 142 5 2 2 3 2" xfId="37657"/>
    <cellStyle name="Normal 142 5 2 2 4" xfId="20538"/>
    <cellStyle name="Normal 142 5 2 2 4 2" xfId="42990"/>
    <cellStyle name="Normal 142 5 2 2 5" xfId="31025"/>
    <cellStyle name="Normal 142 5 2 3" xfId="9190"/>
    <cellStyle name="Normal 142 5 2 3 2" xfId="15894"/>
    <cellStyle name="Normal 142 5 2 3 2 2" xfId="39315"/>
    <cellStyle name="Normal 142 5 2 3 3" xfId="21260"/>
    <cellStyle name="Normal 142 5 2 3 3 2" xfId="43711"/>
    <cellStyle name="Normal 142 5 2 3 4" xfId="32683"/>
    <cellStyle name="Normal 142 5 2 4" xfId="12578"/>
    <cellStyle name="Normal 142 5 2 4 2" xfId="35999"/>
    <cellStyle name="Normal 142 5 2 5" xfId="18977"/>
    <cellStyle name="Normal 142 5 2 5 2" xfId="41652"/>
    <cellStyle name="Normal 142 5 2 6" xfId="29367"/>
    <cellStyle name="Normal 142 5 3" xfId="6620"/>
    <cellStyle name="Normal 142 5 3 2" xfId="9952"/>
    <cellStyle name="Normal 142 5 3 2 2" xfId="16656"/>
    <cellStyle name="Normal 142 5 3 2 2 2" xfId="40077"/>
    <cellStyle name="Normal 142 5 3 2 3" xfId="33445"/>
    <cellStyle name="Normal 142 5 3 3" xfId="13340"/>
    <cellStyle name="Normal 142 5 3 3 2" xfId="36761"/>
    <cellStyle name="Normal 142 5 3 4" xfId="18298"/>
    <cellStyle name="Normal 142 5 3 4 2" xfId="41431"/>
    <cellStyle name="Normal 142 5 3 5" xfId="30129"/>
    <cellStyle name="Normal 142 5 4" xfId="8286"/>
    <cellStyle name="Normal 142 5 4 2" xfId="14998"/>
    <cellStyle name="Normal 142 5 4 2 2" xfId="38419"/>
    <cellStyle name="Normal 142 5 4 3" xfId="20801"/>
    <cellStyle name="Normal 142 5 4 3 2" xfId="43252"/>
    <cellStyle name="Normal 142 5 4 4" xfId="31787"/>
    <cellStyle name="Normal 142 5 5" xfId="11680"/>
    <cellStyle name="Normal 142 5 5 2" xfId="21839"/>
    <cellStyle name="Normal 142 5 5 3" xfId="35103"/>
    <cellStyle name="Normal 142 5 6" xfId="18621"/>
    <cellStyle name="Normal 142 5 7" xfId="20399"/>
    <cellStyle name="Normal 142 5 7 2" xfId="42909"/>
    <cellStyle name="Normal 142 5 8" xfId="28471"/>
    <cellStyle name="Normal 142 6" xfId="3896"/>
    <cellStyle name="Normal 142 6 2" xfId="6988"/>
    <cellStyle name="Normal 142 6 2 2" xfId="10320"/>
    <cellStyle name="Normal 142 6 2 2 2" xfId="17024"/>
    <cellStyle name="Normal 142 6 2 2 2 2" xfId="40445"/>
    <cellStyle name="Normal 142 6 2 2 3" xfId="33813"/>
    <cellStyle name="Normal 142 6 2 3" xfId="13708"/>
    <cellStyle name="Normal 142 6 2 3 2" xfId="37129"/>
    <cellStyle name="Normal 142 6 2 4" xfId="30497"/>
    <cellStyle name="Normal 142 6 3" xfId="8655"/>
    <cellStyle name="Normal 142 6 3 2" xfId="15366"/>
    <cellStyle name="Normal 142 6 3 2 2" xfId="38787"/>
    <cellStyle name="Normal 142 6 3 3" xfId="32155"/>
    <cellStyle name="Normal 142 6 4" xfId="12048"/>
    <cellStyle name="Normal 142 6 4 2" xfId="35471"/>
    <cellStyle name="Normal 142 6 5" xfId="20414"/>
    <cellStyle name="Normal 142 6 6" xfId="28839"/>
    <cellStyle name="Normal 142 7" xfId="6147"/>
    <cellStyle name="Normal 142 7 2" xfId="9481"/>
    <cellStyle name="Normal 142 7 2 2" xfId="16185"/>
    <cellStyle name="Normal 142 7 2 2 2" xfId="39606"/>
    <cellStyle name="Normal 142 7 2 3" xfId="32974"/>
    <cellStyle name="Normal 142 7 3" xfId="12869"/>
    <cellStyle name="Normal 142 7 3 2" xfId="36290"/>
    <cellStyle name="Normal 142 7 4" xfId="29658"/>
    <cellStyle name="Normal 142 8" xfId="7813"/>
    <cellStyle name="Normal 142 8 2" xfId="14527"/>
    <cellStyle name="Normal 142 8 2 2" xfId="37948"/>
    <cellStyle name="Normal 142 8 3" xfId="31316"/>
    <cellStyle name="Normal 142 9" xfId="11209"/>
    <cellStyle name="Normal 142 9 2" xfId="34632"/>
    <cellStyle name="Normal 143" xfId="1468"/>
    <cellStyle name="Normal 143 2" xfId="18625"/>
    <cellStyle name="Normal 144" xfId="1593"/>
    <cellStyle name="Normal 144 2" xfId="18626"/>
    <cellStyle name="Normal 145" xfId="1594"/>
    <cellStyle name="Normal 145 2" xfId="18627"/>
    <cellStyle name="Normal 146" xfId="1595"/>
    <cellStyle name="Normal 146 2" xfId="18628"/>
    <cellStyle name="Normal 147" xfId="1479"/>
    <cellStyle name="Normal 147 2" xfId="2241"/>
    <cellStyle name="Normal 147 2 2" xfId="17997"/>
    <cellStyle name="Normal 147 2 2 2" xfId="18631"/>
    <cellStyle name="Normal 147 2 3" xfId="18630"/>
    <cellStyle name="Normal 147 3" xfId="18629"/>
    <cellStyle name="Normal 148" xfId="1701"/>
    <cellStyle name="Normal 148 2" xfId="2243"/>
    <cellStyle name="Normal 148 2 2" xfId="18632"/>
    <cellStyle name="Normal 148 3" xfId="2242"/>
    <cellStyle name="Normal 148 4" xfId="2111"/>
    <cellStyle name="Normal 148 4 2" xfId="17829"/>
    <cellStyle name="Normal 148 5" xfId="20419"/>
    <cellStyle name="Normal 148 5 2" xfId="18227"/>
    <cellStyle name="Normal 148 6" xfId="20432"/>
    <cellStyle name="Normal 149" xfId="1702"/>
    <cellStyle name="Normal 149 2" xfId="2245"/>
    <cellStyle name="Normal 149 2 2" xfId="18633"/>
    <cellStyle name="Normal 149 3" xfId="2244"/>
    <cellStyle name="Normal 149 4" xfId="20448"/>
    <cellStyle name="Normal 15" xfId="468"/>
    <cellStyle name="Normal 15 2" xfId="469"/>
    <cellStyle name="Normal 15 2 2" xfId="3898"/>
    <cellStyle name="Normal 15 3" xfId="3899"/>
    <cellStyle name="Normal 15 3 2" xfId="3900"/>
    <cellStyle name="Normal 15 4" xfId="3901"/>
    <cellStyle name="Normal 150" xfId="1703"/>
    <cellStyle name="Normal 150 2" xfId="2247"/>
    <cellStyle name="Normal 150 2 2" xfId="18635"/>
    <cellStyle name="Normal 150 3" xfId="2246"/>
    <cellStyle name="Normal 150 3 2" xfId="5512"/>
    <cellStyle name="Normal 150 3 2 2" xfId="7336"/>
    <cellStyle name="Normal 150 3 2 2 2" xfId="10667"/>
    <cellStyle name="Normal 150 3 2 2 2 2" xfId="17371"/>
    <cellStyle name="Normal 150 3 2 2 2 2 2" xfId="40792"/>
    <cellStyle name="Normal 150 3 2 2 2 3" xfId="23086"/>
    <cellStyle name="Normal 150 3 2 2 2 3 2" xfId="45508"/>
    <cellStyle name="Normal 150 3 2 2 2 4" xfId="34160"/>
    <cellStyle name="Normal 150 3 2 2 3" xfId="14055"/>
    <cellStyle name="Normal 150 3 2 2 3 2" xfId="37476"/>
    <cellStyle name="Normal 150 3 2 2 4" xfId="20260"/>
    <cellStyle name="Normal 150 3 2 2 4 2" xfId="42795"/>
    <cellStyle name="Normal 150 3 2 2 5" xfId="30844"/>
    <cellStyle name="Normal 150 3 2 3" xfId="9009"/>
    <cellStyle name="Normal 150 3 2 3 2" xfId="15713"/>
    <cellStyle name="Normal 150 3 2 3 2 2" xfId="39134"/>
    <cellStyle name="Normal 150 3 2 3 3" xfId="21261"/>
    <cellStyle name="Normal 150 3 2 3 3 2" xfId="43712"/>
    <cellStyle name="Normal 150 3 2 3 4" xfId="32502"/>
    <cellStyle name="Normal 150 3 2 4" xfId="12397"/>
    <cellStyle name="Normal 150 3 2 4 2" xfId="22273"/>
    <cellStyle name="Normal 150 3 2 4 2 2" xfId="44695"/>
    <cellStyle name="Normal 150 3 2 4 3" xfId="35818"/>
    <cellStyle name="Normal 150 3 2 5" xfId="19421"/>
    <cellStyle name="Normal 150 3 2 5 2" xfId="41963"/>
    <cellStyle name="Normal 150 3 2 6" xfId="29186"/>
    <cellStyle name="Normal 150 3 3" xfId="6432"/>
    <cellStyle name="Normal 150 3 3 2" xfId="9766"/>
    <cellStyle name="Normal 150 3 3 2 2" xfId="16470"/>
    <cellStyle name="Normal 150 3 3 2 2 2" xfId="39891"/>
    <cellStyle name="Normal 150 3 3 2 3" xfId="22681"/>
    <cellStyle name="Normal 150 3 3 2 3 2" xfId="45103"/>
    <cellStyle name="Normal 150 3 3 2 4" xfId="33259"/>
    <cellStyle name="Normal 150 3 3 3" xfId="13154"/>
    <cellStyle name="Normal 150 3 3 3 2" xfId="36575"/>
    <cellStyle name="Normal 150 3 3 4" xfId="19844"/>
    <cellStyle name="Normal 150 3 3 4 2" xfId="42379"/>
    <cellStyle name="Normal 150 3 3 5" xfId="29943"/>
    <cellStyle name="Normal 150 3 4" xfId="8099"/>
    <cellStyle name="Normal 150 3 4 2" xfId="14812"/>
    <cellStyle name="Normal 150 3 4 2 2" xfId="38233"/>
    <cellStyle name="Normal 150 3 4 3" xfId="20802"/>
    <cellStyle name="Normal 150 3 4 3 2" xfId="43253"/>
    <cellStyle name="Normal 150 3 4 4" xfId="31601"/>
    <cellStyle name="Normal 150 3 5" xfId="11494"/>
    <cellStyle name="Normal 150 3 5 2" xfId="21842"/>
    <cellStyle name="Normal 150 3 5 2 2" xfId="44281"/>
    <cellStyle name="Normal 150 3 5 3" xfId="34917"/>
    <cellStyle name="Normal 150 3 6" xfId="18634"/>
    <cellStyle name="Normal 150 3 6 2" xfId="41538"/>
    <cellStyle name="Normal 150 3 7" xfId="28285"/>
    <cellStyle name="Normal 150 4" xfId="19198"/>
    <cellStyle name="Normal 150 4 2" xfId="20052"/>
    <cellStyle name="Normal 150 4 2 2" xfId="42587"/>
    <cellStyle name="Normal 150 4 3" xfId="22060"/>
    <cellStyle name="Normal 150 4 3 2" xfId="44488"/>
    <cellStyle name="Normal 150 4 4" xfId="20452"/>
    <cellStyle name="Normal 150 4 5" xfId="41755"/>
    <cellStyle name="Normal 150 5" xfId="19634"/>
    <cellStyle name="Normal 150 5 2" xfId="42171"/>
    <cellStyle name="Normal 150 6" xfId="17998"/>
    <cellStyle name="Normal 150 6 2" xfId="41302"/>
    <cellStyle name="Normal 151" xfId="1705"/>
    <cellStyle name="Normal 151 2" xfId="2249"/>
    <cellStyle name="Normal 151 2 2" xfId="18637"/>
    <cellStyle name="Normal 151 3" xfId="2248"/>
    <cellStyle name="Normal 151 3 2" xfId="5513"/>
    <cellStyle name="Normal 151 3 2 2" xfId="7337"/>
    <cellStyle name="Normal 151 3 2 2 2" xfId="10668"/>
    <cellStyle name="Normal 151 3 2 2 2 2" xfId="17372"/>
    <cellStyle name="Normal 151 3 2 2 2 2 2" xfId="40793"/>
    <cellStyle name="Normal 151 3 2 2 2 3" xfId="23087"/>
    <cellStyle name="Normal 151 3 2 2 2 3 2" xfId="45509"/>
    <cellStyle name="Normal 151 3 2 2 2 4" xfId="34161"/>
    <cellStyle name="Normal 151 3 2 2 3" xfId="14056"/>
    <cellStyle name="Normal 151 3 2 2 3 2" xfId="37477"/>
    <cellStyle name="Normal 151 3 2 2 4" xfId="20261"/>
    <cellStyle name="Normal 151 3 2 2 4 2" xfId="42796"/>
    <cellStyle name="Normal 151 3 2 2 5" xfId="30845"/>
    <cellStyle name="Normal 151 3 2 3" xfId="9010"/>
    <cellStyle name="Normal 151 3 2 3 2" xfId="15714"/>
    <cellStyle name="Normal 151 3 2 3 2 2" xfId="39135"/>
    <cellStyle name="Normal 151 3 2 3 3" xfId="21262"/>
    <cellStyle name="Normal 151 3 2 3 3 2" xfId="43713"/>
    <cellStyle name="Normal 151 3 2 3 4" xfId="32503"/>
    <cellStyle name="Normal 151 3 2 4" xfId="12398"/>
    <cellStyle name="Normal 151 3 2 4 2" xfId="22274"/>
    <cellStyle name="Normal 151 3 2 4 2 2" xfId="44696"/>
    <cellStyle name="Normal 151 3 2 4 3" xfId="35819"/>
    <cellStyle name="Normal 151 3 2 5" xfId="19422"/>
    <cellStyle name="Normal 151 3 2 5 2" xfId="41964"/>
    <cellStyle name="Normal 151 3 2 6" xfId="29187"/>
    <cellStyle name="Normal 151 3 3" xfId="6433"/>
    <cellStyle name="Normal 151 3 3 2" xfId="9767"/>
    <cellStyle name="Normal 151 3 3 2 2" xfId="16471"/>
    <cellStyle name="Normal 151 3 3 2 2 2" xfId="39892"/>
    <cellStyle name="Normal 151 3 3 2 3" xfId="22682"/>
    <cellStyle name="Normal 151 3 3 2 3 2" xfId="45104"/>
    <cellStyle name="Normal 151 3 3 2 4" xfId="33260"/>
    <cellStyle name="Normal 151 3 3 3" xfId="13155"/>
    <cellStyle name="Normal 151 3 3 3 2" xfId="36576"/>
    <cellStyle name="Normal 151 3 3 4" xfId="19845"/>
    <cellStyle name="Normal 151 3 3 4 2" xfId="42380"/>
    <cellStyle name="Normal 151 3 3 5" xfId="29944"/>
    <cellStyle name="Normal 151 3 4" xfId="8100"/>
    <cellStyle name="Normal 151 3 4 2" xfId="14813"/>
    <cellStyle name="Normal 151 3 4 2 2" xfId="38234"/>
    <cellStyle name="Normal 151 3 4 3" xfId="20803"/>
    <cellStyle name="Normal 151 3 4 3 2" xfId="43254"/>
    <cellStyle name="Normal 151 3 4 4" xfId="31602"/>
    <cellStyle name="Normal 151 3 5" xfId="11495"/>
    <cellStyle name="Normal 151 3 5 2" xfId="21843"/>
    <cellStyle name="Normal 151 3 5 2 2" xfId="44282"/>
    <cellStyle name="Normal 151 3 5 3" xfId="34918"/>
    <cellStyle name="Normal 151 3 6" xfId="18636"/>
    <cellStyle name="Normal 151 3 6 2" xfId="41539"/>
    <cellStyle name="Normal 151 3 7" xfId="28286"/>
    <cellStyle name="Normal 151 4" xfId="19199"/>
    <cellStyle name="Normal 151 4 2" xfId="20053"/>
    <cellStyle name="Normal 151 4 2 2" xfId="42588"/>
    <cellStyle name="Normal 151 4 3" xfId="22061"/>
    <cellStyle name="Normal 151 4 3 2" xfId="44489"/>
    <cellStyle name="Normal 151 4 4" xfId="20421"/>
    <cellStyle name="Normal 151 4 5" xfId="41756"/>
    <cellStyle name="Normal 151 5" xfId="19635"/>
    <cellStyle name="Normal 151 5 2" xfId="42172"/>
    <cellStyle name="Normal 151 6" xfId="17999"/>
    <cellStyle name="Normal 151 6 2" xfId="41303"/>
    <cellStyle name="Normal 152" xfId="1727"/>
    <cellStyle name="Normal 152 2" xfId="2251"/>
    <cellStyle name="Normal 152 2 2" xfId="18639"/>
    <cellStyle name="Normal 152 3" xfId="2250"/>
    <cellStyle name="Normal 152 3 2" xfId="5514"/>
    <cellStyle name="Normal 152 3 2 2" xfId="7338"/>
    <cellStyle name="Normal 152 3 2 2 2" xfId="10669"/>
    <cellStyle name="Normal 152 3 2 2 2 2" xfId="17373"/>
    <cellStyle name="Normal 152 3 2 2 2 2 2" xfId="40794"/>
    <cellStyle name="Normal 152 3 2 2 2 3" xfId="23088"/>
    <cellStyle name="Normal 152 3 2 2 2 3 2" xfId="45510"/>
    <cellStyle name="Normal 152 3 2 2 2 4" xfId="34162"/>
    <cellStyle name="Normal 152 3 2 2 3" xfId="14057"/>
    <cellStyle name="Normal 152 3 2 2 3 2" xfId="37478"/>
    <cellStyle name="Normal 152 3 2 2 4" xfId="20262"/>
    <cellStyle name="Normal 152 3 2 2 4 2" xfId="42797"/>
    <cellStyle name="Normal 152 3 2 2 5" xfId="30846"/>
    <cellStyle name="Normal 152 3 2 3" xfId="9011"/>
    <cellStyle name="Normal 152 3 2 3 2" xfId="15715"/>
    <cellStyle name="Normal 152 3 2 3 2 2" xfId="39136"/>
    <cellStyle name="Normal 152 3 2 3 3" xfId="21263"/>
    <cellStyle name="Normal 152 3 2 3 3 2" xfId="43714"/>
    <cellStyle name="Normal 152 3 2 3 4" xfId="32504"/>
    <cellStyle name="Normal 152 3 2 4" xfId="12399"/>
    <cellStyle name="Normal 152 3 2 4 2" xfId="22275"/>
    <cellStyle name="Normal 152 3 2 4 2 2" xfId="44697"/>
    <cellStyle name="Normal 152 3 2 4 3" xfId="35820"/>
    <cellStyle name="Normal 152 3 2 5" xfId="19423"/>
    <cellStyle name="Normal 152 3 2 5 2" xfId="41965"/>
    <cellStyle name="Normal 152 3 2 6" xfId="29188"/>
    <cellStyle name="Normal 152 3 3" xfId="6434"/>
    <cellStyle name="Normal 152 3 3 2" xfId="9768"/>
    <cellStyle name="Normal 152 3 3 2 2" xfId="16472"/>
    <cellStyle name="Normal 152 3 3 2 2 2" xfId="39893"/>
    <cellStyle name="Normal 152 3 3 2 3" xfId="22683"/>
    <cellStyle name="Normal 152 3 3 2 3 2" xfId="45105"/>
    <cellStyle name="Normal 152 3 3 2 4" xfId="33261"/>
    <cellStyle name="Normal 152 3 3 3" xfId="13156"/>
    <cellStyle name="Normal 152 3 3 3 2" xfId="36577"/>
    <cellStyle name="Normal 152 3 3 4" xfId="19846"/>
    <cellStyle name="Normal 152 3 3 4 2" xfId="42381"/>
    <cellStyle name="Normal 152 3 3 5" xfId="29945"/>
    <cellStyle name="Normal 152 3 4" xfId="8101"/>
    <cellStyle name="Normal 152 3 4 2" xfId="14814"/>
    <cellStyle name="Normal 152 3 4 2 2" xfId="38235"/>
    <cellStyle name="Normal 152 3 4 3" xfId="20804"/>
    <cellStyle name="Normal 152 3 4 3 2" xfId="43255"/>
    <cellStyle name="Normal 152 3 4 4" xfId="31603"/>
    <cellStyle name="Normal 152 3 5" xfId="11496"/>
    <cellStyle name="Normal 152 3 5 2" xfId="21844"/>
    <cellStyle name="Normal 152 3 5 2 2" xfId="44283"/>
    <cellStyle name="Normal 152 3 5 3" xfId="34919"/>
    <cellStyle name="Normal 152 3 6" xfId="18638"/>
    <cellStyle name="Normal 152 3 6 2" xfId="41540"/>
    <cellStyle name="Normal 152 3 7" xfId="28287"/>
    <cellStyle name="Normal 152 4" xfId="19200"/>
    <cellStyle name="Normal 152 4 2" xfId="20054"/>
    <cellStyle name="Normal 152 4 2 2" xfId="42589"/>
    <cellStyle name="Normal 152 4 3" xfId="22062"/>
    <cellStyle name="Normal 152 4 3 2" xfId="44490"/>
    <cellStyle name="Normal 152 4 4" xfId="20381"/>
    <cellStyle name="Normal 152 4 5" xfId="41757"/>
    <cellStyle name="Normal 152 5" xfId="19636"/>
    <cellStyle name="Normal 152 5 2" xfId="42173"/>
    <cellStyle name="Normal 152 6" xfId="18000"/>
    <cellStyle name="Normal 152 6 2" xfId="41304"/>
    <cellStyle name="Normal 153" xfId="1704"/>
    <cellStyle name="Normal 153 2" xfId="2253"/>
    <cellStyle name="Normal 153 2 2" xfId="18641"/>
    <cellStyle name="Normal 153 3" xfId="2252"/>
    <cellStyle name="Normal 153 3 2" xfId="5515"/>
    <cellStyle name="Normal 153 3 2 2" xfId="7339"/>
    <cellStyle name="Normal 153 3 2 2 2" xfId="10670"/>
    <cellStyle name="Normal 153 3 2 2 2 2" xfId="17374"/>
    <cellStyle name="Normal 153 3 2 2 2 2 2" xfId="40795"/>
    <cellStyle name="Normal 153 3 2 2 2 3" xfId="23089"/>
    <cellStyle name="Normal 153 3 2 2 2 3 2" xfId="45511"/>
    <cellStyle name="Normal 153 3 2 2 2 4" xfId="34163"/>
    <cellStyle name="Normal 153 3 2 2 3" xfId="14058"/>
    <cellStyle name="Normal 153 3 2 2 3 2" xfId="37479"/>
    <cellStyle name="Normal 153 3 2 2 4" xfId="20263"/>
    <cellStyle name="Normal 153 3 2 2 4 2" xfId="42798"/>
    <cellStyle name="Normal 153 3 2 2 5" xfId="30847"/>
    <cellStyle name="Normal 153 3 2 3" xfId="9012"/>
    <cellStyle name="Normal 153 3 2 3 2" xfId="15716"/>
    <cellStyle name="Normal 153 3 2 3 2 2" xfId="39137"/>
    <cellStyle name="Normal 153 3 2 3 3" xfId="21264"/>
    <cellStyle name="Normal 153 3 2 3 3 2" xfId="43715"/>
    <cellStyle name="Normal 153 3 2 3 4" xfId="32505"/>
    <cellStyle name="Normal 153 3 2 4" xfId="12400"/>
    <cellStyle name="Normal 153 3 2 4 2" xfId="22276"/>
    <cellStyle name="Normal 153 3 2 4 2 2" xfId="44698"/>
    <cellStyle name="Normal 153 3 2 4 3" xfId="35821"/>
    <cellStyle name="Normal 153 3 2 5" xfId="19424"/>
    <cellStyle name="Normal 153 3 2 5 2" xfId="41966"/>
    <cellStyle name="Normal 153 3 2 6" xfId="29189"/>
    <cellStyle name="Normal 153 3 3" xfId="6435"/>
    <cellStyle name="Normal 153 3 3 2" xfId="9769"/>
    <cellStyle name="Normal 153 3 3 2 2" xfId="16473"/>
    <cellStyle name="Normal 153 3 3 2 2 2" xfId="39894"/>
    <cellStyle name="Normal 153 3 3 2 3" xfId="22684"/>
    <cellStyle name="Normal 153 3 3 2 3 2" xfId="45106"/>
    <cellStyle name="Normal 153 3 3 2 4" xfId="33262"/>
    <cellStyle name="Normal 153 3 3 3" xfId="13157"/>
    <cellStyle name="Normal 153 3 3 3 2" xfId="36578"/>
    <cellStyle name="Normal 153 3 3 4" xfId="19847"/>
    <cellStyle name="Normal 153 3 3 4 2" xfId="42382"/>
    <cellStyle name="Normal 153 3 3 5" xfId="29946"/>
    <cellStyle name="Normal 153 3 4" xfId="8102"/>
    <cellStyle name="Normal 153 3 4 2" xfId="14815"/>
    <cellStyle name="Normal 153 3 4 2 2" xfId="38236"/>
    <cellStyle name="Normal 153 3 4 3" xfId="20805"/>
    <cellStyle name="Normal 153 3 4 3 2" xfId="43256"/>
    <cellStyle name="Normal 153 3 4 4" xfId="31604"/>
    <cellStyle name="Normal 153 3 5" xfId="11497"/>
    <cellStyle name="Normal 153 3 5 2" xfId="21845"/>
    <cellStyle name="Normal 153 3 5 2 2" xfId="44284"/>
    <cellStyle name="Normal 153 3 5 3" xfId="34920"/>
    <cellStyle name="Normal 153 3 6" xfId="18640"/>
    <cellStyle name="Normal 153 3 6 2" xfId="41541"/>
    <cellStyle name="Normal 153 3 7" xfId="28288"/>
    <cellStyle name="Normal 153 4" xfId="19201"/>
    <cellStyle name="Normal 153 4 2" xfId="20055"/>
    <cellStyle name="Normal 153 4 2 2" xfId="42590"/>
    <cellStyle name="Normal 153 4 3" xfId="22063"/>
    <cellStyle name="Normal 153 4 3 2" xfId="44491"/>
    <cellStyle name="Normal 153 4 4" xfId="18228"/>
    <cellStyle name="Normal 153 4 5" xfId="41758"/>
    <cellStyle name="Normal 153 5" xfId="19637"/>
    <cellStyle name="Normal 153 5 2" xfId="42174"/>
    <cellStyle name="Normal 153 6" xfId="18001"/>
    <cellStyle name="Normal 153 6 2" xfId="41305"/>
    <cellStyle name="Normal 154" xfId="1838"/>
    <cellStyle name="Normal 154 2" xfId="2254"/>
    <cellStyle name="Normal 154 2 2" xfId="18643"/>
    <cellStyle name="Normal 154 3" xfId="5399"/>
    <cellStyle name="Normal 154 3 2" xfId="18642"/>
    <cellStyle name="Normal 155" xfId="1845"/>
    <cellStyle name="Normal 155 2" xfId="2255"/>
    <cellStyle name="Normal 155 2 2" xfId="18645"/>
    <cellStyle name="Normal 155 3" xfId="5402"/>
    <cellStyle name="Normal 155 3 2" xfId="18644"/>
    <cellStyle name="Normal 156" xfId="1839"/>
    <cellStyle name="Normal 156 2" xfId="2256"/>
    <cellStyle name="Normal 156 2 2" xfId="18647"/>
    <cellStyle name="Normal 156 3" xfId="5400"/>
    <cellStyle name="Normal 156 3 2" xfId="18646"/>
    <cellStyle name="Normal 157" xfId="1844"/>
    <cellStyle name="Normal 157 2" xfId="2257"/>
    <cellStyle name="Normal 157 2 2" xfId="18649"/>
    <cellStyle name="Normal 157 3" xfId="5401"/>
    <cellStyle name="Normal 157 3 2" xfId="18648"/>
    <cellStyle name="Normal 158" xfId="1846"/>
    <cellStyle name="Normal 158 2" xfId="5403"/>
    <cellStyle name="Normal 158 3" xfId="3902"/>
    <cellStyle name="Normal 159" xfId="2519"/>
    <cellStyle name="Normal 159 2" xfId="5653"/>
    <cellStyle name="Normal 159 3" xfId="3903"/>
    <cellStyle name="Normal 16" xfId="470"/>
    <cellStyle name="Normal 16 2" xfId="471"/>
    <cellStyle name="Normal 16 2 2" xfId="1080"/>
    <cellStyle name="Normal 16 2 2 2" xfId="3905"/>
    <cellStyle name="Normal 16 2 2 3" xfId="3904"/>
    <cellStyle name="Normal 16 2 3" xfId="1145"/>
    <cellStyle name="Normal 16 2 3 2" xfId="18651"/>
    <cellStyle name="Normal 16 2 3 3" xfId="23245"/>
    <cellStyle name="Normal 16 2 4" xfId="1079"/>
    <cellStyle name="Normal 16 2 4 2" xfId="18652"/>
    <cellStyle name="Normal 16 2 5" xfId="18650"/>
    <cellStyle name="Normal 16 3" xfId="1144"/>
    <cellStyle name="Normal 16 3 2" xfId="18653"/>
    <cellStyle name="Normal 16 4" xfId="1078"/>
    <cellStyle name="Normal 16 4 2" xfId="18654"/>
    <cellStyle name="Normal 16 5" xfId="2130"/>
    <cellStyle name="Normal 16 5 2" xfId="5419"/>
    <cellStyle name="Normal 16 5 2 2" xfId="7246"/>
    <cellStyle name="Normal 16 5 2 2 2" xfId="10577"/>
    <cellStyle name="Normal 16 5 2 2 2 2" xfId="17281"/>
    <cellStyle name="Normal 16 5 2 2 2 2 2" xfId="40702"/>
    <cellStyle name="Normal 16 5 2 2 2 3" xfId="34070"/>
    <cellStyle name="Normal 16 5 2 2 3" xfId="13965"/>
    <cellStyle name="Normal 16 5 2 2 3 2" xfId="37386"/>
    <cellStyle name="Normal 16 5 2 2 4" xfId="20539"/>
    <cellStyle name="Normal 16 5 2 2 4 2" xfId="42991"/>
    <cellStyle name="Normal 16 5 2 2 5" xfId="30754"/>
    <cellStyle name="Normal 16 5 2 3" xfId="8919"/>
    <cellStyle name="Normal 16 5 2 3 2" xfId="15623"/>
    <cellStyle name="Normal 16 5 2 3 2 2" xfId="39044"/>
    <cellStyle name="Normal 16 5 2 3 3" xfId="21265"/>
    <cellStyle name="Normal 16 5 2 3 3 2" xfId="43716"/>
    <cellStyle name="Normal 16 5 2 3 4" xfId="32412"/>
    <cellStyle name="Normal 16 5 2 4" xfId="12307"/>
    <cellStyle name="Normal 16 5 2 4 2" xfId="35728"/>
    <cellStyle name="Normal 16 5 2 5" xfId="18229"/>
    <cellStyle name="Normal 16 5 2 5 2" xfId="41418"/>
    <cellStyle name="Normal 16 5 2 6" xfId="23835"/>
    <cellStyle name="Normal 16 5 2 7" xfId="29096"/>
    <cellStyle name="Normal 16 5 3" xfId="5113"/>
    <cellStyle name="Normal 16 5 3 2" xfId="17856"/>
    <cellStyle name="Normal 16 5 3 2 2" xfId="41206"/>
    <cellStyle name="Normal 16 5 4" xfId="6337"/>
    <cellStyle name="Normal 16 5 4 2" xfId="9671"/>
    <cellStyle name="Normal 16 5 4 2 2" xfId="16375"/>
    <cellStyle name="Normal 16 5 4 2 2 2" xfId="39796"/>
    <cellStyle name="Normal 16 5 4 2 3" xfId="33164"/>
    <cellStyle name="Normal 16 5 4 3" xfId="13059"/>
    <cellStyle name="Normal 16 5 4 3 2" xfId="36480"/>
    <cellStyle name="Normal 16 5 4 4" xfId="20806"/>
    <cellStyle name="Normal 16 5 4 4 2" xfId="43257"/>
    <cellStyle name="Normal 16 5 4 5" xfId="29848"/>
    <cellStyle name="Normal 16 5 5" xfId="8004"/>
    <cellStyle name="Normal 16 5 5 2" xfId="14717"/>
    <cellStyle name="Normal 16 5 5 2 2" xfId="38138"/>
    <cellStyle name="Normal 16 5 5 3" xfId="21846"/>
    <cellStyle name="Normal 16 5 5 4" xfId="31506"/>
    <cellStyle name="Normal 16 5 6" xfId="11399"/>
    <cellStyle name="Normal 16 5 6 2" xfId="34822"/>
    <cellStyle name="Normal 16 5 7" xfId="20400"/>
    <cellStyle name="Normal 16 5 7 2" xfId="42910"/>
    <cellStyle name="Normal 16 5 8" xfId="23243"/>
    <cellStyle name="Normal 16 5 9" xfId="28190"/>
    <cellStyle name="Normal 16 6" xfId="20433"/>
    <cellStyle name="Normal 160" xfId="2548"/>
    <cellStyle name="Normal 160 2" xfId="5656"/>
    <cellStyle name="Normal 160 3" xfId="3906"/>
    <cellStyle name="Normal 161" xfId="2549"/>
    <cellStyle name="Normal 161 2" xfId="18655"/>
    <cellStyle name="Normal 161 2 2" xfId="21847"/>
    <cellStyle name="Normal 161 2 3" xfId="18355"/>
    <cellStyle name="Normal 161 3" xfId="18002"/>
    <cellStyle name="Normal 162" xfId="2547"/>
    <cellStyle name="Normal 162 2" xfId="18656"/>
    <cellStyle name="Normal 162 2 2" xfId="21848"/>
    <cellStyle name="Normal 162 2 3" xfId="18356"/>
    <cellStyle name="Normal 162 3" xfId="18003"/>
    <cellStyle name="Normal 163" xfId="2550"/>
    <cellStyle name="Normal 163 2" xfId="18657"/>
    <cellStyle name="Normal 163 2 2" xfId="21849"/>
    <cellStyle name="Normal 163 2 3" xfId="18231"/>
    <cellStyle name="Normal 163 3" xfId="18004"/>
    <cellStyle name="Normal 164" xfId="2546"/>
    <cellStyle name="Normal 164 2" xfId="5654"/>
    <cellStyle name="Normal 164 3" xfId="3907"/>
    <cellStyle name="Normal 165" xfId="2455"/>
    <cellStyle name="Normal 165 2" xfId="5630"/>
    <cellStyle name="Normal 165 3" xfId="3908"/>
    <cellStyle name="Normal 166" xfId="2554"/>
    <cellStyle name="Normal 166 2" xfId="5658"/>
    <cellStyle name="Normal 166 3" xfId="3909"/>
    <cellStyle name="Normal 167" xfId="2555"/>
    <cellStyle name="Normal 167 2" xfId="5659"/>
    <cellStyle name="Normal 167 3" xfId="3910"/>
    <cellStyle name="Normal 168" xfId="2556"/>
    <cellStyle name="Normal 168 2" xfId="5660"/>
    <cellStyle name="Normal 168 3" xfId="3911"/>
    <cellStyle name="Normal 169" xfId="2454"/>
    <cellStyle name="Normal 169 2" xfId="19202"/>
    <cellStyle name="Normal 169 2 2" xfId="22064"/>
    <cellStyle name="Normal 169 2 3" xfId="18233"/>
    <cellStyle name="Normal 169 3" xfId="18005"/>
    <cellStyle name="Normal 17" xfId="472"/>
    <cellStyle name="Normal 17 2" xfId="473"/>
    <cellStyle name="Normal 17 2 2" xfId="3912"/>
    <cellStyle name="Normal 17 3" xfId="2132"/>
    <cellStyle name="Normal 17 3 2" xfId="3914"/>
    <cellStyle name="Normal 17 3 3" xfId="3913"/>
    <cellStyle name="Normal 17 4" xfId="2131"/>
    <cellStyle name="Normal 17 4 2" xfId="23268"/>
    <cellStyle name="Normal 17 5" xfId="18052"/>
    <cellStyle name="Normal 170" xfId="2553"/>
    <cellStyle name="Normal 170 2" xfId="19203"/>
    <cellStyle name="Normal 170 2 2" xfId="22065"/>
    <cellStyle name="Normal 170 2 3" xfId="18234"/>
    <cellStyle name="Normal 170 3" xfId="18006"/>
    <cellStyle name="Normal 171" xfId="2557"/>
    <cellStyle name="Normal 171 2" xfId="19204"/>
    <cellStyle name="Normal 171 2 2" xfId="22066"/>
    <cellStyle name="Normal 171 2 3" xfId="20413"/>
    <cellStyle name="Normal 171 3" xfId="18007"/>
    <cellStyle name="Normal 172" xfId="2558"/>
    <cellStyle name="Normal 172 2" xfId="19205"/>
    <cellStyle name="Normal 172 2 2" xfId="22067"/>
    <cellStyle name="Normal 172 2 3" xfId="18979"/>
    <cellStyle name="Normal 172 3" xfId="18008"/>
    <cellStyle name="Normal 173" xfId="2559"/>
    <cellStyle name="Normal 173 2" xfId="18307"/>
    <cellStyle name="Normal 173 2 2" xfId="20412"/>
    <cellStyle name="Normal 173 3" xfId="21739"/>
    <cellStyle name="Normal 174" xfId="2560"/>
    <cellStyle name="Normal 174 2" xfId="19096"/>
    <cellStyle name="Normal 174 2 2" xfId="18235"/>
    <cellStyle name="Normal 174 3" xfId="21965"/>
    <cellStyle name="Normal 175" xfId="2561"/>
    <cellStyle name="Normal 175 2" xfId="19097"/>
    <cellStyle name="Normal 175 2 2" xfId="17830"/>
    <cellStyle name="Normal 175 3" xfId="21966"/>
    <cellStyle name="Normal 176" xfId="2562"/>
    <cellStyle name="Normal 176 2" xfId="19324"/>
    <cellStyle name="Normal 176 2 2" xfId="18236"/>
    <cellStyle name="Normal 176 3" xfId="22177"/>
    <cellStyle name="Normal 177" xfId="2563"/>
    <cellStyle name="Normal 177 2" xfId="19325"/>
    <cellStyle name="Normal 177 2 2" xfId="17831"/>
    <cellStyle name="Normal 177 3" xfId="22178"/>
    <cellStyle name="Normal 178" xfId="2564"/>
    <cellStyle name="Normal 178 2" xfId="19321"/>
    <cellStyle name="Normal 179" xfId="2570"/>
    <cellStyle name="Normal 179 2" xfId="5664"/>
    <cellStyle name="Normal 179 2 2" xfId="17832"/>
    <cellStyle name="Normal 179 3" xfId="5142"/>
    <cellStyle name="Normal 18" xfId="474"/>
    <cellStyle name="Normal 18 2" xfId="475"/>
    <cellStyle name="Normal 18 2 2" xfId="2135"/>
    <cellStyle name="Normal 18 2 2 2" xfId="18237"/>
    <cellStyle name="Normal 18 2 3" xfId="2134"/>
    <cellStyle name="Normal 18 2 4" xfId="18740"/>
    <cellStyle name="Normal 18 3" xfId="2136"/>
    <cellStyle name="Normal 18 3 2" xfId="18357"/>
    <cellStyle name="Normal 18 4" xfId="2133"/>
    <cellStyle name="Normal 18 5" xfId="18053"/>
    <cellStyle name="Normal 180" xfId="2597"/>
    <cellStyle name="Normal 180 2" xfId="5690"/>
    <cellStyle name="Normal 180 2 2" xfId="18238"/>
    <cellStyle name="Normal 180 3" xfId="19323"/>
    <cellStyle name="Normal 181" xfId="2702"/>
    <cellStyle name="Normal 181 2" xfId="19326"/>
    <cellStyle name="Normal 182" xfId="2567"/>
    <cellStyle name="Normal 182 2" xfId="19535"/>
    <cellStyle name="Normal 183" xfId="2566"/>
    <cellStyle name="Normal 183 2" xfId="19748"/>
    <cellStyle name="Normal 184" xfId="2565"/>
    <cellStyle name="Normal 184 2" xfId="19539"/>
    <cellStyle name="Normal 185" xfId="5143"/>
    <cellStyle name="Normal 185 2" xfId="19536"/>
    <cellStyle name="Normal 186" xfId="5253"/>
    <cellStyle name="Normal 186 2" xfId="19538"/>
    <cellStyle name="Normal 187" xfId="5343"/>
    <cellStyle name="Normal 187 2" xfId="19537"/>
    <cellStyle name="Normal 188" xfId="5963"/>
    <cellStyle name="Normal 188 2" xfId="19749"/>
    <cellStyle name="Normal 189" xfId="5317"/>
    <cellStyle name="Normal 19" xfId="476"/>
    <cellStyle name="Normal 19 2" xfId="477"/>
    <cellStyle name="Normal 19 2 2" xfId="1147"/>
    <cellStyle name="Normal 19 2 2 2" xfId="18662"/>
    <cellStyle name="Normal 19 2 3" xfId="1082"/>
    <cellStyle name="Normal 19 2 3 2" xfId="18663"/>
    <cellStyle name="Normal 19 2 4" xfId="18661"/>
    <cellStyle name="Normal 19 3" xfId="1146"/>
    <cellStyle name="Normal 19 3 2" xfId="18664"/>
    <cellStyle name="Normal 19 4" xfId="1081"/>
    <cellStyle name="Normal 19 4 2" xfId="18665"/>
    <cellStyle name="Normal 19 5" xfId="18660"/>
    <cellStyle name="Normal 19 5 2" xfId="21850"/>
    <cellStyle name="Normal 19 5 3" xfId="20430"/>
    <cellStyle name="Normal 190" xfId="5153"/>
    <cellStyle name="Normal 191" xfId="2841"/>
    <cellStyle name="Normal 191 2" xfId="6812"/>
    <cellStyle name="Normal 191 2 2" xfId="10144"/>
    <cellStyle name="Normal 191 2 2 2" xfId="16848"/>
    <cellStyle name="Normal 191 2 2 2 2" xfId="40269"/>
    <cellStyle name="Normal 191 2 2 3" xfId="33637"/>
    <cellStyle name="Normal 191 2 3" xfId="13532"/>
    <cellStyle name="Normal 191 2 3 2" xfId="36953"/>
    <cellStyle name="Normal 191 2 4" xfId="30321"/>
    <cellStyle name="Normal 191 3" xfId="8478"/>
    <cellStyle name="Normal 191 3 2" xfId="15190"/>
    <cellStyle name="Normal 191 3 2 2" xfId="38611"/>
    <cellStyle name="Normal 191 3 3" xfId="31979"/>
    <cellStyle name="Normal 191 4" xfId="11872"/>
    <cellStyle name="Normal 191 4 2" xfId="35295"/>
    <cellStyle name="Normal 191 5" xfId="17778"/>
    <cellStyle name="Normal 191 6" xfId="28663"/>
    <cellStyle name="Normal 192" xfId="4763"/>
    <cellStyle name="Normal 192 2" xfId="7152"/>
    <cellStyle name="Normal 192 2 2" xfId="10484"/>
    <cellStyle name="Normal 192 2 2 2" xfId="17188"/>
    <cellStyle name="Normal 192 2 2 2 2" xfId="40609"/>
    <cellStyle name="Normal 192 2 2 3" xfId="33977"/>
    <cellStyle name="Normal 192 2 3" xfId="13872"/>
    <cellStyle name="Normal 192 2 3 2" xfId="37293"/>
    <cellStyle name="Normal 192 2 4" xfId="30661"/>
    <cellStyle name="Normal 192 3" xfId="8821"/>
    <cellStyle name="Normal 192 3 2" xfId="15530"/>
    <cellStyle name="Normal 192 3 2 2" xfId="38951"/>
    <cellStyle name="Normal 192 3 3" xfId="32319"/>
    <cellStyle name="Normal 192 4" xfId="12212"/>
    <cellStyle name="Normal 192 4 2" xfId="35635"/>
    <cellStyle name="Normal 192 5" xfId="18148"/>
    <cellStyle name="Normal 192 6" xfId="29003"/>
    <cellStyle name="Normal 193" xfId="6023"/>
    <cellStyle name="Normal 193 2" xfId="7716"/>
    <cellStyle name="Normal 193 2 2" xfId="11045"/>
    <cellStyle name="Normal 193 2 2 2" xfId="17749"/>
    <cellStyle name="Normal 193 2 2 2 2" xfId="41170"/>
    <cellStyle name="Normal 193 2 2 3" xfId="34538"/>
    <cellStyle name="Normal 193 2 3" xfId="14433"/>
    <cellStyle name="Normal 193 2 3 2" xfId="37854"/>
    <cellStyle name="Normal 193 2 4" xfId="31222"/>
    <cellStyle name="Normal 193 3" xfId="9387"/>
    <cellStyle name="Normal 193 3 2" xfId="16091"/>
    <cellStyle name="Normal 193 3 2 2" xfId="39512"/>
    <cellStyle name="Normal 193 3 3" xfId="32880"/>
    <cellStyle name="Normal 193 4" xfId="12775"/>
    <cellStyle name="Normal 193 4 2" xfId="36196"/>
    <cellStyle name="Normal 193 5" xfId="18916"/>
    <cellStyle name="Normal 193 6" xfId="29564"/>
    <cellStyle name="Normal 194" xfId="3751"/>
    <cellStyle name="Normal 194 2" xfId="6891"/>
    <cellStyle name="Normal 194 2 2" xfId="10223"/>
    <cellStyle name="Normal 194 2 2 2" xfId="16927"/>
    <cellStyle name="Normal 194 2 2 2 2" xfId="40348"/>
    <cellStyle name="Normal 194 2 2 3" xfId="33716"/>
    <cellStyle name="Normal 194 2 3" xfId="13611"/>
    <cellStyle name="Normal 194 2 3 2" xfId="37032"/>
    <cellStyle name="Normal 194 2 4" xfId="30400"/>
    <cellStyle name="Normal 194 3" xfId="8558"/>
    <cellStyle name="Normal 194 3 2" xfId="15269"/>
    <cellStyle name="Normal 194 3 2 2" xfId="38690"/>
    <cellStyle name="Normal 194 3 3" xfId="32058"/>
    <cellStyle name="Normal 194 4" xfId="11951"/>
    <cellStyle name="Normal 194 4 2" xfId="35374"/>
    <cellStyle name="Normal 194 5" xfId="18149"/>
    <cellStyle name="Normal 194 6" xfId="28742"/>
    <cellStyle name="Normal 195" xfId="6018"/>
    <cellStyle name="Normal 195 2" xfId="7711"/>
    <cellStyle name="Normal 195 2 2" xfId="11040"/>
    <cellStyle name="Normal 195 2 2 2" xfId="17744"/>
    <cellStyle name="Normal 195 2 2 2 2" xfId="41165"/>
    <cellStyle name="Normal 195 2 2 3" xfId="34533"/>
    <cellStyle name="Normal 195 2 3" xfId="14428"/>
    <cellStyle name="Normal 195 2 3 2" xfId="37849"/>
    <cellStyle name="Normal 195 2 4" xfId="31217"/>
    <cellStyle name="Normal 195 3" xfId="9382"/>
    <cellStyle name="Normal 195 3 2" xfId="16086"/>
    <cellStyle name="Normal 195 3 2 2" xfId="39507"/>
    <cellStyle name="Normal 195 3 3" xfId="32875"/>
    <cellStyle name="Normal 195 4" xfId="12770"/>
    <cellStyle name="Normal 195 4 2" xfId="36191"/>
    <cellStyle name="Normal 195 5" xfId="17779"/>
    <cellStyle name="Normal 195 6" xfId="29559"/>
    <cellStyle name="Normal 196" xfId="6061"/>
    <cellStyle name="Normal 196 2" xfId="7727"/>
    <cellStyle name="Normal 196 2 2" xfId="11056"/>
    <cellStyle name="Normal 196 2 2 2" xfId="17760"/>
    <cellStyle name="Normal 196 2 2 2 2" xfId="41181"/>
    <cellStyle name="Normal 196 2 2 3" xfId="34549"/>
    <cellStyle name="Normal 196 2 3" xfId="14444"/>
    <cellStyle name="Normal 196 2 3 2" xfId="37865"/>
    <cellStyle name="Normal 196 2 4" xfId="31233"/>
    <cellStyle name="Normal 196 3" xfId="9398"/>
    <cellStyle name="Normal 196 3 2" xfId="16102"/>
    <cellStyle name="Normal 196 3 2 2" xfId="39523"/>
    <cellStyle name="Normal 196 3 3" xfId="32891"/>
    <cellStyle name="Normal 196 4" xfId="12786"/>
    <cellStyle name="Normal 196 4 2" xfId="36207"/>
    <cellStyle name="Normal 196 5" xfId="19041"/>
    <cellStyle name="Normal 196 6" xfId="29575"/>
    <cellStyle name="Normal 197" xfId="6074"/>
    <cellStyle name="Normal 198" xfId="7163"/>
    <cellStyle name="Normal 199" xfId="11067"/>
    <cellStyle name="Normal 199 2" xfId="18212"/>
    <cellStyle name="Normal 2" xfId="478"/>
    <cellStyle name="Normal 2 10" xfId="2260"/>
    <cellStyle name="Normal 2 10 2" xfId="18667"/>
    <cellStyle name="Normal 2 11" xfId="18666"/>
    <cellStyle name="Normal 2 2" xfId="479"/>
    <cellStyle name="Normal 2 2 10" xfId="21630"/>
    <cellStyle name="Normal 2 2 10 2" xfId="44079"/>
    <cellStyle name="Normal 2 2 2" xfId="480"/>
    <cellStyle name="Normal 2 2 2 2" xfId="3915"/>
    <cellStyle name="Normal 2 2 3" xfId="481"/>
    <cellStyle name="Normal 2 2 3 2" xfId="1598"/>
    <cellStyle name="Normal 2 2 3 2 2" xfId="18671"/>
    <cellStyle name="Normal 2 2 3 3" xfId="1597"/>
    <cellStyle name="Normal 2 2 3 3 2" xfId="18672"/>
    <cellStyle name="Normal 2 2 3 4" xfId="18670"/>
    <cellStyle name="Normal 2 2 4" xfId="1596"/>
    <cellStyle name="Normal 2 2 4 10" xfId="28031"/>
    <cellStyle name="Normal 2 2 4 2" xfId="1810"/>
    <cellStyle name="Normal 2 2 4 2 10" xfId="28162"/>
    <cellStyle name="Normal 2 2 4 2 2" xfId="2266"/>
    <cellStyle name="Normal 2 2 4 2 2 2" xfId="5517"/>
    <cellStyle name="Normal 2 2 4 2 2 2 2" xfId="7341"/>
    <cellStyle name="Normal 2 2 4 2 2 2 2 2" xfId="10672"/>
    <cellStyle name="Normal 2 2 4 2 2 2 2 2 2" xfId="17376"/>
    <cellStyle name="Normal 2 2 4 2 2 2 2 2 2 2" xfId="40797"/>
    <cellStyle name="Normal 2 2 4 2 2 2 2 2 3" xfId="23092"/>
    <cellStyle name="Normal 2 2 4 2 2 2 2 2 3 2" xfId="45514"/>
    <cellStyle name="Normal 2 2 4 2 2 2 2 2 4" xfId="34165"/>
    <cellStyle name="Normal 2 2 4 2 2 2 2 3" xfId="14060"/>
    <cellStyle name="Normal 2 2 4 2 2 2 2 3 2" xfId="37481"/>
    <cellStyle name="Normal 2 2 4 2 2 2 2 4" xfId="20266"/>
    <cellStyle name="Normal 2 2 4 2 2 2 2 4 2" xfId="42801"/>
    <cellStyle name="Normal 2 2 4 2 2 2 2 5" xfId="30849"/>
    <cellStyle name="Normal 2 2 4 2 2 2 3" xfId="9014"/>
    <cellStyle name="Normal 2 2 4 2 2 2 3 2" xfId="15718"/>
    <cellStyle name="Normal 2 2 4 2 2 2 3 2 2" xfId="39139"/>
    <cellStyle name="Normal 2 2 4 2 2 2 3 3" xfId="21269"/>
    <cellStyle name="Normal 2 2 4 2 2 2 3 3 2" xfId="43720"/>
    <cellStyle name="Normal 2 2 4 2 2 2 3 4" xfId="32507"/>
    <cellStyle name="Normal 2 2 4 2 2 2 4" xfId="12402"/>
    <cellStyle name="Normal 2 2 4 2 2 2 4 2" xfId="22279"/>
    <cellStyle name="Normal 2 2 4 2 2 2 4 2 2" xfId="44701"/>
    <cellStyle name="Normal 2 2 4 2 2 2 4 3" xfId="35823"/>
    <cellStyle name="Normal 2 2 4 2 2 2 5" xfId="19427"/>
    <cellStyle name="Normal 2 2 4 2 2 2 5 2" xfId="41969"/>
    <cellStyle name="Normal 2 2 4 2 2 2 6" xfId="29191"/>
    <cellStyle name="Normal 2 2 4 2 2 3" xfId="6438"/>
    <cellStyle name="Normal 2 2 4 2 2 3 2" xfId="9772"/>
    <cellStyle name="Normal 2 2 4 2 2 3 2 2" xfId="16476"/>
    <cellStyle name="Normal 2 2 4 2 2 3 2 2 2" xfId="39897"/>
    <cellStyle name="Normal 2 2 4 2 2 3 2 3" xfId="22686"/>
    <cellStyle name="Normal 2 2 4 2 2 3 2 3 2" xfId="45108"/>
    <cellStyle name="Normal 2 2 4 2 2 3 2 4" xfId="33265"/>
    <cellStyle name="Normal 2 2 4 2 2 3 3" xfId="13160"/>
    <cellStyle name="Normal 2 2 4 2 2 3 3 2" xfId="36581"/>
    <cellStyle name="Normal 2 2 4 2 2 3 4" xfId="19850"/>
    <cellStyle name="Normal 2 2 4 2 2 3 4 2" xfId="42385"/>
    <cellStyle name="Normal 2 2 4 2 2 3 5" xfId="29949"/>
    <cellStyle name="Normal 2 2 4 2 2 4" xfId="8105"/>
    <cellStyle name="Normal 2 2 4 2 2 4 2" xfId="14818"/>
    <cellStyle name="Normal 2 2 4 2 2 4 2 2" xfId="38239"/>
    <cellStyle name="Normal 2 2 4 2 2 4 3" xfId="20810"/>
    <cellStyle name="Normal 2 2 4 2 2 4 3 2" xfId="43261"/>
    <cellStyle name="Normal 2 2 4 2 2 4 4" xfId="31607"/>
    <cellStyle name="Normal 2 2 4 2 2 5" xfId="11500"/>
    <cellStyle name="Normal 2 2 4 2 2 5 2" xfId="21853"/>
    <cellStyle name="Normal 2 2 4 2 2 5 2 2" xfId="44287"/>
    <cellStyle name="Normal 2 2 4 2 2 5 3" xfId="34923"/>
    <cellStyle name="Normal 2 2 4 2 2 6" xfId="18674"/>
    <cellStyle name="Normal 2 2 4 2 2 6 2" xfId="41544"/>
    <cellStyle name="Normal 2 2 4 2 2 7" xfId="25841"/>
    <cellStyle name="Normal 2 2 4 2 2 7 2" xfId="48086"/>
    <cellStyle name="Normal 2 2 4 2 2 8" xfId="28291"/>
    <cellStyle name="Normal 2 2 4 2 3" xfId="2807"/>
    <cellStyle name="Normal 2 2 4 2 3 2" xfId="5899"/>
    <cellStyle name="Normal 2 2 4 2 3 2 2" xfId="7681"/>
    <cellStyle name="Normal 2 2 4 2 3 2 2 2" xfId="11010"/>
    <cellStyle name="Normal 2 2 4 2 3 2 2 2 2" xfId="17714"/>
    <cellStyle name="Normal 2 2 4 2 3 2 2 2 2 2" xfId="41135"/>
    <cellStyle name="Normal 2 2 4 2 3 2 2 2 3" xfId="34503"/>
    <cellStyle name="Normal 2 2 4 2 3 2 2 3" xfId="14398"/>
    <cellStyle name="Normal 2 2 4 2 3 2 2 3 2" xfId="37819"/>
    <cellStyle name="Normal 2 2 4 2 3 2 2 4" xfId="22888"/>
    <cellStyle name="Normal 2 2 4 2 3 2 2 4 2" xfId="45310"/>
    <cellStyle name="Normal 2 2 4 2 3 2 2 5" xfId="31187"/>
    <cellStyle name="Normal 2 2 4 2 3 2 3" xfId="9352"/>
    <cellStyle name="Normal 2 2 4 2 3 2 3 2" xfId="16056"/>
    <cellStyle name="Normal 2 2 4 2 3 2 3 2 2" xfId="39477"/>
    <cellStyle name="Normal 2 2 4 2 3 2 3 3" xfId="32845"/>
    <cellStyle name="Normal 2 2 4 2 3 2 4" xfId="12740"/>
    <cellStyle name="Normal 2 2 4 2 3 2 4 2" xfId="36161"/>
    <cellStyle name="Normal 2 2 4 2 3 2 5" xfId="20058"/>
    <cellStyle name="Normal 2 2 4 2 3 2 5 2" xfId="42593"/>
    <cellStyle name="Normal 2 2 4 2 3 2 6" xfId="29529"/>
    <cellStyle name="Normal 2 2 4 2 3 3" xfId="6782"/>
    <cellStyle name="Normal 2 2 4 2 3 3 2" xfId="10114"/>
    <cellStyle name="Normal 2 2 4 2 3 3 2 2" xfId="16818"/>
    <cellStyle name="Normal 2 2 4 2 3 3 2 2 2" xfId="40239"/>
    <cellStyle name="Normal 2 2 4 2 3 3 2 3" xfId="33607"/>
    <cellStyle name="Normal 2 2 4 2 3 3 3" xfId="13502"/>
    <cellStyle name="Normal 2 2 4 2 3 3 3 2" xfId="36923"/>
    <cellStyle name="Normal 2 2 4 2 3 3 4" xfId="21268"/>
    <cellStyle name="Normal 2 2 4 2 3 3 4 2" xfId="43719"/>
    <cellStyle name="Normal 2 2 4 2 3 3 5" xfId="30291"/>
    <cellStyle name="Normal 2 2 4 2 3 4" xfId="8448"/>
    <cellStyle name="Normal 2 2 4 2 3 4 2" xfId="15160"/>
    <cellStyle name="Normal 2 2 4 2 3 4 2 2" xfId="38581"/>
    <cellStyle name="Normal 2 2 4 2 3 4 3" xfId="22070"/>
    <cellStyle name="Normal 2 2 4 2 3 4 3 2" xfId="44494"/>
    <cellStyle name="Normal 2 2 4 2 3 4 4" xfId="31949"/>
    <cellStyle name="Normal 2 2 4 2 3 5" xfId="11842"/>
    <cellStyle name="Normal 2 2 4 2 3 5 2" xfId="35265"/>
    <cellStyle name="Normal 2 2 4 2 3 6" xfId="19208"/>
    <cellStyle name="Normal 2 2 4 2 3 6 2" xfId="41761"/>
    <cellStyle name="Normal 2 2 4 2 3 7" xfId="28633"/>
    <cellStyle name="Normal 2 2 4 2 4" xfId="3917"/>
    <cellStyle name="Normal 2 2 4 2 4 2" xfId="6990"/>
    <cellStyle name="Normal 2 2 4 2 4 2 2" xfId="10322"/>
    <cellStyle name="Normal 2 2 4 2 4 2 2 2" xfId="17026"/>
    <cellStyle name="Normal 2 2 4 2 4 2 2 2 2" xfId="40447"/>
    <cellStyle name="Normal 2 2 4 2 4 2 2 3" xfId="33815"/>
    <cellStyle name="Normal 2 2 4 2 4 2 3" xfId="13710"/>
    <cellStyle name="Normal 2 2 4 2 4 2 3 2" xfId="37131"/>
    <cellStyle name="Normal 2 2 4 2 4 2 4" xfId="22482"/>
    <cellStyle name="Normal 2 2 4 2 4 2 4 2" xfId="44904"/>
    <cellStyle name="Normal 2 2 4 2 4 2 5" xfId="30499"/>
    <cellStyle name="Normal 2 2 4 2 4 3" xfId="8657"/>
    <cellStyle name="Normal 2 2 4 2 4 3 2" xfId="15368"/>
    <cellStyle name="Normal 2 2 4 2 4 3 2 2" xfId="38789"/>
    <cellStyle name="Normal 2 2 4 2 4 3 3" xfId="32157"/>
    <cellStyle name="Normal 2 2 4 2 4 4" xfId="12050"/>
    <cellStyle name="Normal 2 2 4 2 4 4 2" xfId="35473"/>
    <cellStyle name="Normal 2 2 4 2 4 5" xfId="19640"/>
    <cellStyle name="Normal 2 2 4 2 4 5 2" xfId="42177"/>
    <cellStyle name="Normal 2 2 4 2 4 6" xfId="28841"/>
    <cellStyle name="Normal 2 2 4 2 5" xfId="6309"/>
    <cellStyle name="Normal 2 2 4 2 5 2" xfId="9643"/>
    <cellStyle name="Normal 2 2 4 2 5 2 2" xfId="16347"/>
    <cellStyle name="Normal 2 2 4 2 5 2 2 2" xfId="39768"/>
    <cellStyle name="Normal 2 2 4 2 5 2 3" xfId="33136"/>
    <cellStyle name="Normal 2 2 4 2 5 3" xfId="13031"/>
    <cellStyle name="Normal 2 2 4 2 5 3 2" xfId="36452"/>
    <cellStyle name="Normal 2 2 4 2 5 4" xfId="20809"/>
    <cellStyle name="Normal 2 2 4 2 5 4 2" xfId="43260"/>
    <cellStyle name="Normal 2 2 4 2 5 5" xfId="29820"/>
    <cellStyle name="Normal 2 2 4 2 6" xfId="7975"/>
    <cellStyle name="Normal 2 2 4 2 6 2" xfId="14689"/>
    <cellStyle name="Normal 2 2 4 2 6 2 2" xfId="38110"/>
    <cellStyle name="Normal 2 2 4 2 6 3" xfId="21632"/>
    <cellStyle name="Normal 2 2 4 2 6 3 2" xfId="44081"/>
    <cellStyle name="Normal 2 2 4 2 6 4" xfId="31478"/>
    <cellStyle name="Normal 2 2 4 2 7" xfId="11371"/>
    <cellStyle name="Normal 2 2 4 2 7 2" xfId="34794"/>
    <cellStyle name="Normal 2 2 4 2 8" xfId="18014"/>
    <cellStyle name="Normal 2 2 4 2 8 2" xfId="41308"/>
    <cellStyle name="Normal 2 2 4 2 9" xfId="23600"/>
    <cellStyle name="Normal 2 2 4 2 9 2" xfId="45894"/>
    <cellStyle name="Normal 2 2 4 3" xfId="2265"/>
    <cellStyle name="Normal 2 2 4 3 2" xfId="3918"/>
    <cellStyle name="Normal 2 2 4 3 2 2" xfId="6991"/>
    <cellStyle name="Normal 2 2 4 3 2 2 2" xfId="10323"/>
    <cellStyle name="Normal 2 2 4 3 2 2 2 2" xfId="17027"/>
    <cellStyle name="Normal 2 2 4 3 2 2 2 2 2" xfId="40448"/>
    <cellStyle name="Normal 2 2 4 3 2 2 2 3" xfId="23091"/>
    <cellStyle name="Normal 2 2 4 3 2 2 2 3 2" xfId="45513"/>
    <cellStyle name="Normal 2 2 4 3 2 2 2 4" xfId="33816"/>
    <cellStyle name="Normal 2 2 4 3 2 2 3" xfId="13711"/>
    <cellStyle name="Normal 2 2 4 3 2 2 3 2" xfId="37132"/>
    <cellStyle name="Normal 2 2 4 3 2 2 4" xfId="20265"/>
    <cellStyle name="Normal 2 2 4 3 2 2 4 2" xfId="42800"/>
    <cellStyle name="Normal 2 2 4 3 2 2 5" xfId="30500"/>
    <cellStyle name="Normal 2 2 4 3 2 3" xfId="8658"/>
    <cellStyle name="Normal 2 2 4 3 2 3 2" xfId="15369"/>
    <cellStyle name="Normal 2 2 4 3 2 3 2 2" xfId="38790"/>
    <cellStyle name="Normal 2 2 4 3 2 3 3" xfId="21270"/>
    <cellStyle name="Normal 2 2 4 3 2 3 3 2" xfId="43721"/>
    <cellStyle name="Normal 2 2 4 3 2 3 4" xfId="32158"/>
    <cellStyle name="Normal 2 2 4 3 2 4" xfId="12051"/>
    <cellStyle name="Normal 2 2 4 3 2 4 2" xfId="22278"/>
    <cellStyle name="Normal 2 2 4 3 2 4 2 2" xfId="44700"/>
    <cellStyle name="Normal 2 2 4 3 2 4 3" xfId="35474"/>
    <cellStyle name="Normal 2 2 4 3 2 5" xfId="19426"/>
    <cellStyle name="Normal 2 2 4 3 2 5 2" xfId="41968"/>
    <cellStyle name="Normal 2 2 4 3 2 6" xfId="25842"/>
    <cellStyle name="Normal 2 2 4 3 2 6 2" xfId="48087"/>
    <cellStyle name="Normal 2 2 4 3 2 7" xfId="28842"/>
    <cellStyle name="Normal 2 2 4 3 3" xfId="6437"/>
    <cellStyle name="Normal 2 2 4 3 3 2" xfId="9771"/>
    <cellStyle name="Normal 2 2 4 3 3 2 2" xfId="16475"/>
    <cellStyle name="Normal 2 2 4 3 3 2 2 2" xfId="39896"/>
    <cellStyle name="Normal 2 2 4 3 3 2 3" xfId="22685"/>
    <cellStyle name="Normal 2 2 4 3 3 2 3 2" xfId="45107"/>
    <cellStyle name="Normal 2 2 4 3 3 2 4" xfId="33264"/>
    <cellStyle name="Normal 2 2 4 3 3 3" xfId="13159"/>
    <cellStyle name="Normal 2 2 4 3 3 3 2" xfId="36580"/>
    <cellStyle name="Normal 2 2 4 3 3 4" xfId="19849"/>
    <cellStyle name="Normal 2 2 4 3 3 4 2" xfId="42384"/>
    <cellStyle name="Normal 2 2 4 3 3 5" xfId="29948"/>
    <cellStyle name="Normal 2 2 4 3 4" xfId="8104"/>
    <cellStyle name="Normal 2 2 4 3 4 2" xfId="14817"/>
    <cellStyle name="Normal 2 2 4 3 4 2 2" xfId="38238"/>
    <cellStyle name="Normal 2 2 4 3 4 3" xfId="20811"/>
    <cellStyle name="Normal 2 2 4 3 4 3 2" xfId="43262"/>
    <cellStyle name="Normal 2 2 4 3 4 4" xfId="31606"/>
    <cellStyle name="Normal 2 2 4 3 5" xfId="11499"/>
    <cellStyle name="Normal 2 2 4 3 5 2" xfId="21852"/>
    <cellStyle name="Normal 2 2 4 3 5 2 2" xfId="44286"/>
    <cellStyle name="Normal 2 2 4 3 5 3" xfId="34922"/>
    <cellStyle name="Normal 2 2 4 3 6" xfId="18673"/>
    <cellStyle name="Normal 2 2 4 3 6 2" xfId="41543"/>
    <cellStyle name="Normal 2 2 4 3 7" xfId="23601"/>
    <cellStyle name="Normal 2 2 4 3 7 2" xfId="45895"/>
    <cellStyle name="Normal 2 2 4 3 8" xfId="28290"/>
    <cellStyle name="Normal 2 2 4 4" xfId="2675"/>
    <cellStyle name="Normal 2 2 4 4 2" xfId="5768"/>
    <cellStyle name="Normal 2 2 4 4 2 2" xfId="7550"/>
    <cellStyle name="Normal 2 2 4 4 2 2 2" xfId="10879"/>
    <cellStyle name="Normal 2 2 4 4 2 2 2 2" xfId="17583"/>
    <cellStyle name="Normal 2 2 4 4 2 2 2 2 2" xfId="41004"/>
    <cellStyle name="Normal 2 2 4 4 2 2 2 3" xfId="34372"/>
    <cellStyle name="Normal 2 2 4 4 2 2 3" xfId="14267"/>
    <cellStyle name="Normal 2 2 4 4 2 2 3 2" xfId="37688"/>
    <cellStyle name="Normal 2 2 4 4 2 2 4" xfId="22887"/>
    <cellStyle name="Normal 2 2 4 4 2 2 4 2" xfId="45309"/>
    <cellStyle name="Normal 2 2 4 4 2 2 5" xfId="31056"/>
    <cellStyle name="Normal 2 2 4 4 2 3" xfId="9221"/>
    <cellStyle name="Normal 2 2 4 4 2 3 2" xfId="15925"/>
    <cellStyle name="Normal 2 2 4 4 2 3 2 2" xfId="39346"/>
    <cellStyle name="Normal 2 2 4 4 2 3 3" xfId="32714"/>
    <cellStyle name="Normal 2 2 4 4 2 4" xfId="12609"/>
    <cellStyle name="Normal 2 2 4 4 2 4 2" xfId="36030"/>
    <cellStyle name="Normal 2 2 4 4 2 5" xfId="20057"/>
    <cellStyle name="Normal 2 2 4 4 2 5 2" xfId="42592"/>
    <cellStyle name="Normal 2 2 4 4 2 6" xfId="29398"/>
    <cellStyle name="Normal 2 2 4 4 3" xfId="6651"/>
    <cellStyle name="Normal 2 2 4 4 3 2" xfId="9983"/>
    <cellStyle name="Normal 2 2 4 4 3 2 2" xfId="16687"/>
    <cellStyle name="Normal 2 2 4 4 3 2 2 2" xfId="40108"/>
    <cellStyle name="Normal 2 2 4 4 3 2 3" xfId="33476"/>
    <cellStyle name="Normal 2 2 4 4 3 3" xfId="13371"/>
    <cellStyle name="Normal 2 2 4 4 3 3 2" xfId="36792"/>
    <cellStyle name="Normal 2 2 4 4 3 4" xfId="21267"/>
    <cellStyle name="Normal 2 2 4 4 3 4 2" xfId="43718"/>
    <cellStyle name="Normal 2 2 4 4 3 5" xfId="30160"/>
    <cellStyle name="Normal 2 2 4 4 4" xfId="8317"/>
    <cellStyle name="Normal 2 2 4 4 4 2" xfId="15029"/>
    <cellStyle name="Normal 2 2 4 4 4 2 2" xfId="38450"/>
    <cellStyle name="Normal 2 2 4 4 4 3" xfId="22069"/>
    <cellStyle name="Normal 2 2 4 4 4 3 2" xfId="44493"/>
    <cellStyle name="Normal 2 2 4 4 4 4" xfId="31818"/>
    <cellStyle name="Normal 2 2 4 4 5" xfId="11711"/>
    <cellStyle name="Normal 2 2 4 4 5 2" xfId="35134"/>
    <cellStyle name="Normal 2 2 4 4 6" xfId="19207"/>
    <cellStyle name="Normal 2 2 4 4 6 2" xfId="41760"/>
    <cellStyle name="Normal 2 2 4 4 7" xfId="28502"/>
    <cellStyle name="Normal 2 2 4 5" xfId="3916"/>
    <cellStyle name="Normal 2 2 4 5 2" xfId="19639"/>
    <cellStyle name="Normal 2 2 4 5 2 2" xfId="42176"/>
    <cellStyle name="Normal 2 2 4 6" xfId="6178"/>
    <cellStyle name="Normal 2 2 4 6 2" xfId="9512"/>
    <cellStyle name="Normal 2 2 4 6 2 2" xfId="16216"/>
    <cellStyle name="Normal 2 2 4 6 2 2 2" xfId="39637"/>
    <cellStyle name="Normal 2 2 4 6 2 3" xfId="33005"/>
    <cellStyle name="Normal 2 2 4 6 3" xfId="12900"/>
    <cellStyle name="Normal 2 2 4 6 3 2" xfId="36321"/>
    <cellStyle name="Normal 2 2 4 6 4" xfId="20808"/>
    <cellStyle name="Normal 2 2 4 6 4 2" xfId="43259"/>
    <cellStyle name="Normal 2 2 4 6 5" xfId="29689"/>
    <cellStyle name="Normal 2 2 4 7" xfId="7844"/>
    <cellStyle name="Normal 2 2 4 7 2" xfId="14558"/>
    <cellStyle name="Normal 2 2 4 7 2 2" xfId="37979"/>
    <cellStyle name="Normal 2 2 4 7 3" xfId="21631"/>
    <cellStyle name="Normal 2 2 4 7 3 2" xfId="44080"/>
    <cellStyle name="Normal 2 2 4 7 4" xfId="31347"/>
    <cellStyle name="Normal 2 2 4 8" xfId="11240"/>
    <cellStyle name="Normal 2 2 4 8 2" xfId="34663"/>
    <cellStyle name="Normal 2 2 4 9" xfId="18013"/>
    <cellStyle name="Normal 2 2 4 9 2" xfId="41307"/>
    <cellStyle name="Normal 2 2 5" xfId="2261"/>
    <cellStyle name="Normal 2 2 5 2" xfId="5516"/>
    <cellStyle name="Normal 2 2 5 2 2" xfId="7340"/>
    <cellStyle name="Normal 2 2 5 2 2 2" xfId="10671"/>
    <cellStyle name="Normal 2 2 5 2 2 2 2" xfId="17375"/>
    <cellStyle name="Normal 2 2 5 2 2 2 2 2" xfId="40796"/>
    <cellStyle name="Normal 2 2 5 2 2 2 3" xfId="23090"/>
    <cellStyle name="Normal 2 2 5 2 2 2 3 2" xfId="45512"/>
    <cellStyle name="Normal 2 2 5 2 2 2 4" xfId="34164"/>
    <cellStyle name="Normal 2 2 5 2 2 3" xfId="14059"/>
    <cellStyle name="Normal 2 2 5 2 2 3 2" xfId="37480"/>
    <cellStyle name="Normal 2 2 5 2 2 4" xfId="20264"/>
    <cellStyle name="Normal 2 2 5 2 2 4 2" xfId="42799"/>
    <cellStyle name="Normal 2 2 5 2 2 5" xfId="30848"/>
    <cellStyle name="Normal 2 2 5 2 3" xfId="9013"/>
    <cellStyle name="Normal 2 2 5 2 3 2" xfId="15717"/>
    <cellStyle name="Normal 2 2 5 2 3 2 2" xfId="39138"/>
    <cellStyle name="Normal 2 2 5 2 3 3" xfId="21271"/>
    <cellStyle name="Normal 2 2 5 2 3 3 2" xfId="43722"/>
    <cellStyle name="Normal 2 2 5 2 3 4" xfId="32506"/>
    <cellStyle name="Normal 2 2 5 2 4" xfId="12401"/>
    <cellStyle name="Normal 2 2 5 2 4 2" xfId="22277"/>
    <cellStyle name="Normal 2 2 5 2 4 2 2" xfId="44699"/>
    <cellStyle name="Normal 2 2 5 2 4 3" xfId="35822"/>
    <cellStyle name="Normal 2 2 5 2 5" xfId="19425"/>
    <cellStyle name="Normal 2 2 5 2 5 2" xfId="41967"/>
    <cellStyle name="Normal 2 2 5 2 6" xfId="29190"/>
    <cellStyle name="Normal 2 2 5 3" xfId="5002"/>
    <cellStyle name="Normal 2 2 5 3 2" xfId="19848"/>
    <cellStyle name="Normal 2 2 5 3 2 2" xfId="42383"/>
    <cellStyle name="Normal 2 2 5 4" xfId="6436"/>
    <cellStyle name="Normal 2 2 5 4 2" xfId="9770"/>
    <cellStyle name="Normal 2 2 5 4 2 2" xfId="16474"/>
    <cellStyle name="Normal 2 2 5 4 2 2 2" xfId="39895"/>
    <cellStyle name="Normal 2 2 5 4 2 3" xfId="33263"/>
    <cellStyle name="Normal 2 2 5 4 3" xfId="13158"/>
    <cellStyle name="Normal 2 2 5 4 3 2" xfId="36579"/>
    <cellStyle name="Normal 2 2 5 4 4" xfId="20812"/>
    <cellStyle name="Normal 2 2 5 4 4 2" xfId="43263"/>
    <cellStyle name="Normal 2 2 5 4 5" xfId="29947"/>
    <cellStyle name="Normal 2 2 5 5" xfId="8103"/>
    <cellStyle name="Normal 2 2 5 5 2" xfId="14816"/>
    <cellStyle name="Normal 2 2 5 5 2 2" xfId="38237"/>
    <cellStyle name="Normal 2 2 5 5 3" xfId="21851"/>
    <cellStyle name="Normal 2 2 5 5 3 2" xfId="44285"/>
    <cellStyle name="Normal 2 2 5 5 4" xfId="31605"/>
    <cellStyle name="Normal 2 2 5 6" xfId="11498"/>
    <cellStyle name="Normal 2 2 5 6 2" xfId="34921"/>
    <cellStyle name="Normal 2 2 5 7" xfId="18668"/>
    <cellStyle name="Normal 2 2 5 7 2" xfId="41542"/>
    <cellStyle name="Normal 2 2 5 8" xfId="28289"/>
    <cellStyle name="Normal 2 2 6" xfId="19206"/>
    <cellStyle name="Normal 2 2 6 2" xfId="20056"/>
    <cellStyle name="Normal 2 2 6 2 2" xfId="20589"/>
    <cellStyle name="Normal 2 2 6 2 2 2" xfId="43040"/>
    <cellStyle name="Normal 2 2 6 2 3" xfId="21507"/>
    <cellStyle name="Normal 2 2 6 2 3 2" xfId="43958"/>
    <cellStyle name="Normal 2 2 6 2 4" xfId="22886"/>
    <cellStyle name="Normal 2 2 6 2 4 2" xfId="45308"/>
    <cellStyle name="Normal 2 2 6 2 5" xfId="42591"/>
    <cellStyle name="Normal 2 2 6 3" xfId="20491"/>
    <cellStyle name="Normal 2 2 6 3 2" xfId="42944"/>
    <cellStyle name="Normal 2 2 6 4" xfId="21048"/>
    <cellStyle name="Normal 2 2 6 4 2" xfId="43499"/>
    <cellStyle name="Normal 2 2 6 5" xfId="22068"/>
    <cellStyle name="Normal 2 2 6 5 2" xfId="44492"/>
    <cellStyle name="Normal 2 2 6 6" xfId="41759"/>
    <cellStyle name="Normal 2 2 7" xfId="19638"/>
    <cellStyle name="Normal 2 2 7 2" xfId="20540"/>
    <cellStyle name="Normal 2 2 7 2 2" xfId="42992"/>
    <cellStyle name="Normal 2 2 7 3" xfId="21266"/>
    <cellStyle name="Normal 2 2 7 3 2" xfId="43717"/>
    <cellStyle name="Normal 2 2 7 4" xfId="22481"/>
    <cellStyle name="Normal 2 2 7 4 2" xfId="44903"/>
    <cellStyle name="Normal 2 2 7 5" xfId="42175"/>
    <cellStyle name="Normal 2 2 8" xfId="18011"/>
    <cellStyle name="Normal 2 2 8 2" xfId="41306"/>
    <cellStyle name="Normal 2 2 9" xfId="20807"/>
    <cellStyle name="Normal 2 2 9 2" xfId="43258"/>
    <cellStyle name="Normal 2 2_Pivot Table Tips" xfId="1599"/>
    <cellStyle name="Normal 2 3" xfId="482"/>
    <cellStyle name="Normal 2 3 2" xfId="1148"/>
    <cellStyle name="Normal 2 3 2 2" xfId="3920"/>
    <cellStyle name="Normal 2 3 2 3" xfId="3921"/>
    <cellStyle name="Normal 2 3 2 4" xfId="3919"/>
    <cellStyle name="Normal 2 3 3" xfId="1083"/>
    <cellStyle name="Normal 2 3 3 2" xfId="3923"/>
    <cellStyle name="Normal 2 3 3 3" xfId="5114"/>
    <cellStyle name="Normal 2 3 3 4" xfId="3922"/>
    <cellStyle name="Normal 2 3 4" xfId="1601"/>
    <cellStyle name="Normal 2 3 4 2" xfId="3925"/>
    <cellStyle name="Normal 2 3 4 3" xfId="3924"/>
    <cellStyle name="Normal 2 3 5" xfId="1600"/>
    <cellStyle name="Normal 2 3 5 2" xfId="18677"/>
    <cellStyle name="Normal 2 3 6" xfId="18675"/>
    <cellStyle name="Normal 2 4" xfId="855"/>
    <cellStyle name="Normal 2 4 2" xfId="1149"/>
    <cellStyle name="Normal 2 4 2 2" xfId="3927"/>
    <cellStyle name="Normal 2 4 2 2 2" xfId="18678"/>
    <cellStyle name="Normal 2 4 2 3" xfId="3928"/>
    <cellStyle name="Normal 2 4 2 4" xfId="3926"/>
    <cellStyle name="Normal 2 4 3" xfId="1084"/>
    <cellStyle name="Normal 2 4 3 2" xfId="3930"/>
    <cellStyle name="Normal 2 4 3 3" xfId="3929"/>
    <cellStyle name="Normal 2 4 4" xfId="1603"/>
    <cellStyle name="Normal 2 4 4 2" xfId="18679"/>
    <cellStyle name="Normal 2 4 5" xfId="1602"/>
    <cellStyle name="Normal 2 4 6" xfId="5001"/>
    <cellStyle name="Normal 2 5" xfId="856"/>
    <cellStyle name="Normal 2 5 2" xfId="1605"/>
    <cellStyle name="Normal 2 5 2 2" xfId="18681"/>
    <cellStyle name="Normal 2 5 3" xfId="1604"/>
    <cellStyle name="Normal 2 5 3 2" xfId="18682"/>
    <cellStyle name="Normal 2 5 4" xfId="18680"/>
    <cellStyle name="Normal 2 6" xfId="1220"/>
    <cellStyle name="Normal 2 6 2" xfId="1607"/>
    <cellStyle name="Normal 2 6 2 2" xfId="3932"/>
    <cellStyle name="Normal 2 6 2 3" xfId="3931"/>
    <cellStyle name="Normal 2 6 3" xfId="1606"/>
    <cellStyle name="Normal 2 6 3 2" xfId="3934"/>
    <cellStyle name="Normal 2 6 3 3" xfId="3933"/>
    <cellStyle name="Normal 2 6 4" xfId="3935"/>
    <cellStyle name="Normal 2 6 4 2" xfId="18683"/>
    <cellStyle name="Normal 2 7" xfId="1400"/>
    <cellStyle name="Normal 2 7 10" xfId="11162"/>
    <cellStyle name="Normal 2 7 10 2" xfId="34585"/>
    <cellStyle name="Normal 2 7 11" xfId="27953"/>
    <cellStyle name="Normal 2 7 2" xfId="1453"/>
    <cellStyle name="Normal 2 7 2 10" xfId="18016"/>
    <cellStyle name="Normal 2 7 2 10 2" xfId="41309"/>
    <cellStyle name="Normal 2 7 2 11" xfId="23607"/>
    <cellStyle name="Normal 2 7 2 11 2" xfId="45897"/>
    <cellStyle name="Normal 2 7 2 12" xfId="27989"/>
    <cellStyle name="Normal 2 7 2 2" xfId="1609"/>
    <cellStyle name="Normal 2 7 2 2 10" xfId="23608"/>
    <cellStyle name="Normal 2 7 2 2 10 2" xfId="45898"/>
    <cellStyle name="Normal 2 7 2 2 11" xfId="28032"/>
    <cellStyle name="Normal 2 7 2 2 2" xfId="1811"/>
    <cellStyle name="Normal 2 7 2 2 2 10" xfId="28163"/>
    <cellStyle name="Normal 2 7 2 2 2 2" xfId="2271"/>
    <cellStyle name="Normal 2 7 2 2 2 2 2" xfId="5520"/>
    <cellStyle name="Normal 2 7 2 2 2 2 2 2" xfId="7344"/>
    <cellStyle name="Normal 2 7 2 2 2 2 2 2 2" xfId="10675"/>
    <cellStyle name="Normal 2 7 2 2 2 2 2 2 2 2" xfId="17379"/>
    <cellStyle name="Normal 2 7 2 2 2 2 2 2 2 2 2" xfId="40800"/>
    <cellStyle name="Normal 2 7 2 2 2 2 2 2 2 3" xfId="23095"/>
    <cellStyle name="Normal 2 7 2 2 2 2 2 2 2 3 2" xfId="45517"/>
    <cellStyle name="Normal 2 7 2 2 2 2 2 2 2 4" xfId="34168"/>
    <cellStyle name="Normal 2 7 2 2 2 2 2 2 3" xfId="14063"/>
    <cellStyle name="Normal 2 7 2 2 2 2 2 2 3 2" xfId="37484"/>
    <cellStyle name="Normal 2 7 2 2 2 2 2 2 4" xfId="20269"/>
    <cellStyle name="Normal 2 7 2 2 2 2 2 2 4 2" xfId="42804"/>
    <cellStyle name="Normal 2 7 2 2 2 2 2 2 5" xfId="30852"/>
    <cellStyle name="Normal 2 7 2 2 2 2 2 3" xfId="9017"/>
    <cellStyle name="Normal 2 7 2 2 2 2 2 3 2" xfId="15721"/>
    <cellStyle name="Normal 2 7 2 2 2 2 2 3 2 2" xfId="39142"/>
    <cellStyle name="Normal 2 7 2 2 2 2 2 3 3" xfId="21275"/>
    <cellStyle name="Normal 2 7 2 2 2 2 2 3 3 2" xfId="43726"/>
    <cellStyle name="Normal 2 7 2 2 2 2 2 3 4" xfId="32510"/>
    <cellStyle name="Normal 2 7 2 2 2 2 2 4" xfId="12405"/>
    <cellStyle name="Normal 2 7 2 2 2 2 2 4 2" xfId="22282"/>
    <cellStyle name="Normal 2 7 2 2 2 2 2 4 2 2" xfId="44704"/>
    <cellStyle name="Normal 2 7 2 2 2 2 2 4 3" xfId="35826"/>
    <cellStyle name="Normal 2 7 2 2 2 2 2 5" xfId="19430"/>
    <cellStyle name="Normal 2 7 2 2 2 2 2 5 2" xfId="41972"/>
    <cellStyle name="Normal 2 7 2 2 2 2 2 6" xfId="29194"/>
    <cellStyle name="Normal 2 7 2 2 2 2 3" xfId="6441"/>
    <cellStyle name="Normal 2 7 2 2 2 2 3 2" xfId="9775"/>
    <cellStyle name="Normal 2 7 2 2 2 2 3 2 2" xfId="16479"/>
    <cellStyle name="Normal 2 7 2 2 2 2 3 2 2 2" xfId="39900"/>
    <cellStyle name="Normal 2 7 2 2 2 2 3 2 3" xfId="22689"/>
    <cellStyle name="Normal 2 7 2 2 2 2 3 2 3 2" xfId="45111"/>
    <cellStyle name="Normal 2 7 2 2 2 2 3 2 4" xfId="33268"/>
    <cellStyle name="Normal 2 7 2 2 2 2 3 3" xfId="13163"/>
    <cellStyle name="Normal 2 7 2 2 2 2 3 3 2" xfId="36584"/>
    <cellStyle name="Normal 2 7 2 2 2 2 3 4" xfId="19853"/>
    <cellStyle name="Normal 2 7 2 2 2 2 3 4 2" xfId="42388"/>
    <cellStyle name="Normal 2 7 2 2 2 2 3 5" xfId="29952"/>
    <cellStyle name="Normal 2 7 2 2 2 2 4" xfId="8108"/>
    <cellStyle name="Normal 2 7 2 2 2 2 4 2" xfId="14821"/>
    <cellStyle name="Normal 2 7 2 2 2 2 4 2 2" xfId="38242"/>
    <cellStyle name="Normal 2 7 2 2 2 2 4 3" xfId="20816"/>
    <cellStyle name="Normal 2 7 2 2 2 2 4 3 2" xfId="43267"/>
    <cellStyle name="Normal 2 7 2 2 2 2 4 4" xfId="31610"/>
    <cellStyle name="Normal 2 7 2 2 2 2 5" xfId="11503"/>
    <cellStyle name="Normal 2 7 2 2 2 2 5 2" xfId="21856"/>
    <cellStyle name="Normal 2 7 2 2 2 2 5 2 2" xfId="44290"/>
    <cellStyle name="Normal 2 7 2 2 2 2 5 3" xfId="34926"/>
    <cellStyle name="Normal 2 7 2 2 2 2 6" xfId="18687"/>
    <cellStyle name="Normal 2 7 2 2 2 2 6 2" xfId="41547"/>
    <cellStyle name="Normal 2 7 2 2 2 2 7" xfId="25845"/>
    <cellStyle name="Normal 2 7 2 2 2 2 7 2" xfId="48090"/>
    <cellStyle name="Normal 2 7 2 2 2 2 8" xfId="28294"/>
    <cellStyle name="Normal 2 7 2 2 2 3" xfId="2808"/>
    <cellStyle name="Normal 2 7 2 2 2 3 2" xfId="5900"/>
    <cellStyle name="Normal 2 7 2 2 2 3 2 2" xfId="7682"/>
    <cellStyle name="Normal 2 7 2 2 2 3 2 2 2" xfId="11011"/>
    <cellStyle name="Normal 2 7 2 2 2 3 2 2 2 2" xfId="17715"/>
    <cellStyle name="Normal 2 7 2 2 2 3 2 2 2 2 2" xfId="41136"/>
    <cellStyle name="Normal 2 7 2 2 2 3 2 2 2 3" xfId="34504"/>
    <cellStyle name="Normal 2 7 2 2 2 3 2 2 3" xfId="14399"/>
    <cellStyle name="Normal 2 7 2 2 2 3 2 2 3 2" xfId="37820"/>
    <cellStyle name="Normal 2 7 2 2 2 3 2 2 4" xfId="22891"/>
    <cellStyle name="Normal 2 7 2 2 2 3 2 2 4 2" xfId="45313"/>
    <cellStyle name="Normal 2 7 2 2 2 3 2 2 5" xfId="31188"/>
    <cellStyle name="Normal 2 7 2 2 2 3 2 3" xfId="9353"/>
    <cellStyle name="Normal 2 7 2 2 2 3 2 3 2" xfId="16057"/>
    <cellStyle name="Normal 2 7 2 2 2 3 2 3 2 2" xfId="39478"/>
    <cellStyle name="Normal 2 7 2 2 2 3 2 3 3" xfId="32846"/>
    <cellStyle name="Normal 2 7 2 2 2 3 2 4" xfId="12741"/>
    <cellStyle name="Normal 2 7 2 2 2 3 2 4 2" xfId="36162"/>
    <cellStyle name="Normal 2 7 2 2 2 3 2 5" xfId="20061"/>
    <cellStyle name="Normal 2 7 2 2 2 3 2 5 2" xfId="42596"/>
    <cellStyle name="Normal 2 7 2 2 2 3 2 6" xfId="29530"/>
    <cellStyle name="Normal 2 7 2 2 2 3 3" xfId="6783"/>
    <cellStyle name="Normal 2 7 2 2 2 3 3 2" xfId="10115"/>
    <cellStyle name="Normal 2 7 2 2 2 3 3 2 2" xfId="16819"/>
    <cellStyle name="Normal 2 7 2 2 2 3 3 2 2 2" xfId="40240"/>
    <cellStyle name="Normal 2 7 2 2 2 3 3 2 3" xfId="33608"/>
    <cellStyle name="Normal 2 7 2 2 2 3 3 3" xfId="13503"/>
    <cellStyle name="Normal 2 7 2 2 2 3 3 3 2" xfId="36924"/>
    <cellStyle name="Normal 2 7 2 2 2 3 3 4" xfId="21274"/>
    <cellStyle name="Normal 2 7 2 2 2 3 3 4 2" xfId="43725"/>
    <cellStyle name="Normal 2 7 2 2 2 3 3 5" xfId="30292"/>
    <cellStyle name="Normal 2 7 2 2 2 3 4" xfId="8449"/>
    <cellStyle name="Normal 2 7 2 2 2 3 4 2" xfId="15161"/>
    <cellStyle name="Normal 2 7 2 2 2 3 4 2 2" xfId="38582"/>
    <cellStyle name="Normal 2 7 2 2 2 3 4 3" xfId="22073"/>
    <cellStyle name="Normal 2 7 2 2 2 3 4 3 2" xfId="44497"/>
    <cellStyle name="Normal 2 7 2 2 2 3 4 4" xfId="31950"/>
    <cellStyle name="Normal 2 7 2 2 2 3 5" xfId="11843"/>
    <cellStyle name="Normal 2 7 2 2 2 3 5 2" xfId="35266"/>
    <cellStyle name="Normal 2 7 2 2 2 3 6" xfId="19211"/>
    <cellStyle name="Normal 2 7 2 2 2 3 6 2" xfId="41764"/>
    <cellStyle name="Normal 2 7 2 2 2 3 7" xfId="28634"/>
    <cellStyle name="Normal 2 7 2 2 2 4" xfId="3939"/>
    <cellStyle name="Normal 2 7 2 2 2 4 2" xfId="6994"/>
    <cellStyle name="Normal 2 7 2 2 2 4 2 2" xfId="10326"/>
    <cellStyle name="Normal 2 7 2 2 2 4 2 2 2" xfId="17030"/>
    <cellStyle name="Normal 2 7 2 2 2 4 2 2 2 2" xfId="40451"/>
    <cellStyle name="Normal 2 7 2 2 2 4 2 2 3" xfId="33819"/>
    <cellStyle name="Normal 2 7 2 2 2 4 2 3" xfId="13714"/>
    <cellStyle name="Normal 2 7 2 2 2 4 2 3 2" xfId="37135"/>
    <cellStyle name="Normal 2 7 2 2 2 4 2 4" xfId="22485"/>
    <cellStyle name="Normal 2 7 2 2 2 4 2 4 2" xfId="44907"/>
    <cellStyle name="Normal 2 7 2 2 2 4 2 5" xfId="30503"/>
    <cellStyle name="Normal 2 7 2 2 2 4 3" xfId="8661"/>
    <cellStyle name="Normal 2 7 2 2 2 4 3 2" xfId="15372"/>
    <cellStyle name="Normal 2 7 2 2 2 4 3 2 2" xfId="38793"/>
    <cellStyle name="Normal 2 7 2 2 2 4 3 3" xfId="32161"/>
    <cellStyle name="Normal 2 7 2 2 2 4 4" xfId="12054"/>
    <cellStyle name="Normal 2 7 2 2 2 4 4 2" xfId="35477"/>
    <cellStyle name="Normal 2 7 2 2 2 4 5" xfId="19643"/>
    <cellStyle name="Normal 2 7 2 2 2 4 5 2" xfId="42180"/>
    <cellStyle name="Normal 2 7 2 2 2 4 6" xfId="28845"/>
    <cellStyle name="Normal 2 7 2 2 2 5" xfId="6310"/>
    <cellStyle name="Normal 2 7 2 2 2 5 2" xfId="9644"/>
    <cellStyle name="Normal 2 7 2 2 2 5 2 2" xfId="16348"/>
    <cellStyle name="Normal 2 7 2 2 2 5 2 2 2" xfId="39769"/>
    <cellStyle name="Normal 2 7 2 2 2 5 2 3" xfId="33137"/>
    <cellStyle name="Normal 2 7 2 2 2 5 3" xfId="13032"/>
    <cellStyle name="Normal 2 7 2 2 2 5 3 2" xfId="36453"/>
    <cellStyle name="Normal 2 7 2 2 2 5 4" xfId="20815"/>
    <cellStyle name="Normal 2 7 2 2 2 5 4 2" xfId="43266"/>
    <cellStyle name="Normal 2 7 2 2 2 5 5" xfId="29821"/>
    <cellStyle name="Normal 2 7 2 2 2 6" xfId="7976"/>
    <cellStyle name="Normal 2 7 2 2 2 6 2" xfId="14690"/>
    <cellStyle name="Normal 2 7 2 2 2 6 2 2" xfId="38111"/>
    <cellStyle name="Normal 2 7 2 2 2 6 3" xfId="21635"/>
    <cellStyle name="Normal 2 7 2 2 2 6 3 2" xfId="44084"/>
    <cellStyle name="Normal 2 7 2 2 2 6 4" xfId="31479"/>
    <cellStyle name="Normal 2 7 2 2 2 7" xfId="11372"/>
    <cellStyle name="Normal 2 7 2 2 2 7 2" xfId="34795"/>
    <cellStyle name="Normal 2 7 2 2 2 8" xfId="18018"/>
    <cellStyle name="Normal 2 7 2 2 2 8 2" xfId="41311"/>
    <cellStyle name="Normal 2 7 2 2 2 9" xfId="23609"/>
    <cellStyle name="Normal 2 7 2 2 2 9 2" xfId="45899"/>
    <cellStyle name="Normal 2 7 2 2 3" xfId="2270"/>
    <cellStyle name="Normal 2 7 2 2 3 2" xfId="5519"/>
    <cellStyle name="Normal 2 7 2 2 3 2 2" xfId="7343"/>
    <cellStyle name="Normal 2 7 2 2 3 2 2 2" xfId="10674"/>
    <cellStyle name="Normal 2 7 2 2 3 2 2 2 2" xfId="17378"/>
    <cellStyle name="Normal 2 7 2 2 3 2 2 2 2 2" xfId="40799"/>
    <cellStyle name="Normal 2 7 2 2 3 2 2 2 3" xfId="23094"/>
    <cellStyle name="Normal 2 7 2 2 3 2 2 2 3 2" xfId="45516"/>
    <cellStyle name="Normal 2 7 2 2 3 2 2 2 4" xfId="34167"/>
    <cellStyle name="Normal 2 7 2 2 3 2 2 3" xfId="14062"/>
    <cellStyle name="Normal 2 7 2 2 3 2 2 3 2" xfId="37483"/>
    <cellStyle name="Normal 2 7 2 2 3 2 2 4" xfId="20268"/>
    <cellStyle name="Normal 2 7 2 2 3 2 2 4 2" xfId="42803"/>
    <cellStyle name="Normal 2 7 2 2 3 2 2 5" xfId="30851"/>
    <cellStyle name="Normal 2 7 2 2 3 2 3" xfId="9016"/>
    <cellStyle name="Normal 2 7 2 2 3 2 3 2" xfId="15720"/>
    <cellStyle name="Normal 2 7 2 2 3 2 3 2 2" xfId="39141"/>
    <cellStyle name="Normal 2 7 2 2 3 2 3 3" xfId="21276"/>
    <cellStyle name="Normal 2 7 2 2 3 2 3 3 2" xfId="43727"/>
    <cellStyle name="Normal 2 7 2 2 3 2 3 4" xfId="32509"/>
    <cellStyle name="Normal 2 7 2 2 3 2 4" xfId="12404"/>
    <cellStyle name="Normal 2 7 2 2 3 2 4 2" xfId="22281"/>
    <cellStyle name="Normal 2 7 2 2 3 2 4 2 2" xfId="44703"/>
    <cellStyle name="Normal 2 7 2 2 3 2 4 3" xfId="35825"/>
    <cellStyle name="Normal 2 7 2 2 3 2 5" xfId="19429"/>
    <cellStyle name="Normal 2 7 2 2 3 2 5 2" xfId="41971"/>
    <cellStyle name="Normal 2 7 2 2 3 2 6" xfId="29193"/>
    <cellStyle name="Normal 2 7 2 2 3 3" xfId="6440"/>
    <cellStyle name="Normal 2 7 2 2 3 3 2" xfId="9774"/>
    <cellStyle name="Normal 2 7 2 2 3 3 2 2" xfId="16478"/>
    <cellStyle name="Normal 2 7 2 2 3 3 2 2 2" xfId="39899"/>
    <cellStyle name="Normal 2 7 2 2 3 3 2 3" xfId="22688"/>
    <cellStyle name="Normal 2 7 2 2 3 3 2 3 2" xfId="45110"/>
    <cellStyle name="Normal 2 7 2 2 3 3 2 4" xfId="33267"/>
    <cellStyle name="Normal 2 7 2 2 3 3 3" xfId="13162"/>
    <cellStyle name="Normal 2 7 2 2 3 3 3 2" xfId="36583"/>
    <cellStyle name="Normal 2 7 2 2 3 3 4" xfId="19852"/>
    <cellStyle name="Normal 2 7 2 2 3 3 4 2" xfId="42387"/>
    <cellStyle name="Normal 2 7 2 2 3 3 5" xfId="29951"/>
    <cellStyle name="Normal 2 7 2 2 3 4" xfId="8107"/>
    <cellStyle name="Normal 2 7 2 2 3 4 2" xfId="14820"/>
    <cellStyle name="Normal 2 7 2 2 3 4 2 2" xfId="38241"/>
    <cellStyle name="Normal 2 7 2 2 3 4 3" xfId="20817"/>
    <cellStyle name="Normal 2 7 2 2 3 4 3 2" xfId="43268"/>
    <cellStyle name="Normal 2 7 2 2 3 4 4" xfId="31609"/>
    <cellStyle name="Normal 2 7 2 2 3 5" xfId="11502"/>
    <cellStyle name="Normal 2 7 2 2 3 5 2" xfId="21855"/>
    <cellStyle name="Normal 2 7 2 2 3 5 2 2" xfId="44289"/>
    <cellStyle name="Normal 2 7 2 2 3 5 3" xfId="34925"/>
    <cellStyle name="Normal 2 7 2 2 3 6" xfId="18686"/>
    <cellStyle name="Normal 2 7 2 2 3 6 2" xfId="41546"/>
    <cellStyle name="Normal 2 7 2 2 3 7" xfId="25844"/>
    <cellStyle name="Normal 2 7 2 2 3 7 2" xfId="48089"/>
    <cellStyle name="Normal 2 7 2 2 3 8" xfId="28293"/>
    <cellStyle name="Normal 2 7 2 2 4" xfId="2676"/>
    <cellStyle name="Normal 2 7 2 2 4 2" xfId="5769"/>
    <cellStyle name="Normal 2 7 2 2 4 2 2" xfId="7551"/>
    <cellStyle name="Normal 2 7 2 2 4 2 2 2" xfId="10880"/>
    <cellStyle name="Normal 2 7 2 2 4 2 2 2 2" xfId="17584"/>
    <cellStyle name="Normal 2 7 2 2 4 2 2 2 2 2" xfId="41005"/>
    <cellStyle name="Normal 2 7 2 2 4 2 2 2 3" xfId="34373"/>
    <cellStyle name="Normal 2 7 2 2 4 2 2 3" xfId="14268"/>
    <cellStyle name="Normal 2 7 2 2 4 2 2 3 2" xfId="37689"/>
    <cellStyle name="Normal 2 7 2 2 4 2 2 4" xfId="22890"/>
    <cellStyle name="Normal 2 7 2 2 4 2 2 4 2" xfId="45312"/>
    <cellStyle name="Normal 2 7 2 2 4 2 2 5" xfId="31057"/>
    <cellStyle name="Normal 2 7 2 2 4 2 3" xfId="9222"/>
    <cellStyle name="Normal 2 7 2 2 4 2 3 2" xfId="15926"/>
    <cellStyle name="Normal 2 7 2 2 4 2 3 2 2" xfId="39347"/>
    <cellStyle name="Normal 2 7 2 2 4 2 3 3" xfId="32715"/>
    <cellStyle name="Normal 2 7 2 2 4 2 4" xfId="12610"/>
    <cellStyle name="Normal 2 7 2 2 4 2 4 2" xfId="36031"/>
    <cellStyle name="Normal 2 7 2 2 4 2 5" xfId="20060"/>
    <cellStyle name="Normal 2 7 2 2 4 2 5 2" xfId="42595"/>
    <cellStyle name="Normal 2 7 2 2 4 2 6" xfId="29399"/>
    <cellStyle name="Normal 2 7 2 2 4 3" xfId="6652"/>
    <cellStyle name="Normal 2 7 2 2 4 3 2" xfId="9984"/>
    <cellStyle name="Normal 2 7 2 2 4 3 2 2" xfId="16688"/>
    <cellStyle name="Normal 2 7 2 2 4 3 2 2 2" xfId="40109"/>
    <cellStyle name="Normal 2 7 2 2 4 3 2 3" xfId="33477"/>
    <cellStyle name="Normal 2 7 2 2 4 3 3" xfId="13372"/>
    <cellStyle name="Normal 2 7 2 2 4 3 3 2" xfId="36793"/>
    <cellStyle name="Normal 2 7 2 2 4 3 4" xfId="21273"/>
    <cellStyle name="Normal 2 7 2 2 4 3 4 2" xfId="43724"/>
    <cellStyle name="Normal 2 7 2 2 4 3 5" xfId="30161"/>
    <cellStyle name="Normal 2 7 2 2 4 4" xfId="8318"/>
    <cellStyle name="Normal 2 7 2 2 4 4 2" xfId="15030"/>
    <cellStyle name="Normal 2 7 2 2 4 4 2 2" xfId="38451"/>
    <cellStyle name="Normal 2 7 2 2 4 4 3" xfId="22072"/>
    <cellStyle name="Normal 2 7 2 2 4 4 3 2" xfId="44496"/>
    <cellStyle name="Normal 2 7 2 2 4 4 4" xfId="31819"/>
    <cellStyle name="Normal 2 7 2 2 4 5" xfId="11712"/>
    <cellStyle name="Normal 2 7 2 2 4 5 2" xfId="35135"/>
    <cellStyle name="Normal 2 7 2 2 4 6" xfId="19210"/>
    <cellStyle name="Normal 2 7 2 2 4 6 2" xfId="41763"/>
    <cellStyle name="Normal 2 7 2 2 4 7" xfId="28503"/>
    <cellStyle name="Normal 2 7 2 2 5" xfId="3938"/>
    <cellStyle name="Normal 2 7 2 2 5 2" xfId="6993"/>
    <cellStyle name="Normal 2 7 2 2 5 2 2" xfId="10325"/>
    <cellStyle name="Normal 2 7 2 2 5 2 2 2" xfId="17029"/>
    <cellStyle name="Normal 2 7 2 2 5 2 2 2 2" xfId="40450"/>
    <cellStyle name="Normal 2 7 2 2 5 2 2 3" xfId="33818"/>
    <cellStyle name="Normal 2 7 2 2 5 2 3" xfId="13713"/>
    <cellStyle name="Normal 2 7 2 2 5 2 3 2" xfId="37134"/>
    <cellStyle name="Normal 2 7 2 2 5 2 4" xfId="22484"/>
    <cellStyle name="Normal 2 7 2 2 5 2 4 2" xfId="44906"/>
    <cellStyle name="Normal 2 7 2 2 5 2 5" xfId="30502"/>
    <cellStyle name="Normal 2 7 2 2 5 3" xfId="8660"/>
    <cellStyle name="Normal 2 7 2 2 5 3 2" xfId="15371"/>
    <cellStyle name="Normal 2 7 2 2 5 3 2 2" xfId="38792"/>
    <cellStyle name="Normal 2 7 2 2 5 3 3" xfId="32160"/>
    <cellStyle name="Normal 2 7 2 2 5 4" xfId="12053"/>
    <cellStyle name="Normal 2 7 2 2 5 4 2" xfId="35476"/>
    <cellStyle name="Normal 2 7 2 2 5 5" xfId="19642"/>
    <cellStyle name="Normal 2 7 2 2 5 5 2" xfId="42179"/>
    <cellStyle name="Normal 2 7 2 2 5 6" xfId="28844"/>
    <cellStyle name="Normal 2 7 2 2 6" xfId="6179"/>
    <cellStyle name="Normal 2 7 2 2 6 2" xfId="9513"/>
    <cellStyle name="Normal 2 7 2 2 6 2 2" xfId="16217"/>
    <cellStyle name="Normal 2 7 2 2 6 2 2 2" xfId="39638"/>
    <cellStyle name="Normal 2 7 2 2 6 2 3" xfId="33006"/>
    <cellStyle name="Normal 2 7 2 2 6 3" xfId="12901"/>
    <cellStyle name="Normal 2 7 2 2 6 3 2" xfId="36322"/>
    <cellStyle name="Normal 2 7 2 2 6 4" xfId="20814"/>
    <cellStyle name="Normal 2 7 2 2 6 4 2" xfId="43265"/>
    <cellStyle name="Normal 2 7 2 2 6 5" xfId="29690"/>
    <cellStyle name="Normal 2 7 2 2 7" xfId="7845"/>
    <cellStyle name="Normal 2 7 2 2 7 2" xfId="14559"/>
    <cellStyle name="Normal 2 7 2 2 7 2 2" xfId="37980"/>
    <cellStyle name="Normal 2 7 2 2 7 3" xfId="21634"/>
    <cellStyle name="Normal 2 7 2 2 7 3 2" xfId="44083"/>
    <cellStyle name="Normal 2 7 2 2 7 4" xfId="31348"/>
    <cellStyle name="Normal 2 7 2 2 8" xfId="11241"/>
    <cellStyle name="Normal 2 7 2 2 8 2" xfId="34664"/>
    <cellStyle name="Normal 2 7 2 2 9" xfId="18017"/>
    <cellStyle name="Normal 2 7 2 2 9 2" xfId="41310"/>
    <cellStyle name="Normal 2 7 2 3" xfId="1768"/>
    <cellStyle name="Normal 2 7 2 3 10" xfId="28120"/>
    <cellStyle name="Normal 2 7 2 3 2" xfId="2272"/>
    <cellStyle name="Normal 2 7 2 3 2 2" xfId="5521"/>
    <cellStyle name="Normal 2 7 2 3 2 2 2" xfId="7345"/>
    <cellStyle name="Normal 2 7 2 3 2 2 2 2" xfId="10676"/>
    <cellStyle name="Normal 2 7 2 3 2 2 2 2 2" xfId="17380"/>
    <cellStyle name="Normal 2 7 2 3 2 2 2 2 2 2" xfId="40801"/>
    <cellStyle name="Normal 2 7 2 3 2 2 2 2 3" xfId="23096"/>
    <cellStyle name="Normal 2 7 2 3 2 2 2 2 3 2" xfId="45518"/>
    <cellStyle name="Normal 2 7 2 3 2 2 2 2 4" xfId="34169"/>
    <cellStyle name="Normal 2 7 2 3 2 2 2 3" xfId="14064"/>
    <cellStyle name="Normal 2 7 2 3 2 2 2 3 2" xfId="37485"/>
    <cellStyle name="Normal 2 7 2 3 2 2 2 4" xfId="20270"/>
    <cellStyle name="Normal 2 7 2 3 2 2 2 4 2" xfId="42805"/>
    <cellStyle name="Normal 2 7 2 3 2 2 2 5" xfId="30853"/>
    <cellStyle name="Normal 2 7 2 3 2 2 3" xfId="9018"/>
    <cellStyle name="Normal 2 7 2 3 2 2 3 2" xfId="15722"/>
    <cellStyle name="Normal 2 7 2 3 2 2 3 2 2" xfId="39143"/>
    <cellStyle name="Normal 2 7 2 3 2 2 3 3" xfId="21278"/>
    <cellStyle name="Normal 2 7 2 3 2 2 3 3 2" xfId="43729"/>
    <cellStyle name="Normal 2 7 2 3 2 2 3 4" xfId="32511"/>
    <cellStyle name="Normal 2 7 2 3 2 2 4" xfId="12406"/>
    <cellStyle name="Normal 2 7 2 3 2 2 4 2" xfId="22283"/>
    <cellStyle name="Normal 2 7 2 3 2 2 4 2 2" xfId="44705"/>
    <cellStyle name="Normal 2 7 2 3 2 2 4 3" xfId="35827"/>
    <cellStyle name="Normal 2 7 2 3 2 2 5" xfId="19431"/>
    <cellStyle name="Normal 2 7 2 3 2 2 5 2" xfId="41973"/>
    <cellStyle name="Normal 2 7 2 3 2 2 6" xfId="29195"/>
    <cellStyle name="Normal 2 7 2 3 2 3" xfId="6442"/>
    <cellStyle name="Normal 2 7 2 3 2 3 2" xfId="9776"/>
    <cellStyle name="Normal 2 7 2 3 2 3 2 2" xfId="16480"/>
    <cellStyle name="Normal 2 7 2 3 2 3 2 2 2" xfId="39901"/>
    <cellStyle name="Normal 2 7 2 3 2 3 2 3" xfId="22690"/>
    <cellStyle name="Normal 2 7 2 3 2 3 2 3 2" xfId="45112"/>
    <cellStyle name="Normal 2 7 2 3 2 3 2 4" xfId="33269"/>
    <cellStyle name="Normal 2 7 2 3 2 3 3" xfId="13164"/>
    <cellStyle name="Normal 2 7 2 3 2 3 3 2" xfId="36585"/>
    <cellStyle name="Normal 2 7 2 3 2 3 4" xfId="19854"/>
    <cellStyle name="Normal 2 7 2 3 2 3 4 2" xfId="42389"/>
    <cellStyle name="Normal 2 7 2 3 2 3 5" xfId="29953"/>
    <cellStyle name="Normal 2 7 2 3 2 4" xfId="8109"/>
    <cellStyle name="Normal 2 7 2 3 2 4 2" xfId="14822"/>
    <cellStyle name="Normal 2 7 2 3 2 4 2 2" xfId="38243"/>
    <cellStyle name="Normal 2 7 2 3 2 4 3" xfId="20819"/>
    <cellStyle name="Normal 2 7 2 3 2 4 3 2" xfId="43270"/>
    <cellStyle name="Normal 2 7 2 3 2 4 4" xfId="31611"/>
    <cellStyle name="Normal 2 7 2 3 2 5" xfId="11504"/>
    <cellStyle name="Normal 2 7 2 3 2 5 2" xfId="21857"/>
    <cellStyle name="Normal 2 7 2 3 2 5 2 2" xfId="44291"/>
    <cellStyle name="Normal 2 7 2 3 2 5 3" xfId="34927"/>
    <cellStyle name="Normal 2 7 2 3 2 6" xfId="18688"/>
    <cellStyle name="Normal 2 7 2 3 2 6 2" xfId="41548"/>
    <cellStyle name="Normal 2 7 2 3 2 7" xfId="25846"/>
    <cellStyle name="Normal 2 7 2 3 2 7 2" xfId="48091"/>
    <cellStyle name="Normal 2 7 2 3 2 8" xfId="28295"/>
    <cellStyle name="Normal 2 7 2 3 3" xfId="2765"/>
    <cellStyle name="Normal 2 7 2 3 3 2" xfId="5857"/>
    <cellStyle name="Normal 2 7 2 3 3 2 2" xfId="7639"/>
    <cellStyle name="Normal 2 7 2 3 3 2 2 2" xfId="10968"/>
    <cellStyle name="Normal 2 7 2 3 3 2 2 2 2" xfId="17672"/>
    <cellStyle name="Normal 2 7 2 3 3 2 2 2 2 2" xfId="41093"/>
    <cellStyle name="Normal 2 7 2 3 3 2 2 2 3" xfId="34461"/>
    <cellStyle name="Normal 2 7 2 3 3 2 2 3" xfId="14356"/>
    <cellStyle name="Normal 2 7 2 3 3 2 2 3 2" xfId="37777"/>
    <cellStyle name="Normal 2 7 2 3 3 2 2 4" xfId="22892"/>
    <cellStyle name="Normal 2 7 2 3 3 2 2 4 2" xfId="45314"/>
    <cellStyle name="Normal 2 7 2 3 3 2 2 5" xfId="31145"/>
    <cellStyle name="Normal 2 7 2 3 3 2 3" xfId="9310"/>
    <cellStyle name="Normal 2 7 2 3 3 2 3 2" xfId="16014"/>
    <cellStyle name="Normal 2 7 2 3 3 2 3 2 2" xfId="39435"/>
    <cellStyle name="Normal 2 7 2 3 3 2 3 3" xfId="32803"/>
    <cellStyle name="Normal 2 7 2 3 3 2 4" xfId="12698"/>
    <cellStyle name="Normal 2 7 2 3 3 2 4 2" xfId="36119"/>
    <cellStyle name="Normal 2 7 2 3 3 2 5" xfId="20062"/>
    <cellStyle name="Normal 2 7 2 3 3 2 5 2" xfId="42597"/>
    <cellStyle name="Normal 2 7 2 3 3 2 6" xfId="29487"/>
    <cellStyle name="Normal 2 7 2 3 3 3" xfId="6740"/>
    <cellStyle name="Normal 2 7 2 3 3 3 2" xfId="10072"/>
    <cellStyle name="Normal 2 7 2 3 3 3 2 2" xfId="16776"/>
    <cellStyle name="Normal 2 7 2 3 3 3 2 2 2" xfId="40197"/>
    <cellStyle name="Normal 2 7 2 3 3 3 2 3" xfId="33565"/>
    <cellStyle name="Normal 2 7 2 3 3 3 3" xfId="13460"/>
    <cellStyle name="Normal 2 7 2 3 3 3 3 2" xfId="36881"/>
    <cellStyle name="Normal 2 7 2 3 3 3 4" xfId="21277"/>
    <cellStyle name="Normal 2 7 2 3 3 3 4 2" xfId="43728"/>
    <cellStyle name="Normal 2 7 2 3 3 3 5" xfId="30249"/>
    <cellStyle name="Normal 2 7 2 3 3 4" xfId="8406"/>
    <cellStyle name="Normal 2 7 2 3 3 4 2" xfId="15118"/>
    <cellStyle name="Normal 2 7 2 3 3 4 2 2" xfId="38539"/>
    <cellStyle name="Normal 2 7 2 3 3 4 3" xfId="22074"/>
    <cellStyle name="Normal 2 7 2 3 3 4 3 2" xfId="44498"/>
    <cellStyle name="Normal 2 7 2 3 3 4 4" xfId="31907"/>
    <cellStyle name="Normal 2 7 2 3 3 5" xfId="11800"/>
    <cellStyle name="Normal 2 7 2 3 3 5 2" xfId="35223"/>
    <cellStyle name="Normal 2 7 2 3 3 6" xfId="19212"/>
    <cellStyle name="Normal 2 7 2 3 3 6 2" xfId="41765"/>
    <cellStyle name="Normal 2 7 2 3 3 7" xfId="28591"/>
    <cellStyle name="Normal 2 7 2 3 4" xfId="3940"/>
    <cellStyle name="Normal 2 7 2 3 4 2" xfId="6995"/>
    <cellStyle name="Normal 2 7 2 3 4 2 2" xfId="10327"/>
    <cellStyle name="Normal 2 7 2 3 4 2 2 2" xfId="17031"/>
    <cellStyle name="Normal 2 7 2 3 4 2 2 2 2" xfId="40452"/>
    <cellStyle name="Normal 2 7 2 3 4 2 2 3" xfId="33820"/>
    <cellStyle name="Normal 2 7 2 3 4 2 3" xfId="13715"/>
    <cellStyle name="Normal 2 7 2 3 4 2 3 2" xfId="37136"/>
    <cellStyle name="Normal 2 7 2 3 4 2 4" xfId="22486"/>
    <cellStyle name="Normal 2 7 2 3 4 2 4 2" xfId="44908"/>
    <cellStyle name="Normal 2 7 2 3 4 2 5" xfId="30504"/>
    <cellStyle name="Normal 2 7 2 3 4 3" xfId="8662"/>
    <cellStyle name="Normal 2 7 2 3 4 3 2" xfId="15373"/>
    <cellStyle name="Normal 2 7 2 3 4 3 2 2" xfId="38794"/>
    <cellStyle name="Normal 2 7 2 3 4 3 3" xfId="32162"/>
    <cellStyle name="Normal 2 7 2 3 4 4" xfId="12055"/>
    <cellStyle name="Normal 2 7 2 3 4 4 2" xfId="35478"/>
    <cellStyle name="Normal 2 7 2 3 4 5" xfId="19644"/>
    <cellStyle name="Normal 2 7 2 3 4 5 2" xfId="42181"/>
    <cellStyle name="Normal 2 7 2 3 4 6" xfId="28846"/>
    <cellStyle name="Normal 2 7 2 3 5" xfId="6267"/>
    <cellStyle name="Normal 2 7 2 3 5 2" xfId="9601"/>
    <cellStyle name="Normal 2 7 2 3 5 2 2" xfId="16305"/>
    <cellStyle name="Normal 2 7 2 3 5 2 2 2" xfId="39726"/>
    <cellStyle name="Normal 2 7 2 3 5 2 3" xfId="33094"/>
    <cellStyle name="Normal 2 7 2 3 5 3" xfId="12989"/>
    <cellStyle name="Normal 2 7 2 3 5 3 2" xfId="36410"/>
    <cellStyle name="Normal 2 7 2 3 5 4" xfId="20818"/>
    <cellStyle name="Normal 2 7 2 3 5 4 2" xfId="43269"/>
    <cellStyle name="Normal 2 7 2 3 5 5" xfId="29778"/>
    <cellStyle name="Normal 2 7 2 3 6" xfId="7933"/>
    <cellStyle name="Normal 2 7 2 3 6 2" xfId="14647"/>
    <cellStyle name="Normal 2 7 2 3 6 2 2" xfId="38068"/>
    <cellStyle name="Normal 2 7 2 3 6 3" xfId="21636"/>
    <cellStyle name="Normal 2 7 2 3 6 3 2" xfId="44085"/>
    <cellStyle name="Normal 2 7 2 3 6 4" xfId="31436"/>
    <cellStyle name="Normal 2 7 2 3 7" xfId="11329"/>
    <cellStyle name="Normal 2 7 2 3 7 2" xfId="34752"/>
    <cellStyle name="Normal 2 7 2 3 8" xfId="18019"/>
    <cellStyle name="Normal 2 7 2 3 8 2" xfId="41312"/>
    <cellStyle name="Normal 2 7 2 3 9" xfId="23610"/>
    <cellStyle name="Normal 2 7 2 3 9 2" xfId="45900"/>
    <cellStyle name="Normal 2 7 2 4" xfId="2269"/>
    <cellStyle name="Normal 2 7 2 4 2" xfId="5518"/>
    <cellStyle name="Normal 2 7 2 4 2 2" xfId="7342"/>
    <cellStyle name="Normal 2 7 2 4 2 2 2" xfId="10673"/>
    <cellStyle name="Normal 2 7 2 4 2 2 2 2" xfId="17377"/>
    <cellStyle name="Normal 2 7 2 4 2 2 2 2 2" xfId="40798"/>
    <cellStyle name="Normal 2 7 2 4 2 2 2 3" xfId="23093"/>
    <cellStyle name="Normal 2 7 2 4 2 2 2 3 2" xfId="45515"/>
    <cellStyle name="Normal 2 7 2 4 2 2 2 4" xfId="34166"/>
    <cellStyle name="Normal 2 7 2 4 2 2 3" xfId="14061"/>
    <cellStyle name="Normal 2 7 2 4 2 2 3 2" xfId="37482"/>
    <cellStyle name="Normal 2 7 2 4 2 2 4" xfId="20267"/>
    <cellStyle name="Normal 2 7 2 4 2 2 4 2" xfId="42802"/>
    <cellStyle name="Normal 2 7 2 4 2 2 5" xfId="30850"/>
    <cellStyle name="Normal 2 7 2 4 2 3" xfId="9015"/>
    <cellStyle name="Normal 2 7 2 4 2 3 2" xfId="15719"/>
    <cellStyle name="Normal 2 7 2 4 2 3 2 2" xfId="39140"/>
    <cellStyle name="Normal 2 7 2 4 2 3 3" xfId="21279"/>
    <cellStyle name="Normal 2 7 2 4 2 3 3 2" xfId="43730"/>
    <cellStyle name="Normal 2 7 2 4 2 3 4" xfId="32508"/>
    <cellStyle name="Normal 2 7 2 4 2 4" xfId="12403"/>
    <cellStyle name="Normal 2 7 2 4 2 4 2" xfId="22280"/>
    <cellStyle name="Normal 2 7 2 4 2 4 2 2" xfId="44702"/>
    <cellStyle name="Normal 2 7 2 4 2 4 3" xfId="35824"/>
    <cellStyle name="Normal 2 7 2 4 2 5" xfId="19428"/>
    <cellStyle name="Normal 2 7 2 4 2 5 2" xfId="41970"/>
    <cellStyle name="Normal 2 7 2 4 2 6" xfId="29192"/>
    <cellStyle name="Normal 2 7 2 4 3" xfId="6439"/>
    <cellStyle name="Normal 2 7 2 4 3 2" xfId="9773"/>
    <cellStyle name="Normal 2 7 2 4 3 2 2" xfId="16477"/>
    <cellStyle name="Normal 2 7 2 4 3 2 2 2" xfId="39898"/>
    <cellStyle name="Normal 2 7 2 4 3 2 3" xfId="22687"/>
    <cellStyle name="Normal 2 7 2 4 3 2 3 2" xfId="45109"/>
    <cellStyle name="Normal 2 7 2 4 3 2 4" xfId="33266"/>
    <cellStyle name="Normal 2 7 2 4 3 3" xfId="13161"/>
    <cellStyle name="Normal 2 7 2 4 3 3 2" xfId="36582"/>
    <cellStyle name="Normal 2 7 2 4 3 4" xfId="19851"/>
    <cellStyle name="Normal 2 7 2 4 3 4 2" xfId="42386"/>
    <cellStyle name="Normal 2 7 2 4 3 5" xfId="29950"/>
    <cellStyle name="Normal 2 7 2 4 4" xfId="8106"/>
    <cellStyle name="Normal 2 7 2 4 4 2" xfId="14819"/>
    <cellStyle name="Normal 2 7 2 4 4 2 2" xfId="38240"/>
    <cellStyle name="Normal 2 7 2 4 4 3" xfId="20820"/>
    <cellStyle name="Normal 2 7 2 4 4 3 2" xfId="43271"/>
    <cellStyle name="Normal 2 7 2 4 4 4" xfId="31608"/>
    <cellStyle name="Normal 2 7 2 4 5" xfId="11501"/>
    <cellStyle name="Normal 2 7 2 4 5 2" xfId="21854"/>
    <cellStyle name="Normal 2 7 2 4 5 2 2" xfId="44288"/>
    <cellStyle name="Normal 2 7 2 4 5 3" xfId="34924"/>
    <cellStyle name="Normal 2 7 2 4 6" xfId="18685"/>
    <cellStyle name="Normal 2 7 2 4 6 2" xfId="41545"/>
    <cellStyle name="Normal 2 7 2 4 7" xfId="25843"/>
    <cellStyle name="Normal 2 7 2 4 7 2" xfId="48088"/>
    <cellStyle name="Normal 2 7 2 4 8" xfId="28292"/>
    <cellStyle name="Normal 2 7 2 5" xfId="2633"/>
    <cellStyle name="Normal 2 7 2 5 2" xfId="5726"/>
    <cellStyle name="Normal 2 7 2 5 2 2" xfId="7508"/>
    <cellStyle name="Normal 2 7 2 5 2 2 2" xfId="10837"/>
    <cellStyle name="Normal 2 7 2 5 2 2 2 2" xfId="17541"/>
    <cellStyle name="Normal 2 7 2 5 2 2 2 2 2" xfId="40962"/>
    <cellStyle name="Normal 2 7 2 5 2 2 2 3" xfId="34330"/>
    <cellStyle name="Normal 2 7 2 5 2 2 3" xfId="14225"/>
    <cellStyle name="Normal 2 7 2 5 2 2 3 2" xfId="37646"/>
    <cellStyle name="Normal 2 7 2 5 2 2 4" xfId="20590"/>
    <cellStyle name="Normal 2 7 2 5 2 2 4 2" xfId="43041"/>
    <cellStyle name="Normal 2 7 2 5 2 2 5" xfId="31014"/>
    <cellStyle name="Normal 2 7 2 5 2 3" xfId="9179"/>
    <cellStyle name="Normal 2 7 2 5 2 3 2" xfId="15883"/>
    <cellStyle name="Normal 2 7 2 5 2 3 2 2" xfId="39304"/>
    <cellStyle name="Normal 2 7 2 5 2 3 3" xfId="21508"/>
    <cellStyle name="Normal 2 7 2 5 2 3 3 2" xfId="43959"/>
    <cellStyle name="Normal 2 7 2 5 2 3 4" xfId="32672"/>
    <cellStyle name="Normal 2 7 2 5 2 4" xfId="12567"/>
    <cellStyle name="Normal 2 7 2 5 2 4 2" xfId="22889"/>
    <cellStyle name="Normal 2 7 2 5 2 4 2 2" xfId="45311"/>
    <cellStyle name="Normal 2 7 2 5 2 4 3" xfId="35988"/>
    <cellStyle name="Normal 2 7 2 5 2 5" xfId="20059"/>
    <cellStyle name="Normal 2 7 2 5 2 5 2" xfId="42594"/>
    <cellStyle name="Normal 2 7 2 5 2 6" xfId="29356"/>
    <cellStyle name="Normal 2 7 2 5 3" xfId="6609"/>
    <cellStyle name="Normal 2 7 2 5 3 2" xfId="9941"/>
    <cellStyle name="Normal 2 7 2 5 3 2 2" xfId="16645"/>
    <cellStyle name="Normal 2 7 2 5 3 2 2 2" xfId="40066"/>
    <cellStyle name="Normal 2 7 2 5 3 2 3" xfId="33434"/>
    <cellStyle name="Normal 2 7 2 5 3 3" xfId="13329"/>
    <cellStyle name="Normal 2 7 2 5 3 3 2" xfId="36750"/>
    <cellStyle name="Normal 2 7 2 5 3 4" xfId="20492"/>
    <cellStyle name="Normal 2 7 2 5 3 4 2" xfId="42945"/>
    <cellStyle name="Normal 2 7 2 5 3 5" xfId="30118"/>
    <cellStyle name="Normal 2 7 2 5 4" xfId="8275"/>
    <cellStyle name="Normal 2 7 2 5 4 2" xfId="14987"/>
    <cellStyle name="Normal 2 7 2 5 4 2 2" xfId="38408"/>
    <cellStyle name="Normal 2 7 2 5 4 3" xfId="21049"/>
    <cellStyle name="Normal 2 7 2 5 4 3 2" xfId="43500"/>
    <cellStyle name="Normal 2 7 2 5 4 4" xfId="31776"/>
    <cellStyle name="Normal 2 7 2 5 5" xfId="11669"/>
    <cellStyle name="Normal 2 7 2 5 5 2" xfId="22071"/>
    <cellStyle name="Normal 2 7 2 5 5 2 2" xfId="44495"/>
    <cellStyle name="Normal 2 7 2 5 5 3" xfId="35092"/>
    <cellStyle name="Normal 2 7 2 5 6" xfId="19209"/>
    <cellStyle name="Normal 2 7 2 5 6 2" xfId="41762"/>
    <cellStyle name="Normal 2 7 2 5 7" xfId="28460"/>
    <cellStyle name="Normal 2 7 2 6" xfId="3937"/>
    <cellStyle name="Normal 2 7 2 6 2" xfId="6992"/>
    <cellStyle name="Normal 2 7 2 6 2 2" xfId="10324"/>
    <cellStyle name="Normal 2 7 2 6 2 2 2" xfId="17028"/>
    <cellStyle name="Normal 2 7 2 6 2 2 2 2" xfId="40449"/>
    <cellStyle name="Normal 2 7 2 6 2 2 3" xfId="33817"/>
    <cellStyle name="Normal 2 7 2 6 2 3" xfId="13712"/>
    <cellStyle name="Normal 2 7 2 6 2 3 2" xfId="37133"/>
    <cellStyle name="Normal 2 7 2 6 2 4" xfId="20541"/>
    <cellStyle name="Normal 2 7 2 6 2 4 2" xfId="42993"/>
    <cellStyle name="Normal 2 7 2 6 2 5" xfId="30501"/>
    <cellStyle name="Normal 2 7 2 6 3" xfId="8659"/>
    <cellStyle name="Normal 2 7 2 6 3 2" xfId="15370"/>
    <cellStyle name="Normal 2 7 2 6 3 2 2" xfId="38791"/>
    <cellStyle name="Normal 2 7 2 6 3 3" xfId="21272"/>
    <cellStyle name="Normal 2 7 2 6 3 3 2" xfId="43723"/>
    <cellStyle name="Normal 2 7 2 6 3 4" xfId="32159"/>
    <cellStyle name="Normal 2 7 2 6 4" xfId="12052"/>
    <cellStyle name="Normal 2 7 2 6 4 2" xfId="22483"/>
    <cellStyle name="Normal 2 7 2 6 4 2 2" xfId="44905"/>
    <cellStyle name="Normal 2 7 2 6 4 3" xfId="35475"/>
    <cellStyle name="Normal 2 7 2 6 5" xfId="19641"/>
    <cellStyle name="Normal 2 7 2 6 5 2" xfId="42178"/>
    <cellStyle name="Normal 2 7 2 6 6" xfId="28843"/>
    <cellStyle name="Normal 2 7 2 7" xfId="6136"/>
    <cellStyle name="Normal 2 7 2 7 2" xfId="9470"/>
    <cellStyle name="Normal 2 7 2 7 2 2" xfId="16174"/>
    <cellStyle name="Normal 2 7 2 7 2 2 2" xfId="39595"/>
    <cellStyle name="Normal 2 7 2 7 2 3" xfId="32963"/>
    <cellStyle name="Normal 2 7 2 7 3" xfId="12858"/>
    <cellStyle name="Normal 2 7 2 7 3 2" xfId="36279"/>
    <cellStyle name="Normal 2 7 2 7 4" xfId="19090"/>
    <cellStyle name="Normal 2 7 2 7 4 2" xfId="41656"/>
    <cellStyle name="Normal 2 7 2 7 5" xfId="29647"/>
    <cellStyle name="Normal 2 7 2 8" xfId="7802"/>
    <cellStyle name="Normal 2 7 2 8 2" xfId="14516"/>
    <cellStyle name="Normal 2 7 2 8 2 2" xfId="37937"/>
    <cellStyle name="Normal 2 7 2 8 3" xfId="20813"/>
    <cellStyle name="Normal 2 7 2 8 3 2" xfId="43264"/>
    <cellStyle name="Normal 2 7 2 8 4" xfId="31305"/>
    <cellStyle name="Normal 2 7 2 9" xfId="11198"/>
    <cellStyle name="Normal 2 7 2 9 2" xfId="21633"/>
    <cellStyle name="Normal 2 7 2 9 2 2" xfId="44082"/>
    <cellStyle name="Normal 2 7 2 9 3" xfId="34621"/>
    <cellStyle name="Normal 2 7 3" xfId="1610"/>
    <cellStyle name="Normal 2 7 3 10" xfId="23611"/>
    <cellStyle name="Normal 2 7 3 10 2" xfId="45901"/>
    <cellStyle name="Normal 2 7 3 11" xfId="28033"/>
    <cellStyle name="Normal 2 7 3 2" xfId="1812"/>
    <cellStyle name="Normal 2 7 3 2 10" xfId="28164"/>
    <cellStyle name="Normal 2 7 3 2 2" xfId="2274"/>
    <cellStyle name="Normal 2 7 3 2 2 2" xfId="5523"/>
    <cellStyle name="Normal 2 7 3 2 2 2 2" xfId="7347"/>
    <cellStyle name="Normal 2 7 3 2 2 2 2 2" xfId="10678"/>
    <cellStyle name="Normal 2 7 3 2 2 2 2 2 2" xfId="17382"/>
    <cellStyle name="Normal 2 7 3 2 2 2 2 2 2 2" xfId="40803"/>
    <cellStyle name="Normal 2 7 3 2 2 2 2 2 3" xfId="23098"/>
    <cellStyle name="Normal 2 7 3 2 2 2 2 2 3 2" xfId="45520"/>
    <cellStyle name="Normal 2 7 3 2 2 2 2 2 4" xfId="34171"/>
    <cellStyle name="Normal 2 7 3 2 2 2 2 3" xfId="14066"/>
    <cellStyle name="Normal 2 7 3 2 2 2 2 3 2" xfId="37487"/>
    <cellStyle name="Normal 2 7 3 2 2 2 2 4" xfId="20272"/>
    <cellStyle name="Normal 2 7 3 2 2 2 2 4 2" xfId="42807"/>
    <cellStyle name="Normal 2 7 3 2 2 2 2 5" xfId="30855"/>
    <cellStyle name="Normal 2 7 3 2 2 2 3" xfId="9020"/>
    <cellStyle name="Normal 2 7 3 2 2 2 3 2" xfId="15724"/>
    <cellStyle name="Normal 2 7 3 2 2 2 3 2 2" xfId="39145"/>
    <cellStyle name="Normal 2 7 3 2 2 2 3 3" xfId="21282"/>
    <cellStyle name="Normal 2 7 3 2 2 2 3 3 2" xfId="43733"/>
    <cellStyle name="Normal 2 7 3 2 2 2 3 4" xfId="32513"/>
    <cellStyle name="Normal 2 7 3 2 2 2 4" xfId="12408"/>
    <cellStyle name="Normal 2 7 3 2 2 2 4 2" xfId="22285"/>
    <cellStyle name="Normal 2 7 3 2 2 2 4 2 2" xfId="44707"/>
    <cellStyle name="Normal 2 7 3 2 2 2 4 3" xfId="35829"/>
    <cellStyle name="Normal 2 7 3 2 2 2 5" xfId="19433"/>
    <cellStyle name="Normal 2 7 3 2 2 2 5 2" xfId="41975"/>
    <cellStyle name="Normal 2 7 3 2 2 2 6" xfId="29197"/>
    <cellStyle name="Normal 2 7 3 2 2 3" xfId="6444"/>
    <cellStyle name="Normal 2 7 3 2 2 3 2" xfId="9778"/>
    <cellStyle name="Normal 2 7 3 2 2 3 2 2" xfId="16482"/>
    <cellStyle name="Normal 2 7 3 2 2 3 2 2 2" xfId="39903"/>
    <cellStyle name="Normal 2 7 3 2 2 3 2 3" xfId="22692"/>
    <cellStyle name="Normal 2 7 3 2 2 3 2 3 2" xfId="45114"/>
    <cellStyle name="Normal 2 7 3 2 2 3 2 4" xfId="33271"/>
    <cellStyle name="Normal 2 7 3 2 2 3 3" xfId="13166"/>
    <cellStyle name="Normal 2 7 3 2 2 3 3 2" xfId="36587"/>
    <cellStyle name="Normal 2 7 3 2 2 3 4" xfId="19856"/>
    <cellStyle name="Normal 2 7 3 2 2 3 4 2" xfId="42391"/>
    <cellStyle name="Normal 2 7 3 2 2 3 5" xfId="29955"/>
    <cellStyle name="Normal 2 7 3 2 2 4" xfId="8111"/>
    <cellStyle name="Normal 2 7 3 2 2 4 2" xfId="14824"/>
    <cellStyle name="Normal 2 7 3 2 2 4 2 2" xfId="38245"/>
    <cellStyle name="Normal 2 7 3 2 2 4 3" xfId="20823"/>
    <cellStyle name="Normal 2 7 3 2 2 4 3 2" xfId="43274"/>
    <cellStyle name="Normal 2 7 3 2 2 4 4" xfId="31613"/>
    <cellStyle name="Normal 2 7 3 2 2 5" xfId="11506"/>
    <cellStyle name="Normal 2 7 3 2 2 5 2" xfId="21859"/>
    <cellStyle name="Normal 2 7 3 2 2 5 2 2" xfId="44293"/>
    <cellStyle name="Normal 2 7 3 2 2 5 3" xfId="34929"/>
    <cellStyle name="Normal 2 7 3 2 2 6" xfId="18690"/>
    <cellStyle name="Normal 2 7 3 2 2 6 2" xfId="41550"/>
    <cellStyle name="Normal 2 7 3 2 2 7" xfId="25848"/>
    <cellStyle name="Normal 2 7 3 2 2 7 2" xfId="48093"/>
    <cellStyle name="Normal 2 7 3 2 2 8" xfId="28297"/>
    <cellStyle name="Normal 2 7 3 2 3" xfId="2809"/>
    <cellStyle name="Normal 2 7 3 2 3 2" xfId="5901"/>
    <cellStyle name="Normal 2 7 3 2 3 2 2" xfId="7683"/>
    <cellStyle name="Normal 2 7 3 2 3 2 2 2" xfId="11012"/>
    <cellStyle name="Normal 2 7 3 2 3 2 2 2 2" xfId="17716"/>
    <cellStyle name="Normal 2 7 3 2 3 2 2 2 2 2" xfId="41137"/>
    <cellStyle name="Normal 2 7 3 2 3 2 2 2 3" xfId="34505"/>
    <cellStyle name="Normal 2 7 3 2 3 2 2 3" xfId="14400"/>
    <cellStyle name="Normal 2 7 3 2 3 2 2 3 2" xfId="37821"/>
    <cellStyle name="Normal 2 7 3 2 3 2 2 4" xfId="22894"/>
    <cellStyle name="Normal 2 7 3 2 3 2 2 4 2" xfId="45316"/>
    <cellStyle name="Normal 2 7 3 2 3 2 2 5" xfId="31189"/>
    <cellStyle name="Normal 2 7 3 2 3 2 3" xfId="9354"/>
    <cellStyle name="Normal 2 7 3 2 3 2 3 2" xfId="16058"/>
    <cellStyle name="Normal 2 7 3 2 3 2 3 2 2" xfId="39479"/>
    <cellStyle name="Normal 2 7 3 2 3 2 3 3" xfId="32847"/>
    <cellStyle name="Normal 2 7 3 2 3 2 4" xfId="12742"/>
    <cellStyle name="Normal 2 7 3 2 3 2 4 2" xfId="36163"/>
    <cellStyle name="Normal 2 7 3 2 3 2 5" xfId="20064"/>
    <cellStyle name="Normal 2 7 3 2 3 2 5 2" xfId="42599"/>
    <cellStyle name="Normal 2 7 3 2 3 2 6" xfId="29531"/>
    <cellStyle name="Normal 2 7 3 2 3 3" xfId="6784"/>
    <cellStyle name="Normal 2 7 3 2 3 3 2" xfId="10116"/>
    <cellStyle name="Normal 2 7 3 2 3 3 2 2" xfId="16820"/>
    <cellStyle name="Normal 2 7 3 2 3 3 2 2 2" xfId="40241"/>
    <cellStyle name="Normal 2 7 3 2 3 3 2 3" xfId="33609"/>
    <cellStyle name="Normal 2 7 3 2 3 3 3" xfId="13504"/>
    <cellStyle name="Normal 2 7 3 2 3 3 3 2" xfId="36925"/>
    <cellStyle name="Normal 2 7 3 2 3 3 4" xfId="21281"/>
    <cellStyle name="Normal 2 7 3 2 3 3 4 2" xfId="43732"/>
    <cellStyle name="Normal 2 7 3 2 3 3 5" xfId="30293"/>
    <cellStyle name="Normal 2 7 3 2 3 4" xfId="8450"/>
    <cellStyle name="Normal 2 7 3 2 3 4 2" xfId="15162"/>
    <cellStyle name="Normal 2 7 3 2 3 4 2 2" xfId="38583"/>
    <cellStyle name="Normal 2 7 3 2 3 4 3" xfId="22076"/>
    <cellStyle name="Normal 2 7 3 2 3 4 3 2" xfId="44500"/>
    <cellStyle name="Normal 2 7 3 2 3 4 4" xfId="31951"/>
    <cellStyle name="Normal 2 7 3 2 3 5" xfId="11844"/>
    <cellStyle name="Normal 2 7 3 2 3 5 2" xfId="35267"/>
    <cellStyle name="Normal 2 7 3 2 3 6" xfId="19214"/>
    <cellStyle name="Normal 2 7 3 2 3 6 2" xfId="41767"/>
    <cellStyle name="Normal 2 7 3 2 3 7" xfId="28635"/>
    <cellStyle name="Normal 2 7 3 2 4" xfId="3942"/>
    <cellStyle name="Normal 2 7 3 2 4 2" xfId="6997"/>
    <cellStyle name="Normal 2 7 3 2 4 2 2" xfId="10329"/>
    <cellStyle name="Normal 2 7 3 2 4 2 2 2" xfId="17033"/>
    <cellStyle name="Normal 2 7 3 2 4 2 2 2 2" xfId="40454"/>
    <cellStyle name="Normal 2 7 3 2 4 2 2 3" xfId="33822"/>
    <cellStyle name="Normal 2 7 3 2 4 2 3" xfId="13717"/>
    <cellStyle name="Normal 2 7 3 2 4 2 3 2" xfId="37138"/>
    <cellStyle name="Normal 2 7 3 2 4 2 4" xfId="22488"/>
    <cellStyle name="Normal 2 7 3 2 4 2 4 2" xfId="44910"/>
    <cellStyle name="Normal 2 7 3 2 4 2 5" xfId="30506"/>
    <cellStyle name="Normal 2 7 3 2 4 3" xfId="8664"/>
    <cellStyle name="Normal 2 7 3 2 4 3 2" xfId="15375"/>
    <cellStyle name="Normal 2 7 3 2 4 3 2 2" xfId="38796"/>
    <cellStyle name="Normal 2 7 3 2 4 3 3" xfId="32164"/>
    <cellStyle name="Normal 2 7 3 2 4 4" xfId="12057"/>
    <cellStyle name="Normal 2 7 3 2 4 4 2" xfId="35480"/>
    <cellStyle name="Normal 2 7 3 2 4 5" xfId="19646"/>
    <cellStyle name="Normal 2 7 3 2 4 5 2" xfId="42183"/>
    <cellStyle name="Normal 2 7 3 2 4 6" xfId="28848"/>
    <cellStyle name="Normal 2 7 3 2 5" xfId="6311"/>
    <cellStyle name="Normal 2 7 3 2 5 2" xfId="9645"/>
    <cellStyle name="Normal 2 7 3 2 5 2 2" xfId="16349"/>
    <cellStyle name="Normal 2 7 3 2 5 2 2 2" xfId="39770"/>
    <cellStyle name="Normal 2 7 3 2 5 2 3" xfId="33138"/>
    <cellStyle name="Normal 2 7 3 2 5 3" xfId="13033"/>
    <cellStyle name="Normal 2 7 3 2 5 3 2" xfId="36454"/>
    <cellStyle name="Normal 2 7 3 2 5 4" xfId="20822"/>
    <cellStyle name="Normal 2 7 3 2 5 4 2" xfId="43273"/>
    <cellStyle name="Normal 2 7 3 2 5 5" xfId="29822"/>
    <cellStyle name="Normal 2 7 3 2 6" xfId="7977"/>
    <cellStyle name="Normal 2 7 3 2 6 2" xfId="14691"/>
    <cellStyle name="Normal 2 7 3 2 6 2 2" xfId="38112"/>
    <cellStyle name="Normal 2 7 3 2 6 3" xfId="21638"/>
    <cellStyle name="Normal 2 7 3 2 6 3 2" xfId="44087"/>
    <cellStyle name="Normal 2 7 3 2 6 4" xfId="31480"/>
    <cellStyle name="Normal 2 7 3 2 7" xfId="11373"/>
    <cellStyle name="Normal 2 7 3 2 7 2" xfId="34796"/>
    <cellStyle name="Normal 2 7 3 2 8" xfId="18021"/>
    <cellStyle name="Normal 2 7 3 2 8 2" xfId="41314"/>
    <cellStyle name="Normal 2 7 3 2 9" xfId="23612"/>
    <cellStyle name="Normal 2 7 3 2 9 2" xfId="45902"/>
    <cellStyle name="Normal 2 7 3 3" xfId="2273"/>
    <cellStyle name="Normal 2 7 3 3 2" xfId="5522"/>
    <cellStyle name="Normal 2 7 3 3 2 2" xfId="7346"/>
    <cellStyle name="Normal 2 7 3 3 2 2 2" xfId="10677"/>
    <cellStyle name="Normal 2 7 3 3 2 2 2 2" xfId="17381"/>
    <cellStyle name="Normal 2 7 3 3 2 2 2 2 2" xfId="40802"/>
    <cellStyle name="Normal 2 7 3 3 2 2 2 3" xfId="23097"/>
    <cellStyle name="Normal 2 7 3 3 2 2 2 3 2" xfId="45519"/>
    <cellStyle name="Normal 2 7 3 3 2 2 2 4" xfId="34170"/>
    <cellStyle name="Normal 2 7 3 3 2 2 3" xfId="14065"/>
    <cellStyle name="Normal 2 7 3 3 2 2 3 2" xfId="37486"/>
    <cellStyle name="Normal 2 7 3 3 2 2 4" xfId="20271"/>
    <cellStyle name="Normal 2 7 3 3 2 2 4 2" xfId="42806"/>
    <cellStyle name="Normal 2 7 3 3 2 2 5" xfId="30854"/>
    <cellStyle name="Normal 2 7 3 3 2 3" xfId="9019"/>
    <cellStyle name="Normal 2 7 3 3 2 3 2" xfId="15723"/>
    <cellStyle name="Normal 2 7 3 3 2 3 2 2" xfId="39144"/>
    <cellStyle name="Normal 2 7 3 3 2 3 3" xfId="21283"/>
    <cellStyle name="Normal 2 7 3 3 2 3 3 2" xfId="43734"/>
    <cellStyle name="Normal 2 7 3 3 2 3 4" xfId="32512"/>
    <cellStyle name="Normal 2 7 3 3 2 4" xfId="12407"/>
    <cellStyle name="Normal 2 7 3 3 2 4 2" xfId="22284"/>
    <cellStyle name="Normal 2 7 3 3 2 4 2 2" xfId="44706"/>
    <cellStyle name="Normal 2 7 3 3 2 4 3" xfId="35828"/>
    <cellStyle name="Normal 2 7 3 3 2 5" xfId="19432"/>
    <cellStyle name="Normal 2 7 3 3 2 5 2" xfId="41974"/>
    <cellStyle name="Normal 2 7 3 3 2 6" xfId="29196"/>
    <cellStyle name="Normal 2 7 3 3 3" xfId="6443"/>
    <cellStyle name="Normal 2 7 3 3 3 2" xfId="9777"/>
    <cellStyle name="Normal 2 7 3 3 3 2 2" xfId="16481"/>
    <cellStyle name="Normal 2 7 3 3 3 2 2 2" xfId="39902"/>
    <cellStyle name="Normal 2 7 3 3 3 2 3" xfId="22691"/>
    <cellStyle name="Normal 2 7 3 3 3 2 3 2" xfId="45113"/>
    <cellStyle name="Normal 2 7 3 3 3 2 4" xfId="33270"/>
    <cellStyle name="Normal 2 7 3 3 3 3" xfId="13165"/>
    <cellStyle name="Normal 2 7 3 3 3 3 2" xfId="36586"/>
    <cellStyle name="Normal 2 7 3 3 3 4" xfId="19855"/>
    <cellStyle name="Normal 2 7 3 3 3 4 2" xfId="42390"/>
    <cellStyle name="Normal 2 7 3 3 3 5" xfId="29954"/>
    <cellStyle name="Normal 2 7 3 3 4" xfId="8110"/>
    <cellStyle name="Normal 2 7 3 3 4 2" xfId="14823"/>
    <cellStyle name="Normal 2 7 3 3 4 2 2" xfId="38244"/>
    <cellStyle name="Normal 2 7 3 3 4 3" xfId="20824"/>
    <cellStyle name="Normal 2 7 3 3 4 3 2" xfId="43275"/>
    <cellStyle name="Normal 2 7 3 3 4 4" xfId="31612"/>
    <cellStyle name="Normal 2 7 3 3 5" xfId="11505"/>
    <cellStyle name="Normal 2 7 3 3 5 2" xfId="21858"/>
    <cellStyle name="Normal 2 7 3 3 5 2 2" xfId="44292"/>
    <cellStyle name="Normal 2 7 3 3 5 3" xfId="34928"/>
    <cellStyle name="Normal 2 7 3 3 6" xfId="18689"/>
    <cellStyle name="Normal 2 7 3 3 6 2" xfId="41549"/>
    <cellStyle name="Normal 2 7 3 3 7" xfId="25847"/>
    <cellStyle name="Normal 2 7 3 3 7 2" xfId="48092"/>
    <cellStyle name="Normal 2 7 3 3 8" xfId="28296"/>
    <cellStyle name="Normal 2 7 3 4" xfId="2677"/>
    <cellStyle name="Normal 2 7 3 4 2" xfId="5770"/>
    <cellStyle name="Normal 2 7 3 4 2 2" xfId="7552"/>
    <cellStyle name="Normal 2 7 3 4 2 2 2" xfId="10881"/>
    <cellStyle name="Normal 2 7 3 4 2 2 2 2" xfId="17585"/>
    <cellStyle name="Normal 2 7 3 4 2 2 2 2 2" xfId="41006"/>
    <cellStyle name="Normal 2 7 3 4 2 2 2 3" xfId="34374"/>
    <cellStyle name="Normal 2 7 3 4 2 2 3" xfId="14269"/>
    <cellStyle name="Normal 2 7 3 4 2 2 3 2" xfId="37690"/>
    <cellStyle name="Normal 2 7 3 4 2 2 4" xfId="20591"/>
    <cellStyle name="Normal 2 7 3 4 2 2 4 2" xfId="43042"/>
    <cellStyle name="Normal 2 7 3 4 2 2 5" xfId="31058"/>
    <cellStyle name="Normal 2 7 3 4 2 3" xfId="9223"/>
    <cellStyle name="Normal 2 7 3 4 2 3 2" xfId="15927"/>
    <cellStyle name="Normal 2 7 3 4 2 3 2 2" xfId="39348"/>
    <cellStyle name="Normal 2 7 3 4 2 3 3" xfId="21509"/>
    <cellStyle name="Normal 2 7 3 4 2 3 3 2" xfId="43960"/>
    <cellStyle name="Normal 2 7 3 4 2 3 4" xfId="32716"/>
    <cellStyle name="Normal 2 7 3 4 2 4" xfId="12611"/>
    <cellStyle name="Normal 2 7 3 4 2 4 2" xfId="22893"/>
    <cellStyle name="Normal 2 7 3 4 2 4 2 2" xfId="45315"/>
    <cellStyle name="Normal 2 7 3 4 2 4 3" xfId="36032"/>
    <cellStyle name="Normal 2 7 3 4 2 5" xfId="20063"/>
    <cellStyle name="Normal 2 7 3 4 2 5 2" xfId="42598"/>
    <cellStyle name="Normal 2 7 3 4 2 6" xfId="29400"/>
    <cellStyle name="Normal 2 7 3 4 3" xfId="6653"/>
    <cellStyle name="Normal 2 7 3 4 3 2" xfId="9985"/>
    <cellStyle name="Normal 2 7 3 4 3 2 2" xfId="16689"/>
    <cellStyle name="Normal 2 7 3 4 3 2 2 2" xfId="40110"/>
    <cellStyle name="Normal 2 7 3 4 3 2 3" xfId="33478"/>
    <cellStyle name="Normal 2 7 3 4 3 3" xfId="13373"/>
    <cellStyle name="Normal 2 7 3 4 3 3 2" xfId="36794"/>
    <cellStyle name="Normal 2 7 3 4 3 4" xfId="20493"/>
    <cellStyle name="Normal 2 7 3 4 3 4 2" xfId="42946"/>
    <cellStyle name="Normal 2 7 3 4 3 5" xfId="30162"/>
    <cellStyle name="Normal 2 7 3 4 4" xfId="8319"/>
    <cellStyle name="Normal 2 7 3 4 4 2" xfId="15031"/>
    <cellStyle name="Normal 2 7 3 4 4 2 2" xfId="38452"/>
    <cellStyle name="Normal 2 7 3 4 4 3" xfId="21050"/>
    <cellStyle name="Normal 2 7 3 4 4 3 2" xfId="43501"/>
    <cellStyle name="Normal 2 7 3 4 4 4" xfId="31820"/>
    <cellStyle name="Normal 2 7 3 4 5" xfId="11713"/>
    <cellStyle name="Normal 2 7 3 4 5 2" xfId="22075"/>
    <cellStyle name="Normal 2 7 3 4 5 2 2" xfId="44499"/>
    <cellStyle name="Normal 2 7 3 4 5 3" xfId="35136"/>
    <cellStyle name="Normal 2 7 3 4 6" xfId="19213"/>
    <cellStyle name="Normal 2 7 3 4 6 2" xfId="41766"/>
    <cellStyle name="Normal 2 7 3 4 7" xfId="28504"/>
    <cellStyle name="Normal 2 7 3 5" xfId="3941"/>
    <cellStyle name="Normal 2 7 3 5 2" xfId="6996"/>
    <cellStyle name="Normal 2 7 3 5 2 2" xfId="10328"/>
    <cellStyle name="Normal 2 7 3 5 2 2 2" xfId="17032"/>
    <cellStyle name="Normal 2 7 3 5 2 2 2 2" xfId="40453"/>
    <cellStyle name="Normal 2 7 3 5 2 2 3" xfId="33821"/>
    <cellStyle name="Normal 2 7 3 5 2 3" xfId="13716"/>
    <cellStyle name="Normal 2 7 3 5 2 3 2" xfId="37137"/>
    <cellStyle name="Normal 2 7 3 5 2 4" xfId="20542"/>
    <cellStyle name="Normal 2 7 3 5 2 4 2" xfId="42994"/>
    <cellStyle name="Normal 2 7 3 5 2 5" xfId="30505"/>
    <cellStyle name="Normal 2 7 3 5 3" xfId="8663"/>
    <cellStyle name="Normal 2 7 3 5 3 2" xfId="15374"/>
    <cellStyle name="Normal 2 7 3 5 3 2 2" xfId="38795"/>
    <cellStyle name="Normal 2 7 3 5 3 3" xfId="21280"/>
    <cellStyle name="Normal 2 7 3 5 3 3 2" xfId="43731"/>
    <cellStyle name="Normal 2 7 3 5 3 4" xfId="32163"/>
    <cellStyle name="Normal 2 7 3 5 4" xfId="12056"/>
    <cellStyle name="Normal 2 7 3 5 4 2" xfId="22487"/>
    <cellStyle name="Normal 2 7 3 5 4 2 2" xfId="44909"/>
    <cellStyle name="Normal 2 7 3 5 4 3" xfId="35479"/>
    <cellStyle name="Normal 2 7 3 5 5" xfId="19645"/>
    <cellStyle name="Normal 2 7 3 5 5 2" xfId="42182"/>
    <cellStyle name="Normal 2 7 3 5 6" xfId="28847"/>
    <cellStyle name="Normal 2 7 3 6" xfId="6180"/>
    <cellStyle name="Normal 2 7 3 6 2" xfId="9514"/>
    <cellStyle name="Normal 2 7 3 6 2 2" xfId="16218"/>
    <cellStyle name="Normal 2 7 3 6 2 2 2" xfId="39639"/>
    <cellStyle name="Normal 2 7 3 6 2 3" xfId="33007"/>
    <cellStyle name="Normal 2 7 3 6 3" xfId="12902"/>
    <cellStyle name="Normal 2 7 3 6 3 2" xfId="36323"/>
    <cellStyle name="Normal 2 7 3 6 4" xfId="19091"/>
    <cellStyle name="Normal 2 7 3 6 4 2" xfId="41657"/>
    <cellStyle name="Normal 2 7 3 6 5" xfId="29691"/>
    <cellStyle name="Normal 2 7 3 7" xfId="7846"/>
    <cellStyle name="Normal 2 7 3 7 2" xfId="14560"/>
    <cellStyle name="Normal 2 7 3 7 2 2" xfId="37981"/>
    <cellStyle name="Normal 2 7 3 7 3" xfId="20821"/>
    <cellStyle name="Normal 2 7 3 7 3 2" xfId="43272"/>
    <cellStyle name="Normal 2 7 3 7 4" xfId="31349"/>
    <cellStyle name="Normal 2 7 3 8" xfId="11242"/>
    <cellStyle name="Normal 2 7 3 8 2" xfId="21637"/>
    <cellStyle name="Normal 2 7 3 8 2 2" xfId="44086"/>
    <cellStyle name="Normal 2 7 3 8 3" xfId="34665"/>
    <cellStyle name="Normal 2 7 3 9" xfId="18020"/>
    <cellStyle name="Normal 2 7 3 9 2" xfId="41313"/>
    <cellStyle name="Normal 2 7 4" xfId="1608"/>
    <cellStyle name="Normal 2 7 4 2" xfId="18691"/>
    <cellStyle name="Normal 2 7 5" xfId="1732"/>
    <cellStyle name="Normal 2 7 5 10" xfId="28084"/>
    <cellStyle name="Normal 2 7 5 2" xfId="2275"/>
    <cellStyle name="Normal 2 7 5 2 2" xfId="5524"/>
    <cellStyle name="Normal 2 7 5 2 2 2" xfId="7348"/>
    <cellStyle name="Normal 2 7 5 2 2 2 2" xfId="10679"/>
    <cellStyle name="Normal 2 7 5 2 2 2 2 2" xfId="17383"/>
    <cellStyle name="Normal 2 7 5 2 2 2 2 2 2" xfId="40804"/>
    <cellStyle name="Normal 2 7 5 2 2 2 2 3" xfId="23099"/>
    <cellStyle name="Normal 2 7 5 2 2 2 2 3 2" xfId="45521"/>
    <cellStyle name="Normal 2 7 5 2 2 2 2 4" xfId="34172"/>
    <cellStyle name="Normal 2 7 5 2 2 2 3" xfId="14067"/>
    <cellStyle name="Normal 2 7 5 2 2 2 3 2" xfId="37488"/>
    <cellStyle name="Normal 2 7 5 2 2 2 4" xfId="20273"/>
    <cellStyle name="Normal 2 7 5 2 2 2 4 2" xfId="42808"/>
    <cellStyle name="Normal 2 7 5 2 2 2 5" xfId="30856"/>
    <cellStyle name="Normal 2 7 5 2 2 3" xfId="9021"/>
    <cellStyle name="Normal 2 7 5 2 2 3 2" xfId="15725"/>
    <cellStyle name="Normal 2 7 5 2 2 3 2 2" xfId="39146"/>
    <cellStyle name="Normal 2 7 5 2 2 3 3" xfId="21285"/>
    <cellStyle name="Normal 2 7 5 2 2 3 3 2" xfId="43736"/>
    <cellStyle name="Normal 2 7 5 2 2 3 4" xfId="32514"/>
    <cellStyle name="Normal 2 7 5 2 2 4" xfId="12409"/>
    <cellStyle name="Normal 2 7 5 2 2 4 2" xfId="22286"/>
    <cellStyle name="Normal 2 7 5 2 2 4 2 2" xfId="44708"/>
    <cellStyle name="Normal 2 7 5 2 2 4 3" xfId="35830"/>
    <cellStyle name="Normal 2 7 5 2 2 5" xfId="19434"/>
    <cellStyle name="Normal 2 7 5 2 2 5 2" xfId="41976"/>
    <cellStyle name="Normal 2 7 5 2 2 6" xfId="29198"/>
    <cellStyle name="Normal 2 7 5 2 3" xfId="6445"/>
    <cellStyle name="Normal 2 7 5 2 3 2" xfId="9779"/>
    <cellStyle name="Normal 2 7 5 2 3 2 2" xfId="16483"/>
    <cellStyle name="Normal 2 7 5 2 3 2 2 2" xfId="39904"/>
    <cellStyle name="Normal 2 7 5 2 3 2 3" xfId="22693"/>
    <cellStyle name="Normal 2 7 5 2 3 2 3 2" xfId="45115"/>
    <cellStyle name="Normal 2 7 5 2 3 2 4" xfId="33272"/>
    <cellStyle name="Normal 2 7 5 2 3 3" xfId="13167"/>
    <cellStyle name="Normal 2 7 5 2 3 3 2" xfId="36588"/>
    <cellStyle name="Normal 2 7 5 2 3 4" xfId="19857"/>
    <cellStyle name="Normal 2 7 5 2 3 4 2" xfId="42392"/>
    <cellStyle name="Normal 2 7 5 2 3 5" xfId="29956"/>
    <cellStyle name="Normal 2 7 5 2 4" xfId="8112"/>
    <cellStyle name="Normal 2 7 5 2 4 2" xfId="14825"/>
    <cellStyle name="Normal 2 7 5 2 4 2 2" xfId="38246"/>
    <cellStyle name="Normal 2 7 5 2 4 3" xfId="20826"/>
    <cellStyle name="Normal 2 7 5 2 4 3 2" xfId="43277"/>
    <cellStyle name="Normal 2 7 5 2 4 4" xfId="31614"/>
    <cellStyle name="Normal 2 7 5 2 5" xfId="11507"/>
    <cellStyle name="Normal 2 7 5 2 5 2" xfId="21860"/>
    <cellStyle name="Normal 2 7 5 2 5 2 2" xfId="44294"/>
    <cellStyle name="Normal 2 7 5 2 5 3" xfId="34930"/>
    <cellStyle name="Normal 2 7 5 2 6" xfId="18692"/>
    <cellStyle name="Normal 2 7 5 2 6 2" xfId="41551"/>
    <cellStyle name="Normal 2 7 5 2 7" xfId="25849"/>
    <cellStyle name="Normal 2 7 5 2 7 2" xfId="48094"/>
    <cellStyle name="Normal 2 7 5 2 8" xfId="28298"/>
    <cellStyle name="Normal 2 7 5 3" xfId="2729"/>
    <cellStyle name="Normal 2 7 5 3 2" xfId="5821"/>
    <cellStyle name="Normal 2 7 5 3 2 2" xfId="7603"/>
    <cellStyle name="Normal 2 7 5 3 2 2 2" xfId="10932"/>
    <cellStyle name="Normal 2 7 5 3 2 2 2 2" xfId="17636"/>
    <cellStyle name="Normal 2 7 5 3 2 2 2 2 2" xfId="41057"/>
    <cellStyle name="Normal 2 7 5 3 2 2 2 3" xfId="34425"/>
    <cellStyle name="Normal 2 7 5 3 2 2 3" xfId="14320"/>
    <cellStyle name="Normal 2 7 5 3 2 2 3 2" xfId="37741"/>
    <cellStyle name="Normal 2 7 5 3 2 2 4" xfId="22895"/>
    <cellStyle name="Normal 2 7 5 3 2 2 4 2" xfId="45317"/>
    <cellStyle name="Normal 2 7 5 3 2 2 5" xfId="31109"/>
    <cellStyle name="Normal 2 7 5 3 2 3" xfId="9274"/>
    <cellStyle name="Normal 2 7 5 3 2 3 2" xfId="15978"/>
    <cellStyle name="Normal 2 7 5 3 2 3 2 2" xfId="39399"/>
    <cellStyle name="Normal 2 7 5 3 2 3 3" xfId="32767"/>
    <cellStyle name="Normal 2 7 5 3 2 4" xfId="12662"/>
    <cellStyle name="Normal 2 7 5 3 2 4 2" xfId="36083"/>
    <cellStyle name="Normal 2 7 5 3 2 5" xfId="20065"/>
    <cellStyle name="Normal 2 7 5 3 2 5 2" xfId="42600"/>
    <cellStyle name="Normal 2 7 5 3 2 6" xfId="29451"/>
    <cellStyle name="Normal 2 7 5 3 3" xfId="6704"/>
    <cellStyle name="Normal 2 7 5 3 3 2" xfId="10036"/>
    <cellStyle name="Normal 2 7 5 3 3 2 2" xfId="16740"/>
    <cellStyle name="Normal 2 7 5 3 3 2 2 2" xfId="40161"/>
    <cellStyle name="Normal 2 7 5 3 3 2 3" xfId="33529"/>
    <cellStyle name="Normal 2 7 5 3 3 3" xfId="13424"/>
    <cellStyle name="Normal 2 7 5 3 3 3 2" xfId="36845"/>
    <cellStyle name="Normal 2 7 5 3 3 4" xfId="21284"/>
    <cellStyle name="Normal 2 7 5 3 3 4 2" xfId="43735"/>
    <cellStyle name="Normal 2 7 5 3 3 5" xfId="30213"/>
    <cellStyle name="Normal 2 7 5 3 4" xfId="8370"/>
    <cellStyle name="Normal 2 7 5 3 4 2" xfId="15082"/>
    <cellStyle name="Normal 2 7 5 3 4 2 2" xfId="38503"/>
    <cellStyle name="Normal 2 7 5 3 4 3" xfId="22077"/>
    <cellStyle name="Normal 2 7 5 3 4 3 2" xfId="44501"/>
    <cellStyle name="Normal 2 7 5 3 4 4" xfId="31871"/>
    <cellStyle name="Normal 2 7 5 3 5" xfId="11764"/>
    <cellStyle name="Normal 2 7 5 3 5 2" xfId="35187"/>
    <cellStyle name="Normal 2 7 5 3 6" xfId="19215"/>
    <cellStyle name="Normal 2 7 5 3 6 2" xfId="41768"/>
    <cellStyle name="Normal 2 7 5 3 7" xfId="28555"/>
    <cellStyle name="Normal 2 7 5 4" xfId="3943"/>
    <cellStyle name="Normal 2 7 5 4 2" xfId="6998"/>
    <cellStyle name="Normal 2 7 5 4 2 2" xfId="10330"/>
    <cellStyle name="Normal 2 7 5 4 2 2 2" xfId="17034"/>
    <cellStyle name="Normal 2 7 5 4 2 2 2 2" xfId="40455"/>
    <cellStyle name="Normal 2 7 5 4 2 2 3" xfId="33823"/>
    <cellStyle name="Normal 2 7 5 4 2 3" xfId="13718"/>
    <cellStyle name="Normal 2 7 5 4 2 3 2" xfId="37139"/>
    <cellStyle name="Normal 2 7 5 4 2 4" xfId="22489"/>
    <cellStyle name="Normal 2 7 5 4 2 4 2" xfId="44911"/>
    <cellStyle name="Normal 2 7 5 4 2 5" xfId="30507"/>
    <cellStyle name="Normal 2 7 5 4 3" xfId="8665"/>
    <cellStyle name="Normal 2 7 5 4 3 2" xfId="15376"/>
    <cellStyle name="Normal 2 7 5 4 3 2 2" xfId="38797"/>
    <cellStyle name="Normal 2 7 5 4 3 3" xfId="32165"/>
    <cellStyle name="Normal 2 7 5 4 4" xfId="12058"/>
    <cellStyle name="Normal 2 7 5 4 4 2" xfId="35481"/>
    <cellStyle name="Normal 2 7 5 4 5" xfId="19647"/>
    <cellStyle name="Normal 2 7 5 4 5 2" xfId="42184"/>
    <cellStyle name="Normal 2 7 5 4 6" xfId="28849"/>
    <cellStyle name="Normal 2 7 5 5" xfId="6231"/>
    <cellStyle name="Normal 2 7 5 5 2" xfId="9565"/>
    <cellStyle name="Normal 2 7 5 5 2 2" xfId="16269"/>
    <cellStyle name="Normal 2 7 5 5 2 2 2" xfId="39690"/>
    <cellStyle name="Normal 2 7 5 5 2 3" xfId="33058"/>
    <cellStyle name="Normal 2 7 5 5 3" xfId="12953"/>
    <cellStyle name="Normal 2 7 5 5 3 2" xfId="36374"/>
    <cellStyle name="Normal 2 7 5 5 4" xfId="20825"/>
    <cellStyle name="Normal 2 7 5 5 4 2" xfId="43276"/>
    <cellStyle name="Normal 2 7 5 5 5" xfId="29742"/>
    <cellStyle name="Normal 2 7 5 6" xfId="7897"/>
    <cellStyle name="Normal 2 7 5 6 2" xfId="14611"/>
    <cellStyle name="Normal 2 7 5 6 2 2" xfId="38032"/>
    <cellStyle name="Normal 2 7 5 6 3" xfId="21639"/>
    <cellStyle name="Normal 2 7 5 6 3 2" xfId="44088"/>
    <cellStyle name="Normal 2 7 5 6 4" xfId="31400"/>
    <cellStyle name="Normal 2 7 5 7" xfId="11293"/>
    <cellStyle name="Normal 2 7 5 7 2" xfId="34716"/>
    <cellStyle name="Normal 2 7 5 8" xfId="18022"/>
    <cellStyle name="Normal 2 7 5 8 2" xfId="41315"/>
    <cellStyle name="Normal 2 7 5 9" xfId="23613"/>
    <cellStyle name="Normal 2 7 5 9 2" xfId="45903"/>
    <cellStyle name="Normal 2 7 6" xfId="2596"/>
    <cellStyle name="Normal 2 7 6 2" xfId="3944"/>
    <cellStyle name="Normal 2 7 6 2 2" xfId="6999"/>
    <cellStyle name="Normal 2 7 6 2 2 2" xfId="10331"/>
    <cellStyle name="Normal 2 7 6 2 2 2 2" xfId="17035"/>
    <cellStyle name="Normal 2 7 6 2 2 2 2 2" xfId="40456"/>
    <cellStyle name="Normal 2 7 6 2 2 2 3" xfId="33824"/>
    <cellStyle name="Normal 2 7 6 2 2 3" xfId="13719"/>
    <cellStyle name="Normal 2 7 6 2 2 3 2" xfId="37140"/>
    <cellStyle name="Normal 2 7 6 2 2 4" xfId="30508"/>
    <cellStyle name="Normal 2 7 6 2 3" xfId="8666"/>
    <cellStyle name="Normal 2 7 6 2 3 2" xfId="15377"/>
    <cellStyle name="Normal 2 7 6 2 3 2 2" xfId="38798"/>
    <cellStyle name="Normal 2 7 6 2 3 3" xfId="32166"/>
    <cellStyle name="Normal 2 7 6 2 4" xfId="12059"/>
    <cellStyle name="Normal 2 7 6 2 4 2" xfId="35482"/>
    <cellStyle name="Normal 2 7 6 2 5" xfId="25850"/>
    <cellStyle name="Normal 2 7 6 2 5 2" xfId="48095"/>
    <cellStyle name="Normal 2 7 6 2 6" xfId="28850"/>
    <cellStyle name="Normal 2 7 6 3" xfId="6573"/>
    <cellStyle name="Normal 2 7 6 3 2" xfId="9905"/>
    <cellStyle name="Normal 2 7 6 3 2 2" xfId="16609"/>
    <cellStyle name="Normal 2 7 6 3 2 2 2" xfId="40030"/>
    <cellStyle name="Normal 2 7 6 3 2 3" xfId="33398"/>
    <cellStyle name="Normal 2 7 6 3 3" xfId="13293"/>
    <cellStyle name="Normal 2 7 6 3 3 2" xfId="36714"/>
    <cellStyle name="Normal 2 7 6 3 4" xfId="30082"/>
    <cellStyle name="Normal 2 7 6 4" xfId="8239"/>
    <cellStyle name="Normal 2 7 6 4 2" xfId="14951"/>
    <cellStyle name="Normal 2 7 6 4 2 2" xfId="38372"/>
    <cellStyle name="Normal 2 7 6 4 3" xfId="31740"/>
    <cellStyle name="Normal 2 7 6 5" xfId="11633"/>
    <cellStyle name="Normal 2 7 6 5 2" xfId="35056"/>
    <cellStyle name="Normal 2 7 6 6" xfId="18684"/>
    <cellStyle name="Normal 2 7 6 7" xfId="23614"/>
    <cellStyle name="Normal 2 7 6 7 2" xfId="45904"/>
    <cellStyle name="Normal 2 7 6 8" xfId="28424"/>
    <cellStyle name="Normal 2 7 7" xfId="3936"/>
    <cellStyle name="Normal 2 7 8" xfId="6100"/>
    <cellStyle name="Normal 2 7 8 2" xfId="9434"/>
    <cellStyle name="Normal 2 7 8 2 2" xfId="16138"/>
    <cellStyle name="Normal 2 7 8 2 2 2" xfId="39559"/>
    <cellStyle name="Normal 2 7 8 2 3" xfId="32927"/>
    <cellStyle name="Normal 2 7 8 3" xfId="12822"/>
    <cellStyle name="Normal 2 7 8 3 2" xfId="36243"/>
    <cellStyle name="Normal 2 7 8 4" xfId="29611"/>
    <cellStyle name="Normal 2 7 9" xfId="7765"/>
    <cellStyle name="Normal 2 7 9 2" xfId="14480"/>
    <cellStyle name="Normal 2 7 9 2 2" xfId="37901"/>
    <cellStyle name="Normal 2 7 9 3" xfId="31269"/>
    <cellStyle name="Normal 2 8" xfId="1611"/>
    <cellStyle name="Normal 2 8 2" xfId="18693"/>
    <cellStyle name="Normal 2 9" xfId="1612"/>
    <cellStyle name="Normal 2 9 2" xfId="18694"/>
    <cellStyle name="Normal 2_Exhibits" xfId="991"/>
    <cellStyle name="Normal 20" xfId="483"/>
    <cellStyle name="Normal 20 2" xfId="484"/>
    <cellStyle name="Normal 20 2 2" xfId="3945"/>
    <cellStyle name="Normal 20 2 2 2" xfId="18696"/>
    <cellStyle name="Normal 20 3" xfId="1150"/>
    <cellStyle name="Normal 20 3 2" xfId="3947"/>
    <cellStyle name="Normal 20 3 2 2" xfId="18697"/>
    <cellStyle name="Normal 20 3 3" xfId="3948"/>
    <cellStyle name="Normal 20 3 4" xfId="3946"/>
    <cellStyle name="Normal 20 4" xfId="1085"/>
    <cellStyle name="Normal 20 4 2" xfId="3950"/>
    <cellStyle name="Normal 20 4 3" xfId="3949"/>
    <cellStyle name="Normal 20 5" xfId="18695"/>
    <cellStyle name="Normal 200" xfId="7738"/>
    <cellStyle name="Normal 201" xfId="8833"/>
    <cellStyle name="Normal 202" xfId="11069"/>
    <cellStyle name="Normal 203" xfId="8816"/>
    <cellStyle name="Normal 204" xfId="11068"/>
    <cellStyle name="Normal 205" xfId="8003"/>
    <cellStyle name="Normal 206" xfId="11072"/>
    <cellStyle name="Normal 207" xfId="7739"/>
    <cellStyle name="Normal 208" xfId="8844"/>
    <cellStyle name="Normal 209" xfId="11074"/>
    <cellStyle name="Normal 21" xfId="485"/>
    <cellStyle name="Normal 21 2" xfId="486"/>
    <cellStyle name="Normal 21 2 2" xfId="3951"/>
    <cellStyle name="Normal 21 3" xfId="3952"/>
    <cellStyle name="Normal 21 4" xfId="3953"/>
    <cellStyle name="Normal 210" xfId="11073"/>
    <cellStyle name="Normal 211" xfId="8213"/>
    <cellStyle name="Normal 211 2" xfId="21534"/>
    <cellStyle name="Normal 212" xfId="11071"/>
    <cellStyle name="Normal 212 2" xfId="21738"/>
    <cellStyle name="Normal 213" xfId="8554"/>
    <cellStyle name="Normal 213 2" xfId="21535"/>
    <cellStyle name="Normal 214" xfId="8817"/>
    <cellStyle name="Normal 215" xfId="8856"/>
    <cellStyle name="Normal 216" xfId="7766"/>
    <cellStyle name="Normal 217" xfId="8865"/>
    <cellStyle name="Normal 218" xfId="8830"/>
    <cellStyle name="Normal 219" xfId="11070"/>
    <cellStyle name="Normal 22" xfId="487"/>
    <cellStyle name="Normal 22 2" xfId="488"/>
    <cellStyle name="Normal 22 2 2" xfId="857"/>
    <cellStyle name="Normal 22 2 2 2" xfId="3955"/>
    <cellStyle name="Normal 22 2 2 3" xfId="3954"/>
    <cellStyle name="Normal 22 2 3" xfId="3956"/>
    <cellStyle name="Normal 22 3" xfId="3957"/>
    <cellStyle name="Normal 22 3 2" xfId="18698"/>
    <cellStyle name="Normal 220" xfId="11075"/>
    <cellStyle name="Normal 221" xfId="11097"/>
    <cellStyle name="Normal 222" xfId="11119"/>
    <cellStyle name="Normal 223" xfId="11120"/>
    <cellStyle name="Normal 224" xfId="11121"/>
    <cellStyle name="Normal 225" xfId="11122"/>
    <cellStyle name="Normal 226" xfId="11123"/>
    <cellStyle name="Normal 227" xfId="11124"/>
    <cellStyle name="Normal 228" xfId="11125"/>
    <cellStyle name="Normal 229" xfId="11126"/>
    <cellStyle name="Normal 23" xfId="489"/>
    <cellStyle name="Normal 23 2" xfId="858"/>
    <cellStyle name="Normal 23 2 2" xfId="18700"/>
    <cellStyle name="Normal 23 3" xfId="18699"/>
    <cellStyle name="Normal 230" xfId="11118"/>
    <cellStyle name="Normal 231" xfId="11127"/>
    <cellStyle name="Normal 232" xfId="11128"/>
    <cellStyle name="Normal 233" xfId="11129"/>
    <cellStyle name="Normal 234" xfId="11130"/>
    <cellStyle name="Normal 235" xfId="11131"/>
    <cellStyle name="Normal 236" xfId="11132"/>
    <cellStyle name="Normal 237" xfId="11133"/>
    <cellStyle name="Normal 238" xfId="11134"/>
    <cellStyle name="Normal 239" xfId="11135"/>
    <cellStyle name="Normal 24" xfId="490"/>
    <cellStyle name="Normal 24 2" xfId="859"/>
    <cellStyle name="Normal 24 2 2" xfId="18702"/>
    <cellStyle name="Normal 24 3" xfId="18701"/>
    <cellStyle name="Normal 240" xfId="11136"/>
    <cellStyle name="Normal 241" xfId="12223"/>
    <cellStyle name="Normal 242" xfId="17771"/>
    <cellStyle name="Normal 243" xfId="17773"/>
    <cellStyle name="Normal 244" xfId="17774"/>
    <cellStyle name="Normal 245" xfId="17772"/>
    <cellStyle name="Normal 246" xfId="17775"/>
    <cellStyle name="Normal 247" xfId="12301"/>
    <cellStyle name="Normal 248" xfId="17776"/>
    <cellStyle name="Normal 249" xfId="18306"/>
    <cellStyle name="Normal 25" xfId="491"/>
    <cellStyle name="Normal 25 2" xfId="860"/>
    <cellStyle name="Normal 25 2 2" xfId="5150"/>
    <cellStyle name="Normal 25 2 2 2" xfId="18703"/>
    <cellStyle name="Normal 25 2 3" xfId="5144"/>
    <cellStyle name="Normal 25 2 3 2" xfId="23215"/>
    <cellStyle name="Normal 25 3" xfId="3958"/>
    <cellStyle name="Normal 25 3 2" xfId="5987"/>
    <cellStyle name="Normal 25 3 2 2" xfId="23322"/>
    <cellStyle name="Normal 250" xfId="17857"/>
    <cellStyle name="Normal 251" xfId="18658"/>
    <cellStyle name="Normal 252" xfId="20537"/>
    <cellStyle name="Normal 253" xfId="23205"/>
    <cellStyle name="Normal 254" xfId="17835"/>
    <cellStyle name="Normal 255" xfId="20424"/>
    <cellStyle name="Normal 256" xfId="23201"/>
    <cellStyle name="Normal 257" xfId="23206"/>
    <cellStyle name="Normal 258" xfId="23200"/>
    <cellStyle name="Normal 259" xfId="23199"/>
    <cellStyle name="Normal 26" xfId="492"/>
    <cellStyle name="Normal 26 2" xfId="861"/>
    <cellStyle name="Normal 26 2 2" xfId="18705"/>
    <cellStyle name="Normal 26 3" xfId="18704"/>
    <cellStyle name="Normal 260" xfId="20398"/>
    <cellStyle name="Normal 261" xfId="23209"/>
    <cellStyle name="Normal 262" xfId="18286"/>
    <cellStyle name="Normal 263" xfId="23210"/>
    <cellStyle name="Normal 264" xfId="23298"/>
    <cellStyle name="Normal 265" xfId="23795"/>
    <cellStyle name="Normal 266" xfId="23832"/>
    <cellStyle name="Normal 267" xfId="27927"/>
    <cellStyle name="Normal 27" xfId="493"/>
    <cellStyle name="Normal 27 2" xfId="3959"/>
    <cellStyle name="Normal 27 2 2" xfId="3960"/>
    <cellStyle name="Normal 27 2 3" xfId="7000"/>
    <cellStyle name="Normal 27 2 3 2" xfId="10332"/>
    <cellStyle name="Normal 27 2 3 2 2" xfId="17036"/>
    <cellStyle name="Normal 27 2 3 2 2 2" xfId="40457"/>
    <cellStyle name="Normal 27 2 3 2 3" xfId="25851"/>
    <cellStyle name="Normal 27 2 3 2 3 2" xfId="48096"/>
    <cellStyle name="Normal 27 2 3 2 4" xfId="33825"/>
    <cellStyle name="Normal 27 2 3 3" xfId="13720"/>
    <cellStyle name="Normal 27 2 3 3 2" xfId="37141"/>
    <cellStyle name="Normal 27 2 3 4" xfId="23447"/>
    <cellStyle name="Normal 27 2 3 4 2" xfId="45786"/>
    <cellStyle name="Normal 27 2 3 5" xfId="30509"/>
    <cellStyle name="Normal 27 2 4" xfId="8667"/>
    <cellStyle name="Normal 27 2 4 2" xfId="15378"/>
    <cellStyle name="Normal 27 2 4 2 2" xfId="38799"/>
    <cellStyle name="Normal 27 2 4 3" xfId="32167"/>
    <cellStyle name="Normal 27 2 5" xfId="12060"/>
    <cellStyle name="Normal 27 2 5 2" xfId="35483"/>
    <cellStyle name="Normal 27 2 6" xfId="23615"/>
    <cellStyle name="Normal 27 2 6 2" xfId="45905"/>
    <cellStyle name="Normal 27 2 7" xfId="28851"/>
    <cellStyle name="Normal 27 3" xfId="4780"/>
    <cellStyle name="Normal 27 3 2" xfId="7160"/>
    <cellStyle name="Normal 27 3 2 2" xfId="10492"/>
    <cellStyle name="Normal 27 3 2 2 2" xfId="17196"/>
    <cellStyle name="Normal 27 3 2 2 2 2" xfId="40617"/>
    <cellStyle name="Normal 27 3 2 2 3" xfId="33985"/>
    <cellStyle name="Normal 27 3 2 3" xfId="13880"/>
    <cellStyle name="Normal 27 3 2 3 2" xfId="37301"/>
    <cellStyle name="Normal 27 3 2 4" xfId="26003"/>
    <cellStyle name="Normal 27 3 2 4 2" xfId="48248"/>
    <cellStyle name="Normal 27 3 2 5" xfId="30669"/>
    <cellStyle name="Normal 27 3 3" xfId="8829"/>
    <cellStyle name="Normal 27 3 3 2" xfId="15538"/>
    <cellStyle name="Normal 27 3 3 2 2" xfId="38959"/>
    <cellStyle name="Normal 27 3 3 3" xfId="32327"/>
    <cellStyle name="Normal 27 3 4" xfId="12220"/>
    <cellStyle name="Normal 27 3 4 2" xfId="35643"/>
    <cellStyle name="Normal 27 3 5" xfId="23460"/>
    <cellStyle name="Normal 27 3 5 2" xfId="45796"/>
    <cellStyle name="Normal 27 3 6" xfId="29011"/>
    <cellStyle name="Normal 27 4" xfId="23265"/>
    <cellStyle name="Normal 27 4 2" xfId="45657"/>
    <cellStyle name="Normal 28" xfId="494"/>
    <cellStyle name="Normal 28 2" xfId="3961"/>
    <cellStyle name="Normal 28 2 2" xfId="3962"/>
    <cellStyle name="Normal 28 2 3" xfId="7001"/>
    <cellStyle name="Normal 28 2 3 2" xfId="10333"/>
    <cellStyle name="Normal 28 2 3 2 2" xfId="17037"/>
    <cellStyle name="Normal 28 2 3 2 2 2" xfId="40458"/>
    <cellStyle name="Normal 28 2 3 2 3" xfId="25852"/>
    <cellStyle name="Normal 28 2 3 2 3 2" xfId="48097"/>
    <cellStyle name="Normal 28 2 3 2 4" xfId="33826"/>
    <cellStyle name="Normal 28 2 3 3" xfId="13721"/>
    <cellStyle name="Normal 28 2 3 3 2" xfId="37142"/>
    <cellStyle name="Normal 28 2 3 4" xfId="23448"/>
    <cellStyle name="Normal 28 2 3 4 2" xfId="45787"/>
    <cellStyle name="Normal 28 2 3 5" xfId="30510"/>
    <cellStyle name="Normal 28 2 4" xfId="8668"/>
    <cellStyle name="Normal 28 2 4 2" xfId="15379"/>
    <cellStyle name="Normal 28 2 4 2 2" xfId="38800"/>
    <cellStyle name="Normal 28 2 4 3" xfId="32168"/>
    <cellStyle name="Normal 28 2 5" xfId="12061"/>
    <cellStyle name="Normal 28 2 5 2" xfId="35484"/>
    <cellStyle name="Normal 28 2 6" xfId="23616"/>
    <cellStyle name="Normal 28 2 6 2" xfId="45906"/>
    <cellStyle name="Normal 28 2 7" xfId="28852"/>
    <cellStyle name="Normal 28 3" xfId="4779"/>
    <cellStyle name="Normal 28 3 2" xfId="7159"/>
    <cellStyle name="Normal 28 3 2 2" xfId="10491"/>
    <cellStyle name="Normal 28 3 2 2 2" xfId="17195"/>
    <cellStyle name="Normal 28 3 2 2 2 2" xfId="40616"/>
    <cellStyle name="Normal 28 3 2 2 3" xfId="33984"/>
    <cellStyle name="Normal 28 3 2 3" xfId="13879"/>
    <cellStyle name="Normal 28 3 2 3 2" xfId="37300"/>
    <cellStyle name="Normal 28 3 2 4" xfId="26002"/>
    <cellStyle name="Normal 28 3 2 4 2" xfId="48247"/>
    <cellStyle name="Normal 28 3 2 5" xfId="30668"/>
    <cellStyle name="Normal 28 3 3" xfId="8828"/>
    <cellStyle name="Normal 28 3 3 2" xfId="15537"/>
    <cellStyle name="Normal 28 3 3 2 2" xfId="38958"/>
    <cellStyle name="Normal 28 3 3 3" xfId="32326"/>
    <cellStyle name="Normal 28 3 4" xfId="12219"/>
    <cellStyle name="Normal 28 3 4 2" xfId="35642"/>
    <cellStyle name="Normal 28 3 5" xfId="23459"/>
    <cellStyle name="Normal 28 3 5 2" xfId="45795"/>
    <cellStyle name="Normal 28 3 6" xfId="29010"/>
    <cellStyle name="Normal 28 4" xfId="23264"/>
    <cellStyle name="Normal 28 4 2" xfId="45656"/>
    <cellStyle name="Normal 29" xfId="495"/>
    <cellStyle name="Normal 29 2" xfId="3963"/>
    <cellStyle name="Normal 3" xfId="496"/>
    <cellStyle name="Normal 3 2" xfId="497"/>
    <cellStyle name="Normal 3 2 2" xfId="498"/>
    <cellStyle name="Normal 3 2 2 2" xfId="864"/>
    <cellStyle name="Normal 3 2 2 2 2" xfId="3964"/>
    <cellStyle name="Normal 3 2 2 2 2 2" xfId="18708"/>
    <cellStyle name="Normal 3 2 2 3" xfId="863"/>
    <cellStyle name="Normal 3 2 2 3 2" xfId="3966"/>
    <cellStyle name="Normal 3 2 2 3 3" xfId="3965"/>
    <cellStyle name="Normal 3 2 2 4" xfId="1087"/>
    <cellStyle name="Normal 3 2 2 4 2" xfId="18709"/>
    <cellStyle name="Normal 3 2 2 5" xfId="18707"/>
    <cellStyle name="Normal 3 2 3" xfId="865"/>
    <cellStyle name="Normal 3 2 3 2" xfId="3968"/>
    <cellStyle name="Normal 3 2 3 2 2" xfId="3969"/>
    <cellStyle name="Normal 3 2 3 3" xfId="3967"/>
    <cellStyle name="Normal 3 2 4" xfId="862"/>
    <cellStyle name="Normal 3 2 4 2" xfId="3971"/>
    <cellStyle name="Normal 3 2 4 3" xfId="3970"/>
    <cellStyle name="Normal 3 2 5" xfId="1086"/>
    <cellStyle name="Normal 3 2 5 10" xfId="6079"/>
    <cellStyle name="Normal 3 2 5 10 2" xfId="9413"/>
    <cellStyle name="Normal 3 2 5 10 2 2" xfId="16117"/>
    <cellStyle name="Normal 3 2 5 10 2 2 2" xfId="39538"/>
    <cellStyle name="Normal 3 2 5 10 2 3" xfId="32906"/>
    <cellStyle name="Normal 3 2 5 10 3" xfId="12801"/>
    <cellStyle name="Normal 3 2 5 10 3 2" xfId="36222"/>
    <cellStyle name="Normal 3 2 5 10 4" xfId="19093"/>
    <cellStyle name="Normal 3 2 5 10 4 2" xfId="41659"/>
    <cellStyle name="Normal 3 2 5 10 5" xfId="29590"/>
    <cellStyle name="Normal 3 2 5 11" xfId="7744"/>
    <cellStyle name="Normal 3 2 5 11 2" xfId="14459"/>
    <cellStyle name="Normal 3 2 5 11 2 2" xfId="37880"/>
    <cellStyle name="Normal 3 2 5 11 3" xfId="20828"/>
    <cellStyle name="Normal 3 2 5 11 3 2" xfId="43279"/>
    <cellStyle name="Normal 3 2 5 11 4" xfId="31248"/>
    <cellStyle name="Normal 3 2 5 12" xfId="11141"/>
    <cellStyle name="Normal 3 2 5 12 2" xfId="21640"/>
    <cellStyle name="Normal 3 2 5 12 2 2" xfId="44089"/>
    <cellStyle name="Normal 3 2 5 12 3" xfId="34564"/>
    <cellStyle name="Normal 3 2 5 13" xfId="18026"/>
    <cellStyle name="Normal 3 2 5 13 2" xfId="41316"/>
    <cellStyle name="Normal 3 2 5 14" xfId="23617"/>
    <cellStyle name="Normal 3 2 5 14 2" xfId="45907"/>
    <cellStyle name="Normal 3 2 5 15" xfId="27932"/>
    <cellStyle name="Normal 3 2 5 2" xfId="1420"/>
    <cellStyle name="Normal 3 2 5 2 10" xfId="11169"/>
    <cellStyle name="Normal 3 2 5 2 10 2" xfId="21641"/>
    <cellStyle name="Normal 3 2 5 2 10 2 2" xfId="44090"/>
    <cellStyle name="Normal 3 2 5 2 10 3" xfId="34592"/>
    <cellStyle name="Normal 3 2 5 2 11" xfId="18027"/>
    <cellStyle name="Normal 3 2 5 2 11 2" xfId="41317"/>
    <cellStyle name="Normal 3 2 5 2 12" xfId="23618"/>
    <cellStyle name="Normal 3 2 5 2 12 2" xfId="45908"/>
    <cellStyle name="Normal 3 2 5 2 13" xfId="27960"/>
    <cellStyle name="Normal 3 2 5 2 2" xfId="1460"/>
    <cellStyle name="Normal 3 2 5 2 2 10" xfId="18028"/>
    <cellStyle name="Normal 3 2 5 2 2 10 2" xfId="41318"/>
    <cellStyle name="Normal 3 2 5 2 2 11" xfId="23619"/>
    <cellStyle name="Normal 3 2 5 2 2 11 2" xfId="45909"/>
    <cellStyle name="Normal 3 2 5 2 2 12" xfId="27996"/>
    <cellStyle name="Normal 3 2 5 2 2 2" xfId="1616"/>
    <cellStyle name="Normal 3 2 5 2 2 2 10" xfId="23620"/>
    <cellStyle name="Normal 3 2 5 2 2 2 10 2" xfId="45910"/>
    <cellStyle name="Normal 3 2 5 2 2 2 11" xfId="28036"/>
    <cellStyle name="Normal 3 2 5 2 2 2 2" xfId="1815"/>
    <cellStyle name="Normal 3 2 5 2 2 2 2 10" xfId="28167"/>
    <cellStyle name="Normal 3 2 5 2 2 2 2 2" xfId="2281"/>
    <cellStyle name="Normal 3 2 5 2 2 2 2 2 2" xfId="5529"/>
    <cellStyle name="Normal 3 2 5 2 2 2 2 2 2 2" xfId="7353"/>
    <cellStyle name="Normal 3 2 5 2 2 2 2 2 2 2 2" xfId="10684"/>
    <cellStyle name="Normal 3 2 5 2 2 2 2 2 2 2 2 2" xfId="17388"/>
    <cellStyle name="Normal 3 2 5 2 2 2 2 2 2 2 2 2 2" xfId="40809"/>
    <cellStyle name="Normal 3 2 5 2 2 2 2 2 2 2 2 3" xfId="23104"/>
    <cellStyle name="Normal 3 2 5 2 2 2 2 2 2 2 2 3 2" xfId="45526"/>
    <cellStyle name="Normal 3 2 5 2 2 2 2 2 2 2 2 4" xfId="34177"/>
    <cellStyle name="Normal 3 2 5 2 2 2 2 2 2 2 3" xfId="14072"/>
    <cellStyle name="Normal 3 2 5 2 2 2 2 2 2 2 3 2" xfId="37493"/>
    <cellStyle name="Normal 3 2 5 2 2 2 2 2 2 2 4" xfId="20278"/>
    <cellStyle name="Normal 3 2 5 2 2 2 2 2 2 2 4 2" xfId="42813"/>
    <cellStyle name="Normal 3 2 5 2 2 2 2 2 2 2 5" xfId="30861"/>
    <cellStyle name="Normal 3 2 5 2 2 2 2 2 2 3" xfId="9026"/>
    <cellStyle name="Normal 3 2 5 2 2 2 2 2 2 3 2" xfId="15730"/>
    <cellStyle name="Normal 3 2 5 2 2 2 2 2 2 3 2 2" xfId="39151"/>
    <cellStyle name="Normal 3 2 5 2 2 2 2 2 2 3 3" xfId="21292"/>
    <cellStyle name="Normal 3 2 5 2 2 2 2 2 2 3 3 2" xfId="43743"/>
    <cellStyle name="Normal 3 2 5 2 2 2 2 2 2 3 4" xfId="32519"/>
    <cellStyle name="Normal 3 2 5 2 2 2 2 2 2 4" xfId="12414"/>
    <cellStyle name="Normal 3 2 5 2 2 2 2 2 2 4 2" xfId="22291"/>
    <cellStyle name="Normal 3 2 5 2 2 2 2 2 2 4 2 2" xfId="44713"/>
    <cellStyle name="Normal 3 2 5 2 2 2 2 2 2 4 3" xfId="35835"/>
    <cellStyle name="Normal 3 2 5 2 2 2 2 2 2 5" xfId="19439"/>
    <cellStyle name="Normal 3 2 5 2 2 2 2 2 2 5 2" xfId="41981"/>
    <cellStyle name="Normal 3 2 5 2 2 2 2 2 2 6" xfId="29203"/>
    <cellStyle name="Normal 3 2 5 2 2 2 2 2 3" xfId="6450"/>
    <cellStyle name="Normal 3 2 5 2 2 2 2 2 3 2" xfId="9784"/>
    <cellStyle name="Normal 3 2 5 2 2 2 2 2 3 2 2" xfId="16488"/>
    <cellStyle name="Normal 3 2 5 2 2 2 2 2 3 2 2 2" xfId="39909"/>
    <cellStyle name="Normal 3 2 5 2 2 2 2 2 3 2 3" xfId="22698"/>
    <cellStyle name="Normal 3 2 5 2 2 2 2 2 3 2 3 2" xfId="45120"/>
    <cellStyle name="Normal 3 2 5 2 2 2 2 2 3 2 4" xfId="33277"/>
    <cellStyle name="Normal 3 2 5 2 2 2 2 2 3 3" xfId="13172"/>
    <cellStyle name="Normal 3 2 5 2 2 2 2 2 3 3 2" xfId="36593"/>
    <cellStyle name="Normal 3 2 5 2 2 2 2 2 3 4" xfId="19862"/>
    <cellStyle name="Normal 3 2 5 2 2 2 2 2 3 4 2" xfId="42397"/>
    <cellStyle name="Normal 3 2 5 2 2 2 2 2 3 5" xfId="29961"/>
    <cellStyle name="Normal 3 2 5 2 2 2 2 2 4" xfId="8117"/>
    <cellStyle name="Normal 3 2 5 2 2 2 2 2 4 2" xfId="14830"/>
    <cellStyle name="Normal 3 2 5 2 2 2 2 2 4 2 2" xfId="38251"/>
    <cellStyle name="Normal 3 2 5 2 2 2 2 2 4 3" xfId="20833"/>
    <cellStyle name="Normal 3 2 5 2 2 2 2 2 4 3 2" xfId="43284"/>
    <cellStyle name="Normal 3 2 5 2 2 2 2 2 4 4" xfId="31619"/>
    <cellStyle name="Normal 3 2 5 2 2 2 2 2 5" xfId="11512"/>
    <cellStyle name="Normal 3 2 5 2 2 2 2 2 5 2" xfId="21866"/>
    <cellStyle name="Normal 3 2 5 2 2 2 2 2 5 2 2" xfId="44299"/>
    <cellStyle name="Normal 3 2 5 2 2 2 2 2 5 3" xfId="34935"/>
    <cellStyle name="Normal 3 2 5 2 2 2 2 2 6" xfId="18714"/>
    <cellStyle name="Normal 3 2 5 2 2 2 2 2 6 2" xfId="41556"/>
    <cellStyle name="Normal 3 2 5 2 2 2 2 2 7" xfId="25857"/>
    <cellStyle name="Normal 3 2 5 2 2 2 2 2 7 2" xfId="48102"/>
    <cellStyle name="Normal 3 2 5 2 2 2 2 2 8" xfId="28303"/>
    <cellStyle name="Normal 3 2 5 2 2 2 2 3" xfId="2812"/>
    <cellStyle name="Normal 3 2 5 2 2 2 2 3 2" xfId="5904"/>
    <cellStyle name="Normal 3 2 5 2 2 2 2 3 2 2" xfId="7686"/>
    <cellStyle name="Normal 3 2 5 2 2 2 2 3 2 2 2" xfId="11015"/>
    <cellStyle name="Normal 3 2 5 2 2 2 2 3 2 2 2 2" xfId="17719"/>
    <cellStyle name="Normal 3 2 5 2 2 2 2 3 2 2 2 2 2" xfId="41140"/>
    <cellStyle name="Normal 3 2 5 2 2 2 2 3 2 2 2 3" xfId="34508"/>
    <cellStyle name="Normal 3 2 5 2 2 2 2 3 2 2 3" xfId="14403"/>
    <cellStyle name="Normal 3 2 5 2 2 2 2 3 2 2 3 2" xfId="37824"/>
    <cellStyle name="Normal 3 2 5 2 2 2 2 3 2 2 4" xfId="22900"/>
    <cellStyle name="Normal 3 2 5 2 2 2 2 3 2 2 4 2" xfId="45322"/>
    <cellStyle name="Normal 3 2 5 2 2 2 2 3 2 2 5" xfId="31192"/>
    <cellStyle name="Normal 3 2 5 2 2 2 2 3 2 3" xfId="9357"/>
    <cellStyle name="Normal 3 2 5 2 2 2 2 3 2 3 2" xfId="16061"/>
    <cellStyle name="Normal 3 2 5 2 2 2 2 3 2 3 2 2" xfId="39482"/>
    <cellStyle name="Normal 3 2 5 2 2 2 2 3 2 3 3" xfId="32850"/>
    <cellStyle name="Normal 3 2 5 2 2 2 2 3 2 4" xfId="12745"/>
    <cellStyle name="Normal 3 2 5 2 2 2 2 3 2 4 2" xfId="36166"/>
    <cellStyle name="Normal 3 2 5 2 2 2 2 3 2 5" xfId="20070"/>
    <cellStyle name="Normal 3 2 5 2 2 2 2 3 2 5 2" xfId="42605"/>
    <cellStyle name="Normal 3 2 5 2 2 2 2 3 2 6" xfId="29534"/>
    <cellStyle name="Normal 3 2 5 2 2 2 2 3 3" xfId="6787"/>
    <cellStyle name="Normal 3 2 5 2 2 2 2 3 3 2" xfId="10119"/>
    <cellStyle name="Normal 3 2 5 2 2 2 2 3 3 2 2" xfId="16823"/>
    <cellStyle name="Normal 3 2 5 2 2 2 2 3 3 2 2 2" xfId="40244"/>
    <cellStyle name="Normal 3 2 5 2 2 2 2 3 3 2 3" xfId="33612"/>
    <cellStyle name="Normal 3 2 5 2 2 2 2 3 3 3" xfId="13507"/>
    <cellStyle name="Normal 3 2 5 2 2 2 2 3 3 3 2" xfId="36928"/>
    <cellStyle name="Normal 3 2 5 2 2 2 2 3 3 4" xfId="21291"/>
    <cellStyle name="Normal 3 2 5 2 2 2 2 3 3 4 2" xfId="43742"/>
    <cellStyle name="Normal 3 2 5 2 2 2 2 3 3 5" xfId="30296"/>
    <cellStyle name="Normal 3 2 5 2 2 2 2 3 4" xfId="8453"/>
    <cellStyle name="Normal 3 2 5 2 2 2 2 3 4 2" xfId="15165"/>
    <cellStyle name="Normal 3 2 5 2 2 2 2 3 4 2 2" xfId="38586"/>
    <cellStyle name="Normal 3 2 5 2 2 2 2 3 4 3" xfId="22081"/>
    <cellStyle name="Normal 3 2 5 2 2 2 2 3 4 3 2" xfId="44505"/>
    <cellStyle name="Normal 3 2 5 2 2 2 2 3 4 4" xfId="31954"/>
    <cellStyle name="Normal 3 2 5 2 2 2 2 3 5" xfId="11847"/>
    <cellStyle name="Normal 3 2 5 2 2 2 2 3 5 2" xfId="35270"/>
    <cellStyle name="Normal 3 2 5 2 2 2 2 3 6" xfId="19220"/>
    <cellStyle name="Normal 3 2 5 2 2 2 2 3 6 2" xfId="41773"/>
    <cellStyle name="Normal 3 2 5 2 2 2 2 3 7" xfId="28638"/>
    <cellStyle name="Normal 3 2 5 2 2 2 2 4" xfId="3976"/>
    <cellStyle name="Normal 3 2 5 2 2 2 2 4 2" xfId="7006"/>
    <cellStyle name="Normal 3 2 5 2 2 2 2 4 2 2" xfId="10338"/>
    <cellStyle name="Normal 3 2 5 2 2 2 2 4 2 2 2" xfId="17042"/>
    <cellStyle name="Normal 3 2 5 2 2 2 2 4 2 2 2 2" xfId="40463"/>
    <cellStyle name="Normal 3 2 5 2 2 2 2 4 2 2 3" xfId="33831"/>
    <cellStyle name="Normal 3 2 5 2 2 2 2 4 2 3" xfId="13726"/>
    <cellStyle name="Normal 3 2 5 2 2 2 2 4 2 3 2" xfId="37147"/>
    <cellStyle name="Normal 3 2 5 2 2 2 2 4 2 4" xfId="22494"/>
    <cellStyle name="Normal 3 2 5 2 2 2 2 4 2 4 2" xfId="44916"/>
    <cellStyle name="Normal 3 2 5 2 2 2 2 4 2 5" xfId="30515"/>
    <cellStyle name="Normal 3 2 5 2 2 2 2 4 3" xfId="8673"/>
    <cellStyle name="Normal 3 2 5 2 2 2 2 4 3 2" xfId="15384"/>
    <cellStyle name="Normal 3 2 5 2 2 2 2 4 3 2 2" xfId="38805"/>
    <cellStyle name="Normal 3 2 5 2 2 2 2 4 3 3" xfId="32173"/>
    <cellStyle name="Normal 3 2 5 2 2 2 2 4 4" xfId="12066"/>
    <cellStyle name="Normal 3 2 5 2 2 2 2 4 4 2" xfId="35489"/>
    <cellStyle name="Normal 3 2 5 2 2 2 2 4 5" xfId="19652"/>
    <cellStyle name="Normal 3 2 5 2 2 2 2 4 5 2" xfId="42189"/>
    <cellStyle name="Normal 3 2 5 2 2 2 2 4 6" xfId="28857"/>
    <cellStyle name="Normal 3 2 5 2 2 2 2 5" xfId="6314"/>
    <cellStyle name="Normal 3 2 5 2 2 2 2 5 2" xfId="9648"/>
    <cellStyle name="Normal 3 2 5 2 2 2 2 5 2 2" xfId="16352"/>
    <cellStyle name="Normal 3 2 5 2 2 2 2 5 2 2 2" xfId="39773"/>
    <cellStyle name="Normal 3 2 5 2 2 2 2 5 2 3" xfId="33141"/>
    <cellStyle name="Normal 3 2 5 2 2 2 2 5 3" xfId="13036"/>
    <cellStyle name="Normal 3 2 5 2 2 2 2 5 3 2" xfId="36457"/>
    <cellStyle name="Normal 3 2 5 2 2 2 2 5 4" xfId="20832"/>
    <cellStyle name="Normal 3 2 5 2 2 2 2 5 4 2" xfId="43283"/>
    <cellStyle name="Normal 3 2 5 2 2 2 2 5 5" xfId="29825"/>
    <cellStyle name="Normal 3 2 5 2 2 2 2 6" xfId="7980"/>
    <cellStyle name="Normal 3 2 5 2 2 2 2 6 2" xfId="14694"/>
    <cellStyle name="Normal 3 2 5 2 2 2 2 6 2 2" xfId="38115"/>
    <cellStyle name="Normal 3 2 5 2 2 2 2 6 3" xfId="21644"/>
    <cellStyle name="Normal 3 2 5 2 2 2 2 6 3 2" xfId="44093"/>
    <cellStyle name="Normal 3 2 5 2 2 2 2 6 4" xfId="31483"/>
    <cellStyle name="Normal 3 2 5 2 2 2 2 7" xfId="11376"/>
    <cellStyle name="Normal 3 2 5 2 2 2 2 7 2" xfId="34799"/>
    <cellStyle name="Normal 3 2 5 2 2 2 2 8" xfId="18030"/>
    <cellStyle name="Normal 3 2 5 2 2 2 2 8 2" xfId="41320"/>
    <cellStyle name="Normal 3 2 5 2 2 2 2 9" xfId="23621"/>
    <cellStyle name="Normal 3 2 5 2 2 2 2 9 2" xfId="45911"/>
    <cellStyle name="Normal 3 2 5 2 2 2 3" xfId="2280"/>
    <cellStyle name="Normal 3 2 5 2 2 2 3 2" xfId="5528"/>
    <cellStyle name="Normal 3 2 5 2 2 2 3 2 2" xfId="7352"/>
    <cellStyle name="Normal 3 2 5 2 2 2 3 2 2 2" xfId="10683"/>
    <cellStyle name="Normal 3 2 5 2 2 2 3 2 2 2 2" xfId="17387"/>
    <cellStyle name="Normal 3 2 5 2 2 2 3 2 2 2 2 2" xfId="40808"/>
    <cellStyle name="Normal 3 2 5 2 2 2 3 2 2 2 3" xfId="23103"/>
    <cellStyle name="Normal 3 2 5 2 2 2 3 2 2 2 3 2" xfId="45525"/>
    <cellStyle name="Normal 3 2 5 2 2 2 3 2 2 2 4" xfId="34176"/>
    <cellStyle name="Normal 3 2 5 2 2 2 3 2 2 3" xfId="14071"/>
    <cellStyle name="Normal 3 2 5 2 2 2 3 2 2 3 2" xfId="37492"/>
    <cellStyle name="Normal 3 2 5 2 2 2 3 2 2 4" xfId="20277"/>
    <cellStyle name="Normal 3 2 5 2 2 2 3 2 2 4 2" xfId="42812"/>
    <cellStyle name="Normal 3 2 5 2 2 2 3 2 2 5" xfId="30860"/>
    <cellStyle name="Normal 3 2 5 2 2 2 3 2 3" xfId="9025"/>
    <cellStyle name="Normal 3 2 5 2 2 2 3 2 3 2" xfId="15729"/>
    <cellStyle name="Normal 3 2 5 2 2 2 3 2 3 2 2" xfId="39150"/>
    <cellStyle name="Normal 3 2 5 2 2 2 3 2 3 3" xfId="21293"/>
    <cellStyle name="Normal 3 2 5 2 2 2 3 2 3 3 2" xfId="43744"/>
    <cellStyle name="Normal 3 2 5 2 2 2 3 2 3 4" xfId="32518"/>
    <cellStyle name="Normal 3 2 5 2 2 2 3 2 4" xfId="12413"/>
    <cellStyle name="Normal 3 2 5 2 2 2 3 2 4 2" xfId="22290"/>
    <cellStyle name="Normal 3 2 5 2 2 2 3 2 4 2 2" xfId="44712"/>
    <cellStyle name="Normal 3 2 5 2 2 2 3 2 4 3" xfId="35834"/>
    <cellStyle name="Normal 3 2 5 2 2 2 3 2 5" xfId="19438"/>
    <cellStyle name="Normal 3 2 5 2 2 2 3 2 5 2" xfId="41980"/>
    <cellStyle name="Normal 3 2 5 2 2 2 3 2 6" xfId="29202"/>
    <cellStyle name="Normal 3 2 5 2 2 2 3 3" xfId="6449"/>
    <cellStyle name="Normal 3 2 5 2 2 2 3 3 2" xfId="9783"/>
    <cellStyle name="Normal 3 2 5 2 2 2 3 3 2 2" xfId="16487"/>
    <cellStyle name="Normal 3 2 5 2 2 2 3 3 2 2 2" xfId="39908"/>
    <cellStyle name="Normal 3 2 5 2 2 2 3 3 2 3" xfId="22697"/>
    <cellStyle name="Normal 3 2 5 2 2 2 3 3 2 3 2" xfId="45119"/>
    <cellStyle name="Normal 3 2 5 2 2 2 3 3 2 4" xfId="33276"/>
    <cellStyle name="Normal 3 2 5 2 2 2 3 3 3" xfId="13171"/>
    <cellStyle name="Normal 3 2 5 2 2 2 3 3 3 2" xfId="36592"/>
    <cellStyle name="Normal 3 2 5 2 2 2 3 3 4" xfId="19861"/>
    <cellStyle name="Normal 3 2 5 2 2 2 3 3 4 2" xfId="42396"/>
    <cellStyle name="Normal 3 2 5 2 2 2 3 3 5" xfId="29960"/>
    <cellStyle name="Normal 3 2 5 2 2 2 3 4" xfId="8116"/>
    <cellStyle name="Normal 3 2 5 2 2 2 3 4 2" xfId="14829"/>
    <cellStyle name="Normal 3 2 5 2 2 2 3 4 2 2" xfId="38250"/>
    <cellStyle name="Normal 3 2 5 2 2 2 3 4 3" xfId="20834"/>
    <cellStyle name="Normal 3 2 5 2 2 2 3 4 3 2" xfId="43285"/>
    <cellStyle name="Normal 3 2 5 2 2 2 3 4 4" xfId="31618"/>
    <cellStyle name="Normal 3 2 5 2 2 2 3 5" xfId="11511"/>
    <cellStyle name="Normal 3 2 5 2 2 2 3 5 2" xfId="21865"/>
    <cellStyle name="Normal 3 2 5 2 2 2 3 5 2 2" xfId="44298"/>
    <cellStyle name="Normal 3 2 5 2 2 2 3 5 3" xfId="34934"/>
    <cellStyle name="Normal 3 2 5 2 2 2 3 6" xfId="18713"/>
    <cellStyle name="Normal 3 2 5 2 2 2 3 6 2" xfId="41555"/>
    <cellStyle name="Normal 3 2 5 2 2 2 3 7" xfId="25856"/>
    <cellStyle name="Normal 3 2 5 2 2 2 3 7 2" xfId="48101"/>
    <cellStyle name="Normal 3 2 5 2 2 2 3 8" xfId="28302"/>
    <cellStyle name="Normal 3 2 5 2 2 2 4" xfId="2680"/>
    <cellStyle name="Normal 3 2 5 2 2 2 4 2" xfId="5773"/>
    <cellStyle name="Normal 3 2 5 2 2 2 4 2 2" xfId="7555"/>
    <cellStyle name="Normal 3 2 5 2 2 2 4 2 2 2" xfId="10884"/>
    <cellStyle name="Normal 3 2 5 2 2 2 4 2 2 2 2" xfId="17588"/>
    <cellStyle name="Normal 3 2 5 2 2 2 4 2 2 2 2 2" xfId="41009"/>
    <cellStyle name="Normal 3 2 5 2 2 2 4 2 2 2 3" xfId="34377"/>
    <cellStyle name="Normal 3 2 5 2 2 2 4 2 2 3" xfId="14272"/>
    <cellStyle name="Normal 3 2 5 2 2 2 4 2 2 3 2" xfId="37693"/>
    <cellStyle name="Normal 3 2 5 2 2 2 4 2 2 4" xfId="22899"/>
    <cellStyle name="Normal 3 2 5 2 2 2 4 2 2 4 2" xfId="45321"/>
    <cellStyle name="Normal 3 2 5 2 2 2 4 2 2 5" xfId="31061"/>
    <cellStyle name="Normal 3 2 5 2 2 2 4 2 3" xfId="9226"/>
    <cellStyle name="Normal 3 2 5 2 2 2 4 2 3 2" xfId="15930"/>
    <cellStyle name="Normal 3 2 5 2 2 2 4 2 3 2 2" xfId="39351"/>
    <cellStyle name="Normal 3 2 5 2 2 2 4 2 3 3" xfId="32719"/>
    <cellStyle name="Normal 3 2 5 2 2 2 4 2 4" xfId="12614"/>
    <cellStyle name="Normal 3 2 5 2 2 2 4 2 4 2" xfId="36035"/>
    <cellStyle name="Normal 3 2 5 2 2 2 4 2 5" xfId="20069"/>
    <cellStyle name="Normal 3 2 5 2 2 2 4 2 5 2" xfId="42604"/>
    <cellStyle name="Normal 3 2 5 2 2 2 4 2 6" xfId="29403"/>
    <cellStyle name="Normal 3 2 5 2 2 2 4 3" xfId="6656"/>
    <cellStyle name="Normal 3 2 5 2 2 2 4 3 2" xfId="9988"/>
    <cellStyle name="Normal 3 2 5 2 2 2 4 3 2 2" xfId="16692"/>
    <cellStyle name="Normal 3 2 5 2 2 2 4 3 2 2 2" xfId="40113"/>
    <cellStyle name="Normal 3 2 5 2 2 2 4 3 2 3" xfId="33481"/>
    <cellStyle name="Normal 3 2 5 2 2 2 4 3 3" xfId="13376"/>
    <cellStyle name="Normal 3 2 5 2 2 2 4 3 3 2" xfId="36797"/>
    <cellStyle name="Normal 3 2 5 2 2 2 4 3 4" xfId="21290"/>
    <cellStyle name="Normal 3 2 5 2 2 2 4 3 4 2" xfId="43741"/>
    <cellStyle name="Normal 3 2 5 2 2 2 4 3 5" xfId="30165"/>
    <cellStyle name="Normal 3 2 5 2 2 2 4 4" xfId="8322"/>
    <cellStyle name="Normal 3 2 5 2 2 2 4 4 2" xfId="15034"/>
    <cellStyle name="Normal 3 2 5 2 2 2 4 4 2 2" xfId="38455"/>
    <cellStyle name="Normal 3 2 5 2 2 2 4 4 3" xfId="22080"/>
    <cellStyle name="Normal 3 2 5 2 2 2 4 4 3 2" xfId="44504"/>
    <cellStyle name="Normal 3 2 5 2 2 2 4 4 4" xfId="31823"/>
    <cellStyle name="Normal 3 2 5 2 2 2 4 5" xfId="11716"/>
    <cellStyle name="Normal 3 2 5 2 2 2 4 5 2" xfId="35139"/>
    <cellStyle name="Normal 3 2 5 2 2 2 4 6" xfId="19219"/>
    <cellStyle name="Normal 3 2 5 2 2 2 4 6 2" xfId="41772"/>
    <cellStyle name="Normal 3 2 5 2 2 2 4 7" xfId="28507"/>
    <cellStyle name="Normal 3 2 5 2 2 2 5" xfId="3975"/>
    <cellStyle name="Normal 3 2 5 2 2 2 5 2" xfId="7005"/>
    <cellStyle name="Normal 3 2 5 2 2 2 5 2 2" xfId="10337"/>
    <cellStyle name="Normal 3 2 5 2 2 2 5 2 2 2" xfId="17041"/>
    <cellStyle name="Normal 3 2 5 2 2 2 5 2 2 2 2" xfId="40462"/>
    <cellStyle name="Normal 3 2 5 2 2 2 5 2 2 3" xfId="33830"/>
    <cellStyle name="Normal 3 2 5 2 2 2 5 2 3" xfId="13725"/>
    <cellStyle name="Normal 3 2 5 2 2 2 5 2 3 2" xfId="37146"/>
    <cellStyle name="Normal 3 2 5 2 2 2 5 2 4" xfId="22493"/>
    <cellStyle name="Normal 3 2 5 2 2 2 5 2 4 2" xfId="44915"/>
    <cellStyle name="Normal 3 2 5 2 2 2 5 2 5" xfId="30514"/>
    <cellStyle name="Normal 3 2 5 2 2 2 5 3" xfId="8672"/>
    <cellStyle name="Normal 3 2 5 2 2 2 5 3 2" xfId="15383"/>
    <cellStyle name="Normal 3 2 5 2 2 2 5 3 2 2" xfId="38804"/>
    <cellStyle name="Normal 3 2 5 2 2 2 5 3 3" xfId="32172"/>
    <cellStyle name="Normal 3 2 5 2 2 2 5 4" xfId="12065"/>
    <cellStyle name="Normal 3 2 5 2 2 2 5 4 2" xfId="35488"/>
    <cellStyle name="Normal 3 2 5 2 2 2 5 5" xfId="19651"/>
    <cellStyle name="Normal 3 2 5 2 2 2 5 5 2" xfId="42188"/>
    <cellStyle name="Normal 3 2 5 2 2 2 5 6" xfId="28856"/>
    <cellStyle name="Normal 3 2 5 2 2 2 6" xfId="6183"/>
    <cellStyle name="Normal 3 2 5 2 2 2 6 2" xfId="9517"/>
    <cellStyle name="Normal 3 2 5 2 2 2 6 2 2" xfId="16221"/>
    <cellStyle name="Normal 3 2 5 2 2 2 6 2 2 2" xfId="39642"/>
    <cellStyle name="Normal 3 2 5 2 2 2 6 2 3" xfId="33010"/>
    <cellStyle name="Normal 3 2 5 2 2 2 6 3" xfId="12905"/>
    <cellStyle name="Normal 3 2 5 2 2 2 6 3 2" xfId="36326"/>
    <cellStyle name="Normal 3 2 5 2 2 2 6 4" xfId="20831"/>
    <cellStyle name="Normal 3 2 5 2 2 2 6 4 2" xfId="43282"/>
    <cellStyle name="Normal 3 2 5 2 2 2 6 5" xfId="29694"/>
    <cellStyle name="Normal 3 2 5 2 2 2 7" xfId="7849"/>
    <cellStyle name="Normal 3 2 5 2 2 2 7 2" xfId="14563"/>
    <cellStyle name="Normal 3 2 5 2 2 2 7 2 2" xfId="37984"/>
    <cellStyle name="Normal 3 2 5 2 2 2 7 3" xfId="21643"/>
    <cellStyle name="Normal 3 2 5 2 2 2 7 3 2" xfId="44092"/>
    <cellStyle name="Normal 3 2 5 2 2 2 7 4" xfId="31352"/>
    <cellStyle name="Normal 3 2 5 2 2 2 8" xfId="11245"/>
    <cellStyle name="Normal 3 2 5 2 2 2 8 2" xfId="34668"/>
    <cellStyle name="Normal 3 2 5 2 2 2 9" xfId="18029"/>
    <cellStyle name="Normal 3 2 5 2 2 2 9 2" xfId="41319"/>
    <cellStyle name="Normal 3 2 5 2 2 3" xfId="1775"/>
    <cellStyle name="Normal 3 2 5 2 2 3 10" xfId="28127"/>
    <cellStyle name="Normal 3 2 5 2 2 3 2" xfId="2282"/>
    <cellStyle name="Normal 3 2 5 2 2 3 2 2" xfId="5530"/>
    <cellStyle name="Normal 3 2 5 2 2 3 2 2 2" xfId="7354"/>
    <cellStyle name="Normal 3 2 5 2 2 3 2 2 2 2" xfId="10685"/>
    <cellStyle name="Normal 3 2 5 2 2 3 2 2 2 2 2" xfId="17389"/>
    <cellStyle name="Normal 3 2 5 2 2 3 2 2 2 2 2 2" xfId="40810"/>
    <cellStyle name="Normal 3 2 5 2 2 3 2 2 2 2 3" xfId="23105"/>
    <cellStyle name="Normal 3 2 5 2 2 3 2 2 2 2 3 2" xfId="45527"/>
    <cellStyle name="Normal 3 2 5 2 2 3 2 2 2 2 4" xfId="34178"/>
    <cellStyle name="Normal 3 2 5 2 2 3 2 2 2 3" xfId="14073"/>
    <cellStyle name="Normal 3 2 5 2 2 3 2 2 2 3 2" xfId="37494"/>
    <cellStyle name="Normal 3 2 5 2 2 3 2 2 2 4" xfId="20279"/>
    <cellStyle name="Normal 3 2 5 2 2 3 2 2 2 4 2" xfId="42814"/>
    <cellStyle name="Normal 3 2 5 2 2 3 2 2 2 5" xfId="30862"/>
    <cellStyle name="Normal 3 2 5 2 2 3 2 2 3" xfId="9027"/>
    <cellStyle name="Normal 3 2 5 2 2 3 2 2 3 2" xfId="15731"/>
    <cellStyle name="Normal 3 2 5 2 2 3 2 2 3 2 2" xfId="39152"/>
    <cellStyle name="Normal 3 2 5 2 2 3 2 2 3 3" xfId="21295"/>
    <cellStyle name="Normal 3 2 5 2 2 3 2 2 3 3 2" xfId="43746"/>
    <cellStyle name="Normal 3 2 5 2 2 3 2 2 3 4" xfId="32520"/>
    <cellStyle name="Normal 3 2 5 2 2 3 2 2 4" xfId="12415"/>
    <cellStyle name="Normal 3 2 5 2 2 3 2 2 4 2" xfId="22292"/>
    <cellStyle name="Normal 3 2 5 2 2 3 2 2 4 2 2" xfId="44714"/>
    <cellStyle name="Normal 3 2 5 2 2 3 2 2 4 3" xfId="35836"/>
    <cellStyle name="Normal 3 2 5 2 2 3 2 2 5" xfId="19440"/>
    <cellStyle name="Normal 3 2 5 2 2 3 2 2 5 2" xfId="41982"/>
    <cellStyle name="Normal 3 2 5 2 2 3 2 2 6" xfId="29204"/>
    <cellStyle name="Normal 3 2 5 2 2 3 2 3" xfId="6451"/>
    <cellStyle name="Normal 3 2 5 2 2 3 2 3 2" xfId="9785"/>
    <cellStyle name="Normal 3 2 5 2 2 3 2 3 2 2" xfId="16489"/>
    <cellStyle name="Normal 3 2 5 2 2 3 2 3 2 2 2" xfId="39910"/>
    <cellStyle name="Normal 3 2 5 2 2 3 2 3 2 3" xfId="22699"/>
    <cellStyle name="Normal 3 2 5 2 2 3 2 3 2 3 2" xfId="45121"/>
    <cellStyle name="Normal 3 2 5 2 2 3 2 3 2 4" xfId="33278"/>
    <cellStyle name="Normal 3 2 5 2 2 3 2 3 3" xfId="13173"/>
    <cellStyle name="Normal 3 2 5 2 2 3 2 3 3 2" xfId="36594"/>
    <cellStyle name="Normal 3 2 5 2 2 3 2 3 4" xfId="19863"/>
    <cellStyle name="Normal 3 2 5 2 2 3 2 3 4 2" xfId="42398"/>
    <cellStyle name="Normal 3 2 5 2 2 3 2 3 5" xfId="29962"/>
    <cellStyle name="Normal 3 2 5 2 2 3 2 4" xfId="8118"/>
    <cellStyle name="Normal 3 2 5 2 2 3 2 4 2" xfId="14831"/>
    <cellStyle name="Normal 3 2 5 2 2 3 2 4 2 2" xfId="38252"/>
    <cellStyle name="Normal 3 2 5 2 2 3 2 4 3" xfId="20836"/>
    <cellStyle name="Normal 3 2 5 2 2 3 2 4 3 2" xfId="43287"/>
    <cellStyle name="Normal 3 2 5 2 2 3 2 4 4" xfId="31620"/>
    <cellStyle name="Normal 3 2 5 2 2 3 2 5" xfId="11513"/>
    <cellStyle name="Normal 3 2 5 2 2 3 2 5 2" xfId="21867"/>
    <cellStyle name="Normal 3 2 5 2 2 3 2 5 2 2" xfId="44300"/>
    <cellStyle name="Normal 3 2 5 2 2 3 2 5 3" xfId="34936"/>
    <cellStyle name="Normal 3 2 5 2 2 3 2 6" xfId="18715"/>
    <cellStyle name="Normal 3 2 5 2 2 3 2 6 2" xfId="41557"/>
    <cellStyle name="Normal 3 2 5 2 2 3 2 7" xfId="25858"/>
    <cellStyle name="Normal 3 2 5 2 2 3 2 7 2" xfId="48103"/>
    <cellStyle name="Normal 3 2 5 2 2 3 2 8" xfId="28304"/>
    <cellStyle name="Normal 3 2 5 2 2 3 3" xfId="2772"/>
    <cellStyle name="Normal 3 2 5 2 2 3 3 2" xfId="5864"/>
    <cellStyle name="Normal 3 2 5 2 2 3 3 2 2" xfId="7646"/>
    <cellStyle name="Normal 3 2 5 2 2 3 3 2 2 2" xfId="10975"/>
    <cellStyle name="Normal 3 2 5 2 2 3 3 2 2 2 2" xfId="17679"/>
    <cellStyle name="Normal 3 2 5 2 2 3 3 2 2 2 2 2" xfId="41100"/>
    <cellStyle name="Normal 3 2 5 2 2 3 3 2 2 2 3" xfId="34468"/>
    <cellStyle name="Normal 3 2 5 2 2 3 3 2 2 3" xfId="14363"/>
    <cellStyle name="Normal 3 2 5 2 2 3 3 2 2 3 2" xfId="37784"/>
    <cellStyle name="Normal 3 2 5 2 2 3 3 2 2 4" xfId="22901"/>
    <cellStyle name="Normal 3 2 5 2 2 3 3 2 2 4 2" xfId="45323"/>
    <cellStyle name="Normal 3 2 5 2 2 3 3 2 2 5" xfId="31152"/>
    <cellStyle name="Normal 3 2 5 2 2 3 3 2 3" xfId="9317"/>
    <cellStyle name="Normal 3 2 5 2 2 3 3 2 3 2" xfId="16021"/>
    <cellStyle name="Normal 3 2 5 2 2 3 3 2 3 2 2" xfId="39442"/>
    <cellStyle name="Normal 3 2 5 2 2 3 3 2 3 3" xfId="32810"/>
    <cellStyle name="Normal 3 2 5 2 2 3 3 2 4" xfId="12705"/>
    <cellStyle name="Normal 3 2 5 2 2 3 3 2 4 2" xfId="36126"/>
    <cellStyle name="Normal 3 2 5 2 2 3 3 2 5" xfId="20071"/>
    <cellStyle name="Normal 3 2 5 2 2 3 3 2 5 2" xfId="42606"/>
    <cellStyle name="Normal 3 2 5 2 2 3 3 2 6" xfId="29494"/>
    <cellStyle name="Normal 3 2 5 2 2 3 3 3" xfId="6747"/>
    <cellStyle name="Normal 3 2 5 2 2 3 3 3 2" xfId="10079"/>
    <cellStyle name="Normal 3 2 5 2 2 3 3 3 2 2" xfId="16783"/>
    <cellStyle name="Normal 3 2 5 2 2 3 3 3 2 2 2" xfId="40204"/>
    <cellStyle name="Normal 3 2 5 2 2 3 3 3 2 3" xfId="33572"/>
    <cellStyle name="Normal 3 2 5 2 2 3 3 3 3" xfId="13467"/>
    <cellStyle name="Normal 3 2 5 2 2 3 3 3 3 2" xfId="36888"/>
    <cellStyle name="Normal 3 2 5 2 2 3 3 3 4" xfId="21294"/>
    <cellStyle name="Normal 3 2 5 2 2 3 3 3 4 2" xfId="43745"/>
    <cellStyle name="Normal 3 2 5 2 2 3 3 3 5" xfId="30256"/>
    <cellStyle name="Normal 3 2 5 2 2 3 3 4" xfId="8413"/>
    <cellStyle name="Normal 3 2 5 2 2 3 3 4 2" xfId="15125"/>
    <cellStyle name="Normal 3 2 5 2 2 3 3 4 2 2" xfId="38546"/>
    <cellStyle name="Normal 3 2 5 2 2 3 3 4 3" xfId="22082"/>
    <cellStyle name="Normal 3 2 5 2 2 3 3 4 3 2" xfId="44506"/>
    <cellStyle name="Normal 3 2 5 2 2 3 3 4 4" xfId="31914"/>
    <cellStyle name="Normal 3 2 5 2 2 3 3 5" xfId="11807"/>
    <cellStyle name="Normal 3 2 5 2 2 3 3 5 2" xfId="35230"/>
    <cellStyle name="Normal 3 2 5 2 2 3 3 6" xfId="19221"/>
    <cellStyle name="Normal 3 2 5 2 2 3 3 6 2" xfId="41774"/>
    <cellStyle name="Normal 3 2 5 2 2 3 3 7" xfId="28598"/>
    <cellStyle name="Normal 3 2 5 2 2 3 4" xfId="3977"/>
    <cellStyle name="Normal 3 2 5 2 2 3 4 2" xfId="7007"/>
    <cellStyle name="Normal 3 2 5 2 2 3 4 2 2" xfId="10339"/>
    <cellStyle name="Normal 3 2 5 2 2 3 4 2 2 2" xfId="17043"/>
    <cellStyle name="Normal 3 2 5 2 2 3 4 2 2 2 2" xfId="40464"/>
    <cellStyle name="Normal 3 2 5 2 2 3 4 2 2 3" xfId="33832"/>
    <cellStyle name="Normal 3 2 5 2 2 3 4 2 3" xfId="13727"/>
    <cellStyle name="Normal 3 2 5 2 2 3 4 2 3 2" xfId="37148"/>
    <cellStyle name="Normal 3 2 5 2 2 3 4 2 4" xfId="22495"/>
    <cellStyle name="Normal 3 2 5 2 2 3 4 2 4 2" xfId="44917"/>
    <cellStyle name="Normal 3 2 5 2 2 3 4 2 5" xfId="30516"/>
    <cellStyle name="Normal 3 2 5 2 2 3 4 3" xfId="8674"/>
    <cellStyle name="Normal 3 2 5 2 2 3 4 3 2" xfId="15385"/>
    <cellStyle name="Normal 3 2 5 2 2 3 4 3 2 2" xfId="38806"/>
    <cellStyle name="Normal 3 2 5 2 2 3 4 3 3" xfId="32174"/>
    <cellStyle name="Normal 3 2 5 2 2 3 4 4" xfId="12067"/>
    <cellStyle name="Normal 3 2 5 2 2 3 4 4 2" xfId="35490"/>
    <cellStyle name="Normal 3 2 5 2 2 3 4 5" xfId="19653"/>
    <cellStyle name="Normal 3 2 5 2 2 3 4 5 2" xfId="42190"/>
    <cellStyle name="Normal 3 2 5 2 2 3 4 6" xfId="28858"/>
    <cellStyle name="Normal 3 2 5 2 2 3 5" xfId="6274"/>
    <cellStyle name="Normal 3 2 5 2 2 3 5 2" xfId="9608"/>
    <cellStyle name="Normal 3 2 5 2 2 3 5 2 2" xfId="16312"/>
    <cellStyle name="Normal 3 2 5 2 2 3 5 2 2 2" xfId="39733"/>
    <cellStyle name="Normal 3 2 5 2 2 3 5 2 3" xfId="33101"/>
    <cellStyle name="Normal 3 2 5 2 2 3 5 3" xfId="12996"/>
    <cellStyle name="Normal 3 2 5 2 2 3 5 3 2" xfId="36417"/>
    <cellStyle name="Normal 3 2 5 2 2 3 5 4" xfId="20835"/>
    <cellStyle name="Normal 3 2 5 2 2 3 5 4 2" xfId="43286"/>
    <cellStyle name="Normal 3 2 5 2 2 3 5 5" xfId="29785"/>
    <cellStyle name="Normal 3 2 5 2 2 3 6" xfId="7940"/>
    <cellStyle name="Normal 3 2 5 2 2 3 6 2" xfId="14654"/>
    <cellStyle name="Normal 3 2 5 2 2 3 6 2 2" xfId="38075"/>
    <cellStyle name="Normal 3 2 5 2 2 3 6 3" xfId="21645"/>
    <cellStyle name="Normal 3 2 5 2 2 3 6 3 2" xfId="44094"/>
    <cellStyle name="Normal 3 2 5 2 2 3 6 4" xfId="31443"/>
    <cellStyle name="Normal 3 2 5 2 2 3 7" xfId="11336"/>
    <cellStyle name="Normal 3 2 5 2 2 3 7 2" xfId="34759"/>
    <cellStyle name="Normal 3 2 5 2 2 3 8" xfId="18031"/>
    <cellStyle name="Normal 3 2 5 2 2 3 8 2" xfId="41321"/>
    <cellStyle name="Normal 3 2 5 2 2 3 9" xfId="23622"/>
    <cellStyle name="Normal 3 2 5 2 2 3 9 2" xfId="45912"/>
    <cellStyle name="Normal 3 2 5 2 2 4" xfId="2279"/>
    <cellStyle name="Normal 3 2 5 2 2 4 2" xfId="5527"/>
    <cellStyle name="Normal 3 2 5 2 2 4 2 2" xfId="7351"/>
    <cellStyle name="Normal 3 2 5 2 2 4 2 2 2" xfId="10682"/>
    <cellStyle name="Normal 3 2 5 2 2 4 2 2 2 2" xfId="17386"/>
    <cellStyle name="Normal 3 2 5 2 2 4 2 2 2 2 2" xfId="40807"/>
    <cellStyle name="Normal 3 2 5 2 2 4 2 2 2 3" xfId="23102"/>
    <cellStyle name="Normal 3 2 5 2 2 4 2 2 2 3 2" xfId="45524"/>
    <cellStyle name="Normal 3 2 5 2 2 4 2 2 2 4" xfId="34175"/>
    <cellStyle name="Normal 3 2 5 2 2 4 2 2 3" xfId="14070"/>
    <cellStyle name="Normal 3 2 5 2 2 4 2 2 3 2" xfId="37491"/>
    <cellStyle name="Normal 3 2 5 2 2 4 2 2 4" xfId="20276"/>
    <cellStyle name="Normal 3 2 5 2 2 4 2 2 4 2" xfId="42811"/>
    <cellStyle name="Normal 3 2 5 2 2 4 2 2 5" xfId="30859"/>
    <cellStyle name="Normal 3 2 5 2 2 4 2 3" xfId="9024"/>
    <cellStyle name="Normal 3 2 5 2 2 4 2 3 2" xfId="15728"/>
    <cellStyle name="Normal 3 2 5 2 2 4 2 3 2 2" xfId="39149"/>
    <cellStyle name="Normal 3 2 5 2 2 4 2 3 3" xfId="21296"/>
    <cellStyle name="Normal 3 2 5 2 2 4 2 3 3 2" xfId="43747"/>
    <cellStyle name="Normal 3 2 5 2 2 4 2 3 4" xfId="32517"/>
    <cellStyle name="Normal 3 2 5 2 2 4 2 4" xfId="12412"/>
    <cellStyle name="Normal 3 2 5 2 2 4 2 4 2" xfId="22289"/>
    <cellStyle name="Normal 3 2 5 2 2 4 2 4 2 2" xfId="44711"/>
    <cellStyle name="Normal 3 2 5 2 2 4 2 4 3" xfId="35833"/>
    <cellStyle name="Normal 3 2 5 2 2 4 2 5" xfId="19437"/>
    <cellStyle name="Normal 3 2 5 2 2 4 2 5 2" xfId="41979"/>
    <cellStyle name="Normal 3 2 5 2 2 4 2 6" xfId="29201"/>
    <cellStyle name="Normal 3 2 5 2 2 4 3" xfId="6448"/>
    <cellStyle name="Normal 3 2 5 2 2 4 3 2" xfId="9782"/>
    <cellStyle name="Normal 3 2 5 2 2 4 3 2 2" xfId="16486"/>
    <cellStyle name="Normal 3 2 5 2 2 4 3 2 2 2" xfId="39907"/>
    <cellStyle name="Normal 3 2 5 2 2 4 3 2 3" xfId="22696"/>
    <cellStyle name="Normal 3 2 5 2 2 4 3 2 3 2" xfId="45118"/>
    <cellStyle name="Normal 3 2 5 2 2 4 3 2 4" xfId="33275"/>
    <cellStyle name="Normal 3 2 5 2 2 4 3 3" xfId="13170"/>
    <cellStyle name="Normal 3 2 5 2 2 4 3 3 2" xfId="36591"/>
    <cellStyle name="Normal 3 2 5 2 2 4 3 4" xfId="19860"/>
    <cellStyle name="Normal 3 2 5 2 2 4 3 4 2" xfId="42395"/>
    <cellStyle name="Normal 3 2 5 2 2 4 3 5" xfId="29959"/>
    <cellStyle name="Normal 3 2 5 2 2 4 4" xfId="8115"/>
    <cellStyle name="Normal 3 2 5 2 2 4 4 2" xfId="14828"/>
    <cellStyle name="Normal 3 2 5 2 2 4 4 2 2" xfId="38249"/>
    <cellStyle name="Normal 3 2 5 2 2 4 4 3" xfId="20837"/>
    <cellStyle name="Normal 3 2 5 2 2 4 4 3 2" xfId="43288"/>
    <cellStyle name="Normal 3 2 5 2 2 4 4 4" xfId="31617"/>
    <cellStyle name="Normal 3 2 5 2 2 4 5" xfId="11510"/>
    <cellStyle name="Normal 3 2 5 2 2 4 5 2" xfId="21864"/>
    <cellStyle name="Normal 3 2 5 2 2 4 5 2 2" xfId="44297"/>
    <cellStyle name="Normal 3 2 5 2 2 4 5 3" xfId="34933"/>
    <cellStyle name="Normal 3 2 5 2 2 4 6" xfId="18712"/>
    <cellStyle name="Normal 3 2 5 2 2 4 6 2" xfId="41554"/>
    <cellStyle name="Normal 3 2 5 2 2 4 7" xfId="25855"/>
    <cellStyle name="Normal 3 2 5 2 2 4 7 2" xfId="48100"/>
    <cellStyle name="Normal 3 2 5 2 2 4 8" xfId="28301"/>
    <cellStyle name="Normal 3 2 5 2 2 5" xfId="2640"/>
    <cellStyle name="Normal 3 2 5 2 2 5 2" xfId="5733"/>
    <cellStyle name="Normal 3 2 5 2 2 5 2 2" xfId="7515"/>
    <cellStyle name="Normal 3 2 5 2 2 5 2 2 2" xfId="10844"/>
    <cellStyle name="Normal 3 2 5 2 2 5 2 2 2 2" xfId="17548"/>
    <cellStyle name="Normal 3 2 5 2 2 5 2 2 2 2 2" xfId="40969"/>
    <cellStyle name="Normal 3 2 5 2 2 5 2 2 2 3" xfId="34337"/>
    <cellStyle name="Normal 3 2 5 2 2 5 2 2 3" xfId="14232"/>
    <cellStyle name="Normal 3 2 5 2 2 5 2 2 3 2" xfId="37653"/>
    <cellStyle name="Normal 3 2 5 2 2 5 2 2 4" xfId="20595"/>
    <cellStyle name="Normal 3 2 5 2 2 5 2 2 4 2" xfId="43046"/>
    <cellStyle name="Normal 3 2 5 2 2 5 2 2 5" xfId="31021"/>
    <cellStyle name="Normal 3 2 5 2 2 5 2 3" xfId="9186"/>
    <cellStyle name="Normal 3 2 5 2 2 5 2 3 2" xfId="15890"/>
    <cellStyle name="Normal 3 2 5 2 2 5 2 3 2 2" xfId="39311"/>
    <cellStyle name="Normal 3 2 5 2 2 5 2 3 3" xfId="21513"/>
    <cellStyle name="Normal 3 2 5 2 2 5 2 3 3 2" xfId="43964"/>
    <cellStyle name="Normal 3 2 5 2 2 5 2 3 4" xfId="32679"/>
    <cellStyle name="Normal 3 2 5 2 2 5 2 4" xfId="12574"/>
    <cellStyle name="Normal 3 2 5 2 2 5 2 4 2" xfId="22898"/>
    <cellStyle name="Normal 3 2 5 2 2 5 2 4 2 2" xfId="45320"/>
    <cellStyle name="Normal 3 2 5 2 2 5 2 4 3" xfId="35995"/>
    <cellStyle name="Normal 3 2 5 2 2 5 2 5" xfId="20068"/>
    <cellStyle name="Normal 3 2 5 2 2 5 2 5 2" xfId="42603"/>
    <cellStyle name="Normal 3 2 5 2 2 5 2 6" xfId="29363"/>
    <cellStyle name="Normal 3 2 5 2 2 5 3" xfId="6616"/>
    <cellStyle name="Normal 3 2 5 2 2 5 3 2" xfId="9948"/>
    <cellStyle name="Normal 3 2 5 2 2 5 3 2 2" xfId="16652"/>
    <cellStyle name="Normal 3 2 5 2 2 5 3 2 2 2" xfId="40073"/>
    <cellStyle name="Normal 3 2 5 2 2 5 3 2 3" xfId="33441"/>
    <cellStyle name="Normal 3 2 5 2 2 5 3 3" xfId="13336"/>
    <cellStyle name="Normal 3 2 5 2 2 5 3 3 2" xfId="36757"/>
    <cellStyle name="Normal 3 2 5 2 2 5 3 4" xfId="20497"/>
    <cellStyle name="Normal 3 2 5 2 2 5 3 4 2" xfId="42950"/>
    <cellStyle name="Normal 3 2 5 2 2 5 3 5" xfId="30125"/>
    <cellStyle name="Normal 3 2 5 2 2 5 4" xfId="8282"/>
    <cellStyle name="Normal 3 2 5 2 2 5 4 2" xfId="14994"/>
    <cellStyle name="Normal 3 2 5 2 2 5 4 2 2" xfId="38415"/>
    <cellStyle name="Normal 3 2 5 2 2 5 4 3" xfId="21054"/>
    <cellStyle name="Normal 3 2 5 2 2 5 4 3 2" xfId="43505"/>
    <cellStyle name="Normal 3 2 5 2 2 5 4 4" xfId="31783"/>
    <cellStyle name="Normal 3 2 5 2 2 5 5" xfId="11676"/>
    <cellStyle name="Normal 3 2 5 2 2 5 5 2" xfId="22079"/>
    <cellStyle name="Normal 3 2 5 2 2 5 5 2 2" xfId="44503"/>
    <cellStyle name="Normal 3 2 5 2 2 5 5 3" xfId="35099"/>
    <cellStyle name="Normal 3 2 5 2 2 5 6" xfId="19218"/>
    <cellStyle name="Normal 3 2 5 2 2 5 6 2" xfId="41771"/>
    <cellStyle name="Normal 3 2 5 2 2 5 7" xfId="28467"/>
    <cellStyle name="Normal 3 2 5 2 2 6" xfId="3974"/>
    <cellStyle name="Normal 3 2 5 2 2 6 2" xfId="7004"/>
    <cellStyle name="Normal 3 2 5 2 2 6 2 2" xfId="10336"/>
    <cellStyle name="Normal 3 2 5 2 2 6 2 2 2" xfId="17040"/>
    <cellStyle name="Normal 3 2 5 2 2 6 2 2 2 2" xfId="40461"/>
    <cellStyle name="Normal 3 2 5 2 2 6 2 2 3" xfId="33829"/>
    <cellStyle name="Normal 3 2 5 2 2 6 2 3" xfId="13724"/>
    <cellStyle name="Normal 3 2 5 2 2 6 2 3 2" xfId="37145"/>
    <cellStyle name="Normal 3 2 5 2 2 6 2 4" xfId="20546"/>
    <cellStyle name="Normal 3 2 5 2 2 6 2 4 2" xfId="42998"/>
    <cellStyle name="Normal 3 2 5 2 2 6 2 5" xfId="30513"/>
    <cellStyle name="Normal 3 2 5 2 2 6 3" xfId="8671"/>
    <cellStyle name="Normal 3 2 5 2 2 6 3 2" xfId="15382"/>
    <cellStyle name="Normal 3 2 5 2 2 6 3 2 2" xfId="38803"/>
    <cellStyle name="Normal 3 2 5 2 2 6 3 3" xfId="21289"/>
    <cellStyle name="Normal 3 2 5 2 2 6 3 3 2" xfId="43740"/>
    <cellStyle name="Normal 3 2 5 2 2 6 3 4" xfId="32171"/>
    <cellStyle name="Normal 3 2 5 2 2 6 4" xfId="12064"/>
    <cellStyle name="Normal 3 2 5 2 2 6 4 2" xfId="22492"/>
    <cellStyle name="Normal 3 2 5 2 2 6 4 2 2" xfId="44914"/>
    <cellStyle name="Normal 3 2 5 2 2 6 4 3" xfId="35487"/>
    <cellStyle name="Normal 3 2 5 2 2 6 5" xfId="19650"/>
    <cellStyle name="Normal 3 2 5 2 2 6 5 2" xfId="42187"/>
    <cellStyle name="Normal 3 2 5 2 2 6 6" xfId="28855"/>
    <cellStyle name="Normal 3 2 5 2 2 7" xfId="6143"/>
    <cellStyle name="Normal 3 2 5 2 2 7 2" xfId="9477"/>
    <cellStyle name="Normal 3 2 5 2 2 7 2 2" xfId="16181"/>
    <cellStyle name="Normal 3 2 5 2 2 7 2 2 2" xfId="39602"/>
    <cellStyle name="Normal 3 2 5 2 2 7 2 3" xfId="32970"/>
    <cellStyle name="Normal 3 2 5 2 2 7 3" xfId="12865"/>
    <cellStyle name="Normal 3 2 5 2 2 7 3 2" xfId="36286"/>
    <cellStyle name="Normal 3 2 5 2 2 7 4" xfId="19089"/>
    <cellStyle name="Normal 3 2 5 2 2 7 4 2" xfId="41655"/>
    <cellStyle name="Normal 3 2 5 2 2 7 5" xfId="29654"/>
    <cellStyle name="Normal 3 2 5 2 2 8" xfId="7809"/>
    <cellStyle name="Normal 3 2 5 2 2 8 2" xfId="14523"/>
    <cellStyle name="Normal 3 2 5 2 2 8 2 2" xfId="37944"/>
    <cellStyle name="Normal 3 2 5 2 2 8 3" xfId="20830"/>
    <cellStyle name="Normal 3 2 5 2 2 8 3 2" xfId="43281"/>
    <cellStyle name="Normal 3 2 5 2 2 8 4" xfId="31312"/>
    <cellStyle name="Normal 3 2 5 2 2 9" xfId="11205"/>
    <cellStyle name="Normal 3 2 5 2 2 9 2" xfId="21642"/>
    <cellStyle name="Normal 3 2 5 2 2 9 2 2" xfId="44091"/>
    <cellStyle name="Normal 3 2 5 2 2 9 3" xfId="34628"/>
    <cellStyle name="Normal 3 2 5 2 3" xfId="1615"/>
    <cellStyle name="Normal 3 2 5 2 3 10" xfId="23623"/>
    <cellStyle name="Normal 3 2 5 2 3 10 2" xfId="45913"/>
    <cellStyle name="Normal 3 2 5 2 3 11" xfId="28035"/>
    <cellStyle name="Normal 3 2 5 2 3 2" xfId="1814"/>
    <cellStyle name="Normal 3 2 5 2 3 2 10" xfId="28166"/>
    <cellStyle name="Normal 3 2 5 2 3 2 2" xfId="2284"/>
    <cellStyle name="Normal 3 2 5 2 3 2 2 2" xfId="5532"/>
    <cellStyle name="Normal 3 2 5 2 3 2 2 2 2" xfId="7356"/>
    <cellStyle name="Normal 3 2 5 2 3 2 2 2 2 2" xfId="10687"/>
    <cellStyle name="Normal 3 2 5 2 3 2 2 2 2 2 2" xfId="17391"/>
    <cellStyle name="Normal 3 2 5 2 3 2 2 2 2 2 2 2" xfId="40812"/>
    <cellStyle name="Normal 3 2 5 2 3 2 2 2 2 2 3" xfId="23107"/>
    <cellStyle name="Normal 3 2 5 2 3 2 2 2 2 2 3 2" xfId="45529"/>
    <cellStyle name="Normal 3 2 5 2 3 2 2 2 2 2 4" xfId="34180"/>
    <cellStyle name="Normal 3 2 5 2 3 2 2 2 2 3" xfId="14075"/>
    <cellStyle name="Normal 3 2 5 2 3 2 2 2 2 3 2" xfId="37496"/>
    <cellStyle name="Normal 3 2 5 2 3 2 2 2 2 4" xfId="20281"/>
    <cellStyle name="Normal 3 2 5 2 3 2 2 2 2 4 2" xfId="42816"/>
    <cellStyle name="Normal 3 2 5 2 3 2 2 2 2 5" xfId="30864"/>
    <cellStyle name="Normal 3 2 5 2 3 2 2 2 3" xfId="9029"/>
    <cellStyle name="Normal 3 2 5 2 3 2 2 2 3 2" xfId="15733"/>
    <cellStyle name="Normal 3 2 5 2 3 2 2 2 3 2 2" xfId="39154"/>
    <cellStyle name="Normal 3 2 5 2 3 2 2 2 3 3" xfId="21299"/>
    <cellStyle name="Normal 3 2 5 2 3 2 2 2 3 3 2" xfId="43750"/>
    <cellStyle name="Normal 3 2 5 2 3 2 2 2 3 4" xfId="32522"/>
    <cellStyle name="Normal 3 2 5 2 3 2 2 2 4" xfId="12417"/>
    <cellStyle name="Normal 3 2 5 2 3 2 2 2 4 2" xfId="22294"/>
    <cellStyle name="Normal 3 2 5 2 3 2 2 2 4 2 2" xfId="44716"/>
    <cellStyle name="Normal 3 2 5 2 3 2 2 2 4 3" xfId="35838"/>
    <cellStyle name="Normal 3 2 5 2 3 2 2 2 5" xfId="19442"/>
    <cellStyle name="Normal 3 2 5 2 3 2 2 2 5 2" xfId="41984"/>
    <cellStyle name="Normal 3 2 5 2 3 2 2 2 6" xfId="29206"/>
    <cellStyle name="Normal 3 2 5 2 3 2 2 3" xfId="6453"/>
    <cellStyle name="Normal 3 2 5 2 3 2 2 3 2" xfId="9787"/>
    <cellStyle name="Normal 3 2 5 2 3 2 2 3 2 2" xfId="16491"/>
    <cellStyle name="Normal 3 2 5 2 3 2 2 3 2 2 2" xfId="39912"/>
    <cellStyle name="Normal 3 2 5 2 3 2 2 3 2 3" xfId="22701"/>
    <cellStyle name="Normal 3 2 5 2 3 2 2 3 2 3 2" xfId="45123"/>
    <cellStyle name="Normal 3 2 5 2 3 2 2 3 2 4" xfId="33280"/>
    <cellStyle name="Normal 3 2 5 2 3 2 2 3 3" xfId="13175"/>
    <cellStyle name="Normal 3 2 5 2 3 2 2 3 3 2" xfId="36596"/>
    <cellStyle name="Normal 3 2 5 2 3 2 2 3 4" xfId="19865"/>
    <cellStyle name="Normal 3 2 5 2 3 2 2 3 4 2" xfId="42400"/>
    <cellStyle name="Normal 3 2 5 2 3 2 2 3 5" xfId="29964"/>
    <cellStyle name="Normal 3 2 5 2 3 2 2 4" xfId="8120"/>
    <cellStyle name="Normal 3 2 5 2 3 2 2 4 2" xfId="14833"/>
    <cellStyle name="Normal 3 2 5 2 3 2 2 4 2 2" xfId="38254"/>
    <cellStyle name="Normal 3 2 5 2 3 2 2 4 3" xfId="20840"/>
    <cellStyle name="Normal 3 2 5 2 3 2 2 4 3 2" xfId="43291"/>
    <cellStyle name="Normal 3 2 5 2 3 2 2 4 4" xfId="31622"/>
    <cellStyle name="Normal 3 2 5 2 3 2 2 5" xfId="11515"/>
    <cellStyle name="Normal 3 2 5 2 3 2 2 5 2" xfId="21869"/>
    <cellStyle name="Normal 3 2 5 2 3 2 2 5 2 2" xfId="44302"/>
    <cellStyle name="Normal 3 2 5 2 3 2 2 5 3" xfId="34938"/>
    <cellStyle name="Normal 3 2 5 2 3 2 2 6" xfId="18717"/>
    <cellStyle name="Normal 3 2 5 2 3 2 2 6 2" xfId="41559"/>
    <cellStyle name="Normal 3 2 5 2 3 2 2 7" xfId="25860"/>
    <cellStyle name="Normal 3 2 5 2 3 2 2 7 2" xfId="48105"/>
    <cellStyle name="Normal 3 2 5 2 3 2 2 8" xfId="28306"/>
    <cellStyle name="Normal 3 2 5 2 3 2 3" xfId="2811"/>
    <cellStyle name="Normal 3 2 5 2 3 2 3 2" xfId="5903"/>
    <cellStyle name="Normal 3 2 5 2 3 2 3 2 2" xfId="7685"/>
    <cellStyle name="Normal 3 2 5 2 3 2 3 2 2 2" xfId="11014"/>
    <cellStyle name="Normal 3 2 5 2 3 2 3 2 2 2 2" xfId="17718"/>
    <cellStyle name="Normal 3 2 5 2 3 2 3 2 2 2 2 2" xfId="41139"/>
    <cellStyle name="Normal 3 2 5 2 3 2 3 2 2 2 3" xfId="34507"/>
    <cellStyle name="Normal 3 2 5 2 3 2 3 2 2 3" xfId="14402"/>
    <cellStyle name="Normal 3 2 5 2 3 2 3 2 2 3 2" xfId="37823"/>
    <cellStyle name="Normal 3 2 5 2 3 2 3 2 2 4" xfId="22903"/>
    <cellStyle name="Normal 3 2 5 2 3 2 3 2 2 4 2" xfId="45325"/>
    <cellStyle name="Normal 3 2 5 2 3 2 3 2 2 5" xfId="31191"/>
    <cellStyle name="Normal 3 2 5 2 3 2 3 2 3" xfId="9356"/>
    <cellStyle name="Normal 3 2 5 2 3 2 3 2 3 2" xfId="16060"/>
    <cellStyle name="Normal 3 2 5 2 3 2 3 2 3 2 2" xfId="39481"/>
    <cellStyle name="Normal 3 2 5 2 3 2 3 2 3 3" xfId="32849"/>
    <cellStyle name="Normal 3 2 5 2 3 2 3 2 4" xfId="12744"/>
    <cellStyle name="Normal 3 2 5 2 3 2 3 2 4 2" xfId="36165"/>
    <cellStyle name="Normal 3 2 5 2 3 2 3 2 5" xfId="20073"/>
    <cellStyle name="Normal 3 2 5 2 3 2 3 2 5 2" xfId="42608"/>
    <cellStyle name="Normal 3 2 5 2 3 2 3 2 6" xfId="29533"/>
    <cellStyle name="Normal 3 2 5 2 3 2 3 3" xfId="6786"/>
    <cellStyle name="Normal 3 2 5 2 3 2 3 3 2" xfId="10118"/>
    <cellStyle name="Normal 3 2 5 2 3 2 3 3 2 2" xfId="16822"/>
    <cellStyle name="Normal 3 2 5 2 3 2 3 3 2 2 2" xfId="40243"/>
    <cellStyle name="Normal 3 2 5 2 3 2 3 3 2 3" xfId="33611"/>
    <cellStyle name="Normal 3 2 5 2 3 2 3 3 3" xfId="13506"/>
    <cellStyle name="Normal 3 2 5 2 3 2 3 3 3 2" xfId="36927"/>
    <cellStyle name="Normal 3 2 5 2 3 2 3 3 4" xfId="21298"/>
    <cellStyle name="Normal 3 2 5 2 3 2 3 3 4 2" xfId="43749"/>
    <cellStyle name="Normal 3 2 5 2 3 2 3 3 5" xfId="30295"/>
    <cellStyle name="Normal 3 2 5 2 3 2 3 4" xfId="8452"/>
    <cellStyle name="Normal 3 2 5 2 3 2 3 4 2" xfId="15164"/>
    <cellStyle name="Normal 3 2 5 2 3 2 3 4 2 2" xfId="38585"/>
    <cellStyle name="Normal 3 2 5 2 3 2 3 4 3" xfId="22084"/>
    <cellStyle name="Normal 3 2 5 2 3 2 3 4 3 2" xfId="44508"/>
    <cellStyle name="Normal 3 2 5 2 3 2 3 4 4" xfId="31953"/>
    <cellStyle name="Normal 3 2 5 2 3 2 3 5" xfId="11846"/>
    <cellStyle name="Normal 3 2 5 2 3 2 3 5 2" xfId="35269"/>
    <cellStyle name="Normal 3 2 5 2 3 2 3 6" xfId="19223"/>
    <cellStyle name="Normal 3 2 5 2 3 2 3 6 2" xfId="41776"/>
    <cellStyle name="Normal 3 2 5 2 3 2 3 7" xfId="28637"/>
    <cellStyle name="Normal 3 2 5 2 3 2 4" xfId="3979"/>
    <cellStyle name="Normal 3 2 5 2 3 2 4 2" xfId="7009"/>
    <cellStyle name="Normal 3 2 5 2 3 2 4 2 2" xfId="10341"/>
    <cellStyle name="Normal 3 2 5 2 3 2 4 2 2 2" xfId="17045"/>
    <cellStyle name="Normal 3 2 5 2 3 2 4 2 2 2 2" xfId="40466"/>
    <cellStyle name="Normal 3 2 5 2 3 2 4 2 2 3" xfId="33834"/>
    <cellStyle name="Normal 3 2 5 2 3 2 4 2 3" xfId="13729"/>
    <cellStyle name="Normal 3 2 5 2 3 2 4 2 3 2" xfId="37150"/>
    <cellStyle name="Normal 3 2 5 2 3 2 4 2 4" xfId="22497"/>
    <cellStyle name="Normal 3 2 5 2 3 2 4 2 4 2" xfId="44919"/>
    <cellStyle name="Normal 3 2 5 2 3 2 4 2 5" xfId="30518"/>
    <cellStyle name="Normal 3 2 5 2 3 2 4 3" xfId="8676"/>
    <cellStyle name="Normal 3 2 5 2 3 2 4 3 2" xfId="15387"/>
    <cellStyle name="Normal 3 2 5 2 3 2 4 3 2 2" xfId="38808"/>
    <cellStyle name="Normal 3 2 5 2 3 2 4 3 3" xfId="32176"/>
    <cellStyle name="Normal 3 2 5 2 3 2 4 4" xfId="12069"/>
    <cellStyle name="Normal 3 2 5 2 3 2 4 4 2" xfId="35492"/>
    <cellStyle name="Normal 3 2 5 2 3 2 4 5" xfId="19655"/>
    <cellStyle name="Normal 3 2 5 2 3 2 4 5 2" xfId="42192"/>
    <cellStyle name="Normal 3 2 5 2 3 2 4 6" xfId="28860"/>
    <cellStyle name="Normal 3 2 5 2 3 2 5" xfId="6313"/>
    <cellStyle name="Normal 3 2 5 2 3 2 5 2" xfId="9647"/>
    <cellStyle name="Normal 3 2 5 2 3 2 5 2 2" xfId="16351"/>
    <cellStyle name="Normal 3 2 5 2 3 2 5 2 2 2" xfId="39772"/>
    <cellStyle name="Normal 3 2 5 2 3 2 5 2 3" xfId="33140"/>
    <cellStyle name="Normal 3 2 5 2 3 2 5 3" xfId="13035"/>
    <cellStyle name="Normal 3 2 5 2 3 2 5 3 2" xfId="36456"/>
    <cellStyle name="Normal 3 2 5 2 3 2 5 4" xfId="20839"/>
    <cellStyle name="Normal 3 2 5 2 3 2 5 4 2" xfId="43290"/>
    <cellStyle name="Normal 3 2 5 2 3 2 5 5" xfId="29824"/>
    <cellStyle name="Normal 3 2 5 2 3 2 6" xfId="7979"/>
    <cellStyle name="Normal 3 2 5 2 3 2 6 2" xfId="14693"/>
    <cellStyle name="Normal 3 2 5 2 3 2 6 2 2" xfId="38114"/>
    <cellStyle name="Normal 3 2 5 2 3 2 6 3" xfId="21647"/>
    <cellStyle name="Normal 3 2 5 2 3 2 6 3 2" xfId="44096"/>
    <cellStyle name="Normal 3 2 5 2 3 2 6 4" xfId="31482"/>
    <cellStyle name="Normal 3 2 5 2 3 2 7" xfId="11375"/>
    <cellStyle name="Normal 3 2 5 2 3 2 7 2" xfId="34798"/>
    <cellStyle name="Normal 3 2 5 2 3 2 8" xfId="18033"/>
    <cellStyle name="Normal 3 2 5 2 3 2 8 2" xfId="41323"/>
    <cellStyle name="Normal 3 2 5 2 3 2 9" xfId="23624"/>
    <cellStyle name="Normal 3 2 5 2 3 2 9 2" xfId="45914"/>
    <cellStyle name="Normal 3 2 5 2 3 3" xfId="2283"/>
    <cellStyle name="Normal 3 2 5 2 3 3 2" xfId="5531"/>
    <cellStyle name="Normal 3 2 5 2 3 3 2 2" xfId="7355"/>
    <cellStyle name="Normal 3 2 5 2 3 3 2 2 2" xfId="10686"/>
    <cellStyle name="Normal 3 2 5 2 3 3 2 2 2 2" xfId="17390"/>
    <cellStyle name="Normal 3 2 5 2 3 3 2 2 2 2 2" xfId="40811"/>
    <cellStyle name="Normal 3 2 5 2 3 3 2 2 2 3" xfId="23106"/>
    <cellStyle name="Normal 3 2 5 2 3 3 2 2 2 3 2" xfId="45528"/>
    <cellStyle name="Normal 3 2 5 2 3 3 2 2 2 4" xfId="34179"/>
    <cellStyle name="Normal 3 2 5 2 3 3 2 2 3" xfId="14074"/>
    <cellStyle name="Normal 3 2 5 2 3 3 2 2 3 2" xfId="37495"/>
    <cellStyle name="Normal 3 2 5 2 3 3 2 2 4" xfId="20280"/>
    <cellStyle name="Normal 3 2 5 2 3 3 2 2 4 2" xfId="42815"/>
    <cellStyle name="Normal 3 2 5 2 3 3 2 2 5" xfId="30863"/>
    <cellStyle name="Normal 3 2 5 2 3 3 2 3" xfId="9028"/>
    <cellStyle name="Normal 3 2 5 2 3 3 2 3 2" xfId="15732"/>
    <cellStyle name="Normal 3 2 5 2 3 3 2 3 2 2" xfId="39153"/>
    <cellStyle name="Normal 3 2 5 2 3 3 2 3 3" xfId="21300"/>
    <cellStyle name="Normal 3 2 5 2 3 3 2 3 3 2" xfId="43751"/>
    <cellStyle name="Normal 3 2 5 2 3 3 2 3 4" xfId="32521"/>
    <cellStyle name="Normal 3 2 5 2 3 3 2 4" xfId="12416"/>
    <cellStyle name="Normal 3 2 5 2 3 3 2 4 2" xfId="22293"/>
    <cellStyle name="Normal 3 2 5 2 3 3 2 4 2 2" xfId="44715"/>
    <cellStyle name="Normal 3 2 5 2 3 3 2 4 3" xfId="35837"/>
    <cellStyle name="Normal 3 2 5 2 3 3 2 5" xfId="19441"/>
    <cellStyle name="Normal 3 2 5 2 3 3 2 5 2" xfId="41983"/>
    <cellStyle name="Normal 3 2 5 2 3 3 2 6" xfId="29205"/>
    <cellStyle name="Normal 3 2 5 2 3 3 3" xfId="6452"/>
    <cellStyle name="Normal 3 2 5 2 3 3 3 2" xfId="9786"/>
    <cellStyle name="Normal 3 2 5 2 3 3 3 2 2" xfId="16490"/>
    <cellStyle name="Normal 3 2 5 2 3 3 3 2 2 2" xfId="39911"/>
    <cellStyle name="Normal 3 2 5 2 3 3 3 2 3" xfId="22700"/>
    <cellStyle name="Normal 3 2 5 2 3 3 3 2 3 2" xfId="45122"/>
    <cellStyle name="Normal 3 2 5 2 3 3 3 2 4" xfId="33279"/>
    <cellStyle name="Normal 3 2 5 2 3 3 3 3" xfId="13174"/>
    <cellStyle name="Normal 3 2 5 2 3 3 3 3 2" xfId="36595"/>
    <cellStyle name="Normal 3 2 5 2 3 3 3 4" xfId="19864"/>
    <cellStyle name="Normal 3 2 5 2 3 3 3 4 2" xfId="42399"/>
    <cellStyle name="Normal 3 2 5 2 3 3 3 5" xfId="29963"/>
    <cellStyle name="Normal 3 2 5 2 3 3 4" xfId="8119"/>
    <cellStyle name="Normal 3 2 5 2 3 3 4 2" xfId="14832"/>
    <cellStyle name="Normal 3 2 5 2 3 3 4 2 2" xfId="38253"/>
    <cellStyle name="Normal 3 2 5 2 3 3 4 3" xfId="20841"/>
    <cellStyle name="Normal 3 2 5 2 3 3 4 3 2" xfId="43292"/>
    <cellStyle name="Normal 3 2 5 2 3 3 4 4" xfId="31621"/>
    <cellStyle name="Normal 3 2 5 2 3 3 5" xfId="11514"/>
    <cellStyle name="Normal 3 2 5 2 3 3 5 2" xfId="21868"/>
    <cellStyle name="Normal 3 2 5 2 3 3 5 2 2" xfId="44301"/>
    <cellStyle name="Normal 3 2 5 2 3 3 5 3" xfId="34937"/>
    <cellStyle name="Normal 3 2 5 2 3 3 6" xfId="18716"/>
    <cellStyle name="Normal 3 2 5 2 3 3 6 2" xfId="41558"/>
    <cellStyle name="Normal 3 2 5 2 3 3 7" xfId="25859"/>
    <cellStyle name="Normal 3 2 5 2 3 3 7 2" xfId="48104"/>
    <cellStyle name="Normal 3 2 5 2 3 3 8" xfId="28305"/>
    <cellStyle name="Normal 3 2 5 2 3 4" xfId="2679"/>
    <cellStyle name="Normal 3 2 5 2 3 4 2" xfId="5772"/>
    <cellStyle name="Normal 3 2 5 2 3 4 2 2" xfId="7554"/>
    <cellStyle name="Normal 3 2 5 2 3 4 2 2 2" xfId="10883"/>
    <cellStyle name="Normal 3 2 5 2 3 4 2 2 2 2" xfId="17587"/>
    <cellStyle name="Normal 3 2 5 2 3 4 2 2 2 2 2" xfId="41008"/>
    <cellStyle name="Normal 3 2 5 2 3 4 2 2 2 3" xfId="34376"/>
    <cellStyle name="Normal 3 2 5 2 3 4 2 2 3" xfId="14271"/>
    <cellStyle name="Normal 3 2 5 2 3 4 2 2 3 2" xfId="37692"/>
    <cellStyle name="Normal 3 2 5 2 3 4 2 2 4" xfId="22902"/>
    <cellStyle name="Normal 3 2 5 2 3 4 2 2 4 2" xfId="45324"/>
    <cellStyle name="Normal 3 2 5 2 3 4 2 2 5" xfId="31060"/>
    <cellStyle name="Normal 3 2 5 2 3 4 2 3" xfId="9225"/>
    <cellStyle name="Normal 3 2 5 2 3 4 2 3 2" xfId="15929"/>
    <cellStyle name="Normal 3 2 5 2 3 4 2 3 2 2" xfId="39350"/>
    <cellStyle name="Normal 3 2 5 2 3 4 2 3 3" xfId="32718"/>
    <cellStyle name="Normal 3 2 5 2 3 4 2 4" xfId="12613"/>
    <cellStyle name="Normal 3 2 5 2 3 4 2 4 2" xfId="36034"/>
    <cellStyle name="Normal 3 2 5 2 3 4 2 5" xfId="20072"/>
    <cellStyle name="Normal 3 2 5 2 3 4 2 5 2" xfId="42607"/>
    <cellStyle name="Normal 3 2 5 2 3 4 2 6" xfId="29402"/>
    <cellStyle name="Normal 3 2 5 2 3 4 3" xfId="6655"/>
    <cellStyle name="Normal 3 2 5 2 3 4 3 2" xfId="9987"/>
    <cellStyle name="Normal 3 2 5 2 3 4 3 2 2" xfId="16691"/>
    <cellStyle name="Normal 3 2 5 2 3 4 3 2 2 2" xfId="40112"/>
    <cellStyle name="Normal 3 2 5 2 3 4 3 2 3" xfId="33480"/>
    <cellStyle name="Normal 3 2 5 2 3 4 3 3" xfId="13375"/>
    <cellStyle name="Normal 3 2 5 2 3 4 3 3 2" xfId="36796"/>
    <cellStyle name="Normal 3 2 5 2 3 4 3 4" xfId="21297"/>
    <cellStyle name="Normal 3 2 5 2 3 4 3 4 2" xfId="43748"/>
    <cellStyle name="Normal 3 2 5 2 3 4 3 5" xfId="30164"/>
    <cellStyle name="Normal 3 2 5 2 3 4 4" xfId="8321"/>
    <cellStyle name="Normal 3 2 5 2 3 4 4 2" xfId="15033"/>
    <cellStyle name="Normal 3 2 5 2 3 4 4 2 2" xfId="38454"/>
    <cellStyle name="Normal 3 2 5 2 3 4 4 3" xfId="22083"/>
    <cellStyle name="Normal 3 2 5 2 3 4 4 3 2" xfId="44507"/>
    <cellStyle name="Normal 3 2 5 2 3 4 4 4" xfId="31822"/>
    <cellStyle name="Normal 3 2 5 2 3 4 5" xfId="11715"/>
    <cellStyle name="Normal 3 2 5 2 3 4 5 2" xfId="35138"/>
    <cellStyle name="Normal 3 2 5 2 3 4 6" xfId="19222"/>
    <cellStyle name="Normal 3 2 5 2 3 4 6 2" xfId="41775"/>
    <cellStyle name="Normal 3 2 5 2 3 4 7" xfId="28506"/>
    <cellStyle name="Normal 3 2 5 2 3 5" xfId="3978"/>
    <cellStyle name="Normal 3 2 5 2 3 5 2" xfId="7008"/>
    <cellStyle name="Normal 3 2 5 2 3 5 2 2" xfId="10340"/>
    <cellStyle name="Normal 3 2 5 2 3 5 2 2 2" xfId="17044"/>
    <cellStyle name="Normal 3 2 5 2 3 5 2 2 2 2" xfId="40465"/>
    <cellStyle name="Normal 3 2 5 2 3 5 2 2 3" xfId="33833"/>
    <cellStyle name="Normal 3 2 5 2 3 5 2 3" xfId="13728"/>
    <cellStyle name="Normal 3 2 5 2 3 5 2 3 2" xfId="37149"/>
    <cellStyle name="Normal 3 2 5 2 3 5 2 4" xfId="22496"/>
    <cellStyle name="Normal 3 2 5 2 3 5 2 4 2" xfId="44918"/>
    <cellStyle name="Normal 3 2 5 2 3 5 2 5" xfId="30517"/>
    <cellStyle name="Normal 3 2 5 2 3 5 3" xfId="8675"/>
    <cellStyle name="Normal 3 2 5 2 3 5 3 2" xfId="15386"/>
    <cellStyle name="Normal 3 2 5 2 3 5 3 2 2" xfId="38807"/>
    <cellStyle name="Normal 3 2 5 2 3 5 3 3" xfId="32175"/>
    <cellStyle name="Normal 3 2 5 2 3 5 4" xfId="12068"/>
    <cellStyle name="Normal 3 2 5 2 3 5 4 2" xfId="35491"/>
    <cellStyle name="Normal 3 2 5 2 3 5 5" xfId="19654"/>
    <cellStyle name="Normal 3 2 5 2 3 5 5 2" xfId="42191"/>
    <cellStyle name="Normal 3 2 5 2 3 5 6" xfId="28859"/>
    <cellStyle name="Normal 3 2 5 2 3 6" xfId="6182"/>
    <cellStyle name="Normal 3 2 5 2 3 6 2" xfId="9516"/>
    <cellStyle name="Normal 3 2 5 2 3 6 2 2" xfId="16220"/>
    <cellStyle name="Normal 3 2 5 2 3 6 2 2 2" xfId="39641"/>
    <cellStyle name="Normal 3 2 5 2 3 6 2 3" xfId="33009"/>
    <cellStyle name="Normal 3 2 5 2 3 6 3" xfId="12904"/>
    <cellStyle name="Normal 3 2 5 2 3 6 3 2" xfId="36325"/>
    <cellStyle name="Normal 3 2 5 2 3 6 4" xfId="20838"/>
    <cellStyle name="Normal 3 2 5 2 3 6 4 2" xfId="43289"/>
    <cellStyle name="Normal 3 2 5 2 3 6 5" xfId="29693"/>
    <cellStyle name="Normal 3 2 5 2 3 7" xfId="7848"/>
    <cellStyle name="Normal 3 2 5 2 3 7 2" xfId="14562"/>
    <cellStyle name="Normal 3 2 5 2 3 7 2 2" xfId="37983"/>
    <cellStyle name="Normal 3 2 5 2 3 7 3" xfId="21646"/>
    <cellStyle name="Normal 3 2 5 2 3 7 3 2" xfId="44095"/>
    <cellStyle name="Normal 3 2 5 2 3 7 4" xfId="31351"/>
    <cellStyle name="Normal 3 2 5 2 3 8" xfId="11244"/>
    <cellStyle name="Normal 3 2 5 2 3 8 2" xfId="34667"/>
    <cellStyle name="Normal 3 2 5 2 3 9" xfId="18032"/>
    <cellStyle name="Normal 3 2 5 2 3 9 2" xfId="41322"/>
    <cellStyle name="Normal 3 2 5 2 4" xfId="1739"/>
    <cellStyle name="Normal 3 2 5 2 4 10" xfId="28091"/>
    <cellStyle name="Normal 3 2 5 2 4 2" xfId="2285"/>
    <cellStyle name="Normal 3 2 5 2 4 2 2" xfId="5533"/>
    <cellStyle name="Normal 3 2 5 2 4 2 2 2" xfId="7357"/>
    <cellStyle name="Normal 3 2 5 2 4 2 2 2 2" xfId="10688"/>
    <cellStyle name="Normal 3 2 5 2 4 2 2 2 2 2" xfId="17392"/>
    <cellStyle name="Normal 3 2 5 2 4 2 2 2 2 2 2" xfId="40813"/>
    <cellStyle name="Normal 3 2 5 2 4 2 2 2 2 3" xfId="23108"/>
    <cellStyle name="Normal 3 2 5 2 4 2 2 2 2 3 2" xfId="45530"/>
    <cellStyle name="Normal 3 2 5 2 4 2 2 2 2 4" xfId="34181"/>
    <cellStyle name="Normal 3 2 5 2 4 2 2 2 3" xfId="14076"/>
    <cellStyle name="Normal 3 2 5 2 4 2 2 2 3 2" xfId="37497"/>
    <cellStyle name="Normal 3 2 5 2 4 2 2 2 4" xfId="20282"/>
    <cellStyle name="Normal 3 2 5 2 4 2 2 2 4 2" xfId="42817"/>
    <cellStyle name="Normal 3 2 5 2 4 2 2 2 5" xfId="30865"/>
    <cellStyle name="Normal 3 2 5 2 4 2 2 3" xfId="9030"/>
    <cellStyle name="Normal 3 2 5 2 4 2 2 3 2" xfId="15734"/>
    <cellStyle name="Normal 3 2 5 2 4 2 2 3 2 2" xfId="39155"/>
    <cellStyle name="Normal 3 2 5 2 4 2 2 3 3" xfId="21302"/>
    <cellStyle name="Normal 3 2 5 2 4 2 2 3 3 2" xfId="43753"/>
    <cellStyle name="Normal 3 2 5 2 4 2 2 3 4" xfId="32523"/>
    <cellStyle name="Normal 3 2 5 2 4 2 2 4" xfId="12418"/>
    <cellStyle name="Normal 3 2 5 2 4 2 2 4 2" xfId="22295"/>
    <cellStyle name="Normal 3 2 5 2 4 2 2 4 2 2" xfId="44717"/>
    <cellStyle name="Normal 3 2 5 2 4 2 2 4 3" xfId="35839"/>
    <cellStyle name="Normal 3 2 5 2 4 2 2 5" xfId="19443"/>
    <cellStyle name="Normal 3 2 5 2 4 2 2 5 2" xfId="41985"/>
    <cellStyle name="Normal 3 2 5 2 4 2 2 6" xfId="29207"/>
    <cellStyle name="Normal 3 2 5 2 4 2 3" xfId="6454"/>
    <cellStyle name="Normal 3 2 5 2 4 2 3 2" xfId="9788"/>
    <cellStyle name="Normal 3 2 5 2 4 2 3 2 2" xfId="16492"/>
    <cellStyle name="Normal 3 2 5 2 4 2 3 2 2 2" xfId="39913"/>
    <cellStyle name="Normal 3 2 5 2 4 2 3 2 3" xfId="22702"/>
    <cellStyle name="Normal 3 2 5 2 4 2 3 2 3 2" xfId="45124"/>
    <cellStyle name="Normal 3 2 5 2 4 2 3 2 4" xfId="33281"/>
    <cellStyle name="Normal 3 2 5 2 4 2 3 3" xfId="13176"/>
    <cellStyle name="Normal 3 2 5 2 4 2 3 3 2" xfId="36597"/>
    <cellStyle name="Normal 3 2 5 2 4 2 3 4" xfId="19866"/>
    <cellStyle name="Normal 3 2 5 2 4 2 3 4 2" xfId="42401"/>
    <cellStyle name="Normal 3 2 5 2 4 2 3 5" xfId="29965"/>
    <cellStyle name="Normal 3 2 5 2 4 2 4" xfId="8121"/>
    <cellStyle name="Normal 3 2 5 2 4 2 4 2" xfId="14834"/>
    <cellStyle name="Normal 3 2 5 2 4 2 4 2 2" xfId="38255"/>
    <cellStyle name="Normal 3 2 5 2 4 2 4 3" xfId="20843"/>
    <cellStyle name="Normal 3 2 5 2 4 2 4 3 2" xfId="43294"/>
    <cellStyle name="Normal 3 2 5 2 4 2 4 4" xfId="31623"/>
    <cellStyle name="Normal 3 2 5 2 4 2 5" xfId="11516"/>
    <cellStyle name="Normal 3 2 5 2 4 2 5 2" xfId="21870"/>
    <cellStyle name="Normal 3 2 5 2 4 2 5 2 2" xfId="44303"/>
    <cellStyle name="Normal 3 2 5 2 4 2 5 3" xfId="34939"/>
    <cellStyle name="Normal 3 2 5 2 4 2 6" xfId="18718"/>
    <cellStyle name="Normal 3 2 5 2 4 2 6 2" xfId="41560"/>
    <cellStyle name="Normal 3 2 5 2 4 2 7" xfId="25861"/>
    <cellStyle name="Normal 3 2 5 2 4 2 7 2" xfId="48106"/>
    <cellStyle name="Normal 3 2 5 2 4 2 8" xfId="28307"/>
    <cellStyle name="Normal 3 2 5 2 4 3" xfId="2736"/>
    <cellStyle name="Normal 3 2 5 2 4 3 2" xfId="5828"/>
    <cellStyle name="Normal 3 2 5 2 4 3 2 2" xfId="7610"/>
    <cellStyle name="Normal 3 2 5 2 4 3 2 2 2" xfId="10939"/>
    <cellStyle name="Normal 3 2 5 2 4 3 2 2 2 2" xfId="17643"/>
    <cellStyle name="Normal 3 2 5 2 4 3 2 2 2 2 2" xfId="41064"/>
    <cellStyle name="Normal 3 2 5 2 4 3 2 2 2 3" xfId="34432"/>
    <cellStyle name="Normal 3 2 5 2 4 3 2 2 3" xfId="14327"/>
    <cellStyle name="Normal 3 2 5 2 4 3 2 2 3 2" xfId="37748"/>
    <cellStyle name="Normal 3 2 5 2 4 3 2 2 4" xfId="22904"/>
    <cellStyle name="Normal 3 2 5 2 4 3 2 2 4 2" xfId="45326"/>
    <cellStyle name="Normal 3 2 5 2 4 3 2 2 5" xfId="31116"/>
    <cellStyle name="Normal 3 2 5 2 4 3 2 3" xfId="9281"/>
    <cellStyle name="Normal 3 2 5 2 4 3 2 3 2" xfId="15985"/>
    <cellStyle name="Normal 3 2 5 2 4 3 2 3 2 2" xfId="39406"/>
    <cellStyle name="Normal 3 2 5 2 4 3 2 3 3" xfId="32774"/>
    <cellStyle name="Normal 3 2 5 2 4 3 2 4" xfId="12669"/>
    <cellStyle name="Normal 3 2 5 2 4 3 2 4 2" xfId="36090"/>
    <cellStyle name="Normal 3 2 5 2 4 3 2 5" xfId="20074"/>
    <cellStyle name="Normal 3 2 5 2 4 3 2 5 2" xfId="42609"/>
    <cellStyle name="Normal 3 2 5 2 4 3 2 6" xfId="29458"/>
    <cellStyle name="Normal 3 2 5 2 4 3 3" xfId="6711"/>
    <cellStyle name="Normal 3 2 5 2 4 3 3 2" xfId="10043"/>
    <cellStyle name="Normal 3 2 5 2 4 3 3 2 2" xfId="16747"/>
    <cellStyle name="Normal 3 2 5 2 4 3 3 2 2 2" xfId="40168"/>
    <cellStyle name="Normal 3 2 5 2 4 3 3 2 3" xfId="33536"/>
    <cellStyle name="Normal 3 2 5 2 4 3 3 3" xfId="13431"/>
    <cellStyle name="Normal 3 2 5 2 4 3 3 3 2" xfId="36852"/>
    <cellStyle name="Normal 3 2 5 2 4 3 3 4" xfId="21301"/>
    <cellStyle name="Normal 3 2 5 2 4 3 3 4 2" xfId="43752"/>
    <cellStyle name="Normal 3 2 5 2 4 3 3 5" xfId="30220"/>
    <cellStyle name="Normal 3 2 5 2 4 3 4" xfId="8377"/>
    <cellStyle name="Normal 3 2 5 2 4 3 4 2" xfId="15089"/>
    <cellStyle name="Normal 3 2 5 2 4 3 4 2 2" xfId="38510"/>
    <cellStyle name="Normal 3 2 5 2 4 3 4 3" xfId="22085"/>
    <cellStyle name="Normal 3 2 5 2 4 3 4 3 2" xfId="44509"/>
    <cellStyle name="Normal 3 2 5 2 4 3 4 4" xfId="31878"/>
    <cellStyle name="Normal 3 2 5 2 4 3 5" xfId="11771"/>
    <cellStyle name="Normal 3 2 5 2 4 3 5 2" xfId="35194"/>
    <cellStyle name="Normal 3 2 5 2 4 3 6" xfId="19224"/>
    <cellStyle name="Normal 3 2 5 2 4 3 6 2" xfId="41777"/>
    <cellStyle name="Normal 3 2 5 2 4 3 7" xfId="28562"/>
    <cellStyle name="Normal 3 2 5 2 4 4" xfId="3980"/>
    <cellStyle name="Normal 3 2 5 2 4 4 2" xfId="7010"/>
    <cellStyle name="Normal 3 2 5 2 4 4 2 2" xfId="10342"/>
    <cellStyle name="Normal 3 2 5 2 4 4 2 2 2" xfId="17046"/>
    <cellStyle name="Normal 3 2 5 2 4 4 2 2 2 2" xfId="40467"/>
    <cellStyle name="Normal 3 2 5 2 4 4 2 2 3" xfId="33835"/>
    <cellStyle name="Normal 3 2 5 2 4 4 2 3" xfId="13730"/>
    <cellStyle name="Normal 3 2 5 2 4 4 2 3 2" xfId="37151"/>
    <cellStyle name="Normal 3 2 5 2 4 4 2 4" xfId="22498"/>
    <cellStyle name="Normal 3 2 5 2 4 4 2 4 2" xfId="44920"/>
    <cellStyle name="Normal 3 2 5 2 4 4 2 5" xfId="30519"/>
    <cellStyle name="Normal 3 2 5 2 4 4 3" xfId="8677"/>
    <cellStyle name="Normal 3 2 5 2 4 4 3 2" xfId="15388"/>
    <cellStyle name="Normal 3 2 5 2 4 4 3 2 2" xfId="38809"/>
    <cellStyle name="Normal 3 2 5 2 4 4 3 3" xfId="32177"/>
    <cellStyle name="Normal 3 2 5 2 4 4 4" xfId="12070"/>
    <cellStyle name="Normal 3 2 5 2 4 4 4 2" xfId="35493"/>
    <cellStyle name="Normal 3 2 5 2 4 4 5" xfId="19656"/>
    <cellStyle name="Normal 3 2 5 2 4 4 5 2" xfId="42193"/>
    <cellStyle name="Normal 3 2 5 2 4 4 6" xfId="28861"/>
    <cellStyle name="Normal 3 2 5 2 4 5" xfId="6238"/>
    <cellStyle name="Normal 3 2 5 2 4 5 2" xfId="9572"/>
    <cellStyle name="Normal 3 2 5 2 4 5 2 2" xfId="16276"/>
    <cellStyle name="Normal 3 2 5 2 4 5 2 2 2" xfId="39697"/>
    <cellStyle name="Normal 3 2 5 2 4 5 2 3" xfId="33065"/>
    <cellStyle name="Normal 3 2 5 2 4 5 3" xfId="12960"/>
    <cellStyle name="Normal 3 2 5 2 4 5 3 2" xfId="36381"/>
    <cellStyle name="Normal 3 2 5 2 4 5 4" xfId="20842"/>
    <cellStyle name="Normal 3 2 5 2 4 5 4 2" xfId="43293"/>
    <cellStyle name="Normal 3 2 5 2 4 5 5" xfId="29749"/>
    <cellStyle name="Normal 3 2 5 2 4 6" xfId="7904"/>
    <cellStyle name="Normal 3 2 5 2 4 6 2" xfId="14618"/>
    <cellStyle name="Normal 3 2 5 2 4 6 2 2" xfId="38039"/>
    <cellStyle name="Normal 3 2 5 2 4 6 3" xfId="21648"/>
    <cellStyle name="Normal 3 2 5 2 4 6 3 2" xfId="44097"/>
    <cellStyle name="Normal 3 2 5 2 4 6 4" xfId="31407"/>
    <cellStyle name="Normal 3 2 5 2 4 7" xfId="11300"/>
    <cellStyle name="Normal 3 2 5 2 4 7 2" xfId="34723"/>
    <cellStyle name="Normal 3 2 5 2 4 8" xfId="18034"/>
    <cellStyle name="Normal 3 2 5 2 4 8 2" xfId="41324"/>
    <cellStyle name="Normal 3 2 5 2 4 9" xfId="23625"/>
    <cellStyle name="Normal 3 2 5 2 4 9 2" xfId="45915"/>
    <cellStyle name="Normal 3 2 5 2 5" xfId="2278"/>
    <cellStyle name="Normal 3 2 5 2 5 2" xfId="5526"/>
    <cellStyle name="Normal 3 2 5 2 5 2 2" xfId="7350"/>
    <cellStyle name="Normal 3 2 5 2 5 2 2 2" xfId="10681"/>
    <cellStyle name="Normal 3 2 5 2 5 2 2 2 2" xfId="17385"/>
    <cellStyle name="Normal 3 2 5 2 5 2 2 2 2 2" xfId="40806"/>
    <cellStyle name="Normal 3 2 5 2 5 2 2 2 3" xfId="23101"/>
    <cellStyle name="Normal 3 2 5 2 5 2 2 2 3 2" xfId="45523"/>
    <cellStyle name="Normal 3 2 5 2 5 2 2 2 4" xfId="34174"/>
    <cellStyle name="Normal 3 2 5 2 5 2 2 3" xfId="14069"/>
    <cellStyle name="Normal 3 2 5 2 5 2 2 3 2" xfId="37490"/>
    <cellStyle name="Normal 3 2 5 2 5 2 2 4" xfId="20275"/>
    <cellStyle name="Normal 3 2 5 2 5 2 2 4 2" xfId="42810"/>
    <cellStyle name="Normal 3 2 5 2 5 2 2 5" xfId="30858"/>
    <cellStyle name="Normal 3 2 5 2 5 2 3" xfId="9023"/>
    <cellStyle name="Normal 3 2 5 2 5 2 3 2" xfId="15727"/>
    <cellStyle name="Normal 3 2 5 2 5 2 3 2 2" xfId="39148"/>
    <cellStyle name="Normal 3 2 5 2 5 2 3 3" xfId="21303"/>
    <cellStyle name="Normal 3 2 5 2 5 2 3 3 2" xfId="43754"/>
    <cellStyle name="Normal 3 2 5 2 5 2 3 4" xfId="32516"/>
    <cellStyle name="Normal 3 2 5 2 5 2 4" xfId="12411"/>
    <cellStyle name="Normal 3 2 5 2 5 2 4 2" xfId="22288"/>
    <cellStyle name="Normal 3 2 5 2 5 2 4 2 2" xfId="44710"/>
    <cellStyle name="Normal 3 2 5 2 5 2 4 3" xfId="35832"/>
    <cellStyle name="Normal 3 2 5 2 5 2 5" xfId="19436"/>
    <cellStyle name="Normal 3 2 5 2 5 2 5 2" xfId="41978"/>
    <cellStyle name="Normal 3 2 5 2 5 2 6" xfId="29200"/>
    <cellStyle name="Normal 3 2 5 2 5 3" xfId="6447"/>
    <cellStyle name="Normal 3 2 5 2 5 3 2" xfId="9781"/>
    <cellStyle name="Normal 3 2 5 2 5 3 2 2" xfId="16485"/>
    <cellStyle name="Normal 3 2 5 2 5 3 2 2 2" xfId="39906"/>
    <cellStyle name="Normal 3 2 5 2 5 3 2 3" xfId="22695"/>
    <cellStyle name="Normal 3 2 5 2 5 3 2 3 2" xfId="45117"/>
    <cellStyle name="Normal 3 2 5 2 5 3 2 4" xfId="33274"/>
    <cellStyle name="Normal 3 2 5 2 5 3 3" xfId="13169"/>
    <cellStyle name="Normal 3 2 5 2 5 3 3 2" xfId="36590"/>
    <cellStyle name="Normal 3 2 5 2 5 3 4" xfId="19859"/>
    <cellStyle name="Normal 3 2 5 2 5 3 4 2" xfId="42394"/>
    <cellStyle name="Normal 3 2 5 2 5 3 5" xfId="29958"/>
    <cellStyle name="Normal 3 2 5 2 5 4" xfId="8114"/>
    <cellStyle name="Normal 3 2 5 2 5 4 2" xfId="14827"/>
    <cellStyle name="Normal 3 2 5 2 5 4 2 2" xfId="38248"/>
    <cellStyle name="Normal 3 2 5 2 5 4 3" xfId="20844"/>
    <cellStyle name="Normal 3 2 5 2 5 4 3 2" xfId="43295"/>
    <cellStyle name="Normal 3 2 5 2 5 4 4" xfId="31616"/>
    <cellStyle name="Normal 3 2 5 2 5 5" xfId="11509"/>
    <cellStyle name="Normal 3 2 5 2 5 5 2" xfId="21863"/>
    <cellStyle name="Normal 3 2 5 2 5 5 2 2" xfId="44296"/>
    <cellStyle name="Normal 3 2 5 2 5 5 3" xfId="34932"/>
    <cellStyle name="Normal 3 2 5 2 5 6" xfId="18711"/>
    <cellStyle name="Normal 3 2 5 2 5 6 2" xfId="41553"/>
    <cellStyle name="Normal 3 2 5 2 5 7" xfId="25854"/>
    <cellStyle name="Normal 3 2 5 2 5 7 2" xfId="48099"/>
    <cellStyle name="Normal 3 2 5 2 5 8" xfId="28300"/>
    <cellStyle name="Normal 3 2 5 2 6" xfId="2604"/>
    <cellStyle name="Normal 3 2 5 2 6 2" xfId="5697"/>
    <cellStyle name="Normal 3 2 5 2 6 2 2" xfId="7479"/>
    <cellStyle name="Normal 3 2 5 2 6 2 2 2" xfId="10808"/>
    <cellStyle name="Normal 3 2 5 2 6 2 2 2 2" xfId="17512"/>
    <cellStyle name="Normal 3 2 5 2 6 2 2 2 2 2" xfId="40933"/>
    <cellStyle name="Normal 3 2 5 2 6 2 2 2 3" xfId="34301"/>
    <cellStyle name="Normal 3 2 5 2 6 2 2 3" xfId="14196"/>
    <cellStyle name="Normal 3 2 5 2 6 2 2 3 2" xfId="37617"/>
    <cellStyle name="Normal 3 2 5 2 6 2 2 4" xfId="20594"/>
    <cellStyle name="Normal 3 2 5 2 6 2 2 4 2" xfId="43045"/>
    <cellStyle name="Normal 3 2 5 2 6 2 2 5" xfId="30985"/>
    <cellStyle name="Normal 3 2 5 2 6 2 3" xfId="9150"/>
    <cellStyle name="Normal 3 2 5 2 6 2 3 2" xfId="15854"/>
    <cellStyle name="Normal 3 2 5 2 6 2 3 2 2" xfId="39275"/>
    <cellStyle name="Normal 3 2 5 2 6 2 3 3" xfId="21512"/>
    <cellStyle name="Normal 3 2 5 2 6 2 3 3 2" xfId="43963"/>
    <cellStyle name="Normal 3 2 5 2 6 2 3 4" xfId="32643"/>
    <cellStyle name="Normal 3 2 5 2 6 2 4" xfId="12538"/>
    <cellStyle name="Normal 3 2 5 2 6 2 4 2" xfId="22897"/>
    <cellStyle name="Normal 3 2 5 2 6 2 4 2 2" xfId="45319"/>
    <cellStyle name="Normal 3 2 5 2 6 2 4 3" xfId="35959"/>
    <cellStyle name="Normal 3 2 5 2 6 2 5" xfId="20067"/>
    <cellStyle name="Normal 3 2 5 2 6 2 5 2" xfId="42602"/>
    <cellStyle name="Normal 3 2 5 2 6 2 6" xfId="29327"/>
    <cellStyle name="Normal 3 2 5 2 6 3" xfId="6580"/>
    <cellStyle name="Normal 3 2 5 2 6 3 2" xfId="9912"/>
    <cellStyle name="Normal 3 2 5 2 6 3 2 2" xfId="16616"/>
    <cellStyle name="Normal 3 2 5 2 6 3 2 2 2" xfId="40037"/>
    <cellStyle name="Normal 3 2 5 2 6 3 2 3" xfId="33405"/>
    <cellStyle name="Normal 3 2 5 2 6 3 3" xfId="13300"/>
    <cellStyle name="Normal 3 2 5 2 6 3 3 2" xfId="36721"/>
    <cellStyle name="Normal 3 2 5 2 6 3 4" xfId="20496"/>
    <cellStyle name="Normal 3 2 5 2 6 3 4 2" xfId="42949"/>
    <cellStyle name="Normal 3 2 5 2 6 3 5" xfId="30089"/>
    <cellStyle name="Normal 3 2 5 2 6 4" xfId="8246"/>
    <cellStyle name="Normal 3 2 5 2 6 4 2" xfId="14958"/>
    <cellStyle name="Normal 3 2 5 2 6 4 2 2" xfId="38379"/>
    <cellStyle name="Normal 3 2 5 2 6 4 3" xfId="21053"/>
    <cellStyle name="Normal 3 2 5 2 6 4 3 2" xfId="43504"/>
    <cellStyle name="Normal 3 2 5 2 6 4 4" xfId="31747"/>
    <cellStyle name="Normal 3 2 5 2 6 5" xfId="11640"/>
    <cellStyle name="Normal 3 2 5 2 6 5 2" xfId="22078"/>
    <cellStyle name="Normal 3 2 5 2 6 5 2 2" xfId="44502"/>
    <cellStyle name="Normal 3 2 5 2 6 5 3" xfId="35063"/>
    <cellStyle name="Normal 3 2 5 2 6 6" xfId="19217"/>
    <cellStyle name="Normal 3 2 5 2 6 6 2" xfId="41770"/>
    <cellStyle name="Normal 3 2 5 2 6 7" xfId="28431"/>
    <cellStyle name="Normal 3 2 5 2 7" xfId="3973"/>
    <cellStyle name="Normal 3 2 5 2 7 2" xfId="7003"/>
    <cellStyle name="Normal 3 2 5 2 7 2 2" xfId="10335"/>
    <cellStyle name="Normal 3 2 5 2 7 2 2 2" xfId="17039"/>
    <cellStyle name="Normal 3 2 5 2 7 2 2 2 2" xfId="40460"/>
    <cellStyle name="Normal 3 2 5 2 7 2 2 3" xfId="33828"/>
    <cellStyle name="Normal 3 2 5 2 7 2 3" xfId="13723"/>
    <cellStyle name="Normal 3 2 5 2 7 2 3 2" xfId="37144"/>
    <cellStyle name="Normal 3 2 5 2 7 2 4" xfId="20545"/>
    <cellStyle name="Normal 3 2 5 2 7 2 4 2" xfId="42997"/>
    <cellStyle name="Normal 3 2 5 2 7 2 5" xfId="30512"/>
    <cellStyle name="Normal 3 2 5 2 7 3" xfId="8670"/>
    <cellStyle name="Normal 3 2 5 2 7 3 2" xfId="15381"/>
    <cellStyle name="Normal 3 2 5 2 7 3 2 2" xfId="38802"/>
    <cellStyle name="Normal 3 2 5 2 7 3 3" xfId="21288"/>
    <cellStyle name="Normal 3 2 5 2 7 3 3 2" xfId="43739"/>
    <cellStyle name="Normal 3 2 5 2 7 3 4" xfId="32170"/>
    <cellStyle name="Normal 3 2 5 2 7 4" xfId="12063"/>
    <cellStyle name="Normal 3 2 5 2 7 4 2" xfId="22491"/>
    <cellStyle name="Normal 3 2 5 2 7 4 2 2" xfId="44913"/>
    <cellStyle name="Normal 3 2 5 2 7 4 3" xfId="35486"/>
    <cellStyle name="Normal 3 2 5 2 7 5" xfId="19649"/>
    <cellStyle name="Normal 3 2 5 2 7 5 2" xfId="42186"/>
    <cellStyle name="Normal 3 2 5 2 7 6" xfId="28854"/>
    <cellStyle name="Normal 3 2 5 2 8" xfId="6107"/>
    <cellStyle name="Normal 3 2 5 2 8 2" xfId="9441"/>
    <cellStyle name="Normal 3 2 5 2 8 2 2" xfId="16145"/>
    <cellStyle name="Normal 3 2 5 2 8 2 2 2" xfId="39566"/>
    <cellStyle name="Normal 3 2 5 2 8 2 3" xfId="32934"/>
    <cellStyle name="Normal 3 2 5 2 8 3" xfId="12829"/>
    <cellStyle name="Normal 3 2 5 2 8 3 2" xfId="36250"/>
    <cellStyle name="Normal 3 2 5 2 8 4" xfId="19092"/>
    <cellStyle name="Normal 3 2 5 2 8 4 2" xfId="41658"/>
    <cellStyle name="Normal 3 2 5 2 8 5" xfId="29618"/>
    <cellStyle name="Normal 3 2 5 2 9" xfId="7773"/>
    <cellStyle name="Normal 3 2 5 2 9 2" xfId="14487"/>
    <cellStyle name="Normal 3 2 5 2 9 2 2" xfId="37908"/>
    <cellStyle name="Normal 3 2 5 2 9 3" xfId="20829"/>
    <cellStyle name="Normal 3 2 5 2 9 3 2" xfId="43280"/>
    <cellStyle name="Normal 3 2 5 2 9 4" xfId="31276"/>
    <cellStyle name="Normal 3 2 5 3" xfId="1432"/>
    <cellStyle name="Normal 3 2 5 3 10" xfId="18035"/>
    <cellStyle name="Normal 3 2 5 3 10 2" xfId="41325"/>
    <cellStyle name="Normal 3 2 5 3 11" xfId="23626"/>
    <cellStyle name="Normal 3 2 5 3 11 2" xfId="45916"/>
    <cellStyle name="Normal 3 2 5 3 12" xfId="27968"/>
    <cellStyle name="Normal 3 2 5 3 2" xfId="1617"/>
    <cellStyle name="Normal 3 2 5 3 2 10" xfId="23627"/>
    <cellStyle name="Normal 3 2 5 3 2 10 2" xfId="45917"/>
    <cellStyle name="Normal 3 2 5 3 2 11" xfId="28037"/>
    <cellStyle name="Normal 3 2 5 3 2 2" xfId="1816"/>
    <cellStyle name="Normal 3 2 5 3 2 2 10" xfId="28168"/>
    <cellStyle name="Normal 3 2 5 3 2 2 2" xfId="2288"/>
    <cellStyle name="Normal 3 2 5 3 2 2 2 2" xfId="5536"/>
    <cellStyle name="Normal 3 2 5 3 2 2 2 2 2" xfId="7360"/>
    <cellStyle name="Normal 3 2 5 3 2 2 2 2 2 2" xfId="10691"/>
    <cellStyle name="Normal 3 2 5 3 2 2 2 2 2 2 2" xfId="17395"/>
    <cellStyle name="Normal 3 2 5 3 2 2 2 2 2 2 2 2" xfId="40816"/>
    <cellStyle name="Normal 3 2 5 3 2 2 2 2 2 2 3" xfId="23111"/>
    <cellStyle name="Normal 3 2 5 3 2 2 2 2 2 2 3 2" xfId="45533"/>
    <cellStyle name="Normal 3 2 5 3 2 2 2 2 2 2 4" xfId="34184"/>
    <cellStyle name="Normal 3 2 5 3 2 2 2 2 2 3" xfId="14079"/>
    <cellStyle name="Normal 3 2 5 3 2 2 2 2 2 3 2" xfId="37500"/>
    <cellStyle name="Normal 3 2 5 3 2 2 2 2 2 4" xfId="20285"/>
    <cellStyle name="Normal 3 2 5 3 2 2 2 2 2 4 2" xfId="42820"/>
    <cellStyle name="Normal 3 2 5 3 2 2 2 2 2 5" xfId="30868"/>
    <cellStyle name="Normal 3 2 5 3 2 2 2 2 3" xfId="9033"/>
    <cellStyle name="Normal 3 2 5 3 2 2 2 2 3 2" xfId="15737"/>
    <cellStyle name="Normal 3 2 5 3 2 2 2 2 3 2 2" xfId="39158"/>
    <cellStyle name="Normal 3 2 5 3 2 2 2 2 3 3" xfId="21307"/>
    <cellStyle name="Normal 3 2 5 3 2 2 2 2 3 3 2" xfId="43758"/>
    <cellStyle name="Normal 3 2 5 3 2 2 2 2 3 4" xfId="32526"/>
    <cellStyle name="Normal 3 2 5 3 2 2 2 2 4" xfId="12421"/>
    <cellStyle name="Normal 3 2 5 3 2 2 2 2 4 2" xfId="22298"/>
    <cellStyle name="Normal 3 2 5 3 2 2 2 2 4 2 2" xfId="44720"/>
    <cellStyle name="Normal 3 2 5 3 2 2 2 2 4 3" xfId="35842"/>
    <cellStyle name="Normal 3 2 5 3 2 2 2 2 5" xfId="19446"/>
    <cellStyle name="Normal 3 2 5 3 2 2 2 2 5 2" xfId="41988"/>
    <cellStyle name="Normal 3 2 5 3 2 2 2 2 6" xfId="29210"/>
    <cellStyle name="Normal 3 2 5 3 2 2 2 3" xfId="6457"/>
    <cellStyle name="Normal 3 2 5 3 2 2 2 3 2" xfId="9791"/>
    <cellStyle name="Normal 3 2 5 3 2 2 2 3 2 2" xfId="16495"/>
    <cellStyle name="Normal 3 2 5 3 2 2 2 3 2 2 2" xfId="39916"/>
    <cellStyle name="Normal 3 2 5 3 2 2 2 3 2 3" xfId="22705"/>
    <cellStyle name="Normal 3 2 5 3 2 2 2 3 2 3 2" xfId="45127"/>
    <cellStyle name="Normal 3 2 5 3 2 2 2 3 2 4" xfId="33284"/>
    <cellStyle name="Normal 3 2 5 3 2 2 2 3 3" xfId="13179"/>
    <cellStyle name="Normal 3 2 5 3 2 2 2 3 3 2" xfId="36600"/>
    <cellStyle name="Normal 3 2 5 3 2 2 2 3 4" xfId="19869"/>
    <cellStyle name="Normal 3 2 5 3 2 2 2 3 4 2" xfId="42404"/>
    <cellStyle name="Normal 3 2 5 3 2 2 2 3 5" xfId="29968"/>
    <cellStyle name="Normal 3 2 5 3 2 2 2 4" xfId="8124"/>
    <cellStyle name="Normal 3 2 5 3 2 2 2 4 2" xfId="14837"/>
    <cellStyle name="Normal 3 2 5 3 2 2 2 4 2 2" xfId="38258"/>
    <cellStyle name="Normal 3 2 5 3 2 2 2 4 3" xfId="20848"/>
    <cellStyle name="Normal 3 2 5 3 2 2 2 4 3 2" xfId="43299"/>
    <cellStyle name="Normal 3 2 5 3 2 2 2 4 4" xfId="31626"/>
    <cellStyle name="Normal 3 2 5 3 2 2 2 5" xfId="11519"/>
    <cellStyle name="Normal 3 2 5 3 2 2 2 5 2" xfId="21873"/>
    <cellStyle name="Normal 3 2 5 3 2 2 2 5 2 2" xfId="44306"/>
    <cellStyle name="Normal 3 2 5 3 2 2 2 5 3" xfId="34942"/>
    <cellStyle name="Normal 3 2 5 3 2 2 2 6" xfId="18721"/>
    <cellStyle name="Normal 3 2 5 3 2 2 2 6 2" xfId="41563"/>
    <cellStyle name="Normal 3 2 5 3 2 2 2 7" xfId="25864"/>
    <cellStyle name="Normal 3 2 5 3 2 2 2 7 2" xfId="48109"/>
    <cellStyle name="Normal 3 2 5 3 2 2 2 8" xfId="28310"/>
    <cellStyle name="Normal 3 2 5 3 2 2 3" xfId="2813"/>
    <cellStyle name="Normal 3 2 5 3 2 2 3 2" xfId="5905"/>
    <cellStyle name="Normal 3 2 5 3 2 2 3 2 2" xfId="7687"/>
    <cellStyle name="Normal 3 2 5 3 2 2 3 2 2 2" xfId="11016"/>
    <cellStyle name="Normal 3 2 5 3 2 2 3 2 2 2 2" xfId="17720"/>
    <cellStyle name="Normal 3 2 5 3 2 2 3 2 2 2 2 2" xfId="41141"/>
    <cellStyle name="Normal 3 2 5 3 2 2 3 2 2 2 3" xfId="34509"/>
    <cellStyle name="Normal 3 2 5 3 2 2 3 2 2 3" xfId="14404"/>
    <cellStyle name="Normal 3 2 5 3 2 2 3 2 2 3 2" xfId="37825"/>
    <cellStyle name="Normal 3 2 5 3 2 2 3 2 2 4" xfId="22907"/>
    <cellStyle name="Normal 3 2 5 3 2 2 3 2 2 4 2" xfId="45329"/>
    <cellStyle name="Normal 3 2 5 3 2 2 3 2 2 5" xfId="31193"/>
    <cellStyle name="Normal 3 2 5 3 2 2 3 2 3" xfId="9358"/>
    <cellStyle name="Normal 3 2 5 3 2 2 3 2 3 2" xfId="16062"/>
    <cellStyle name="Normal 3 2 5 3 2 2 3 2 3 2 2" xfId="39483"/>
    <cellStyle name="Normal 3 2 5 3 2 2 3 2 3 3" xfId="32851"/>
    <cellStyle name="Normal 3 2 5 3 2 2 3 2 4" xfId="12746"/>
    <cellStyle name="Normal 3 2 5 3 2 2 3 2 4 2" xfId="36167"/>
    <cellStyle name="Normal 3 2 5 3 2 2 3 2 5" xfId="20077"/>
    <cellStyle name="Normal 3 2 5 3 2 2 3 2 5 2" xfId="42612"/>
    <cellStyle name="Normal 3 2 5 3 2 2 3 2 6" xfId="29535"/>
    <cellStyle name="Normal 3 2 5 3 2 2 3 3" xfId="6788"/>
    <cellStyle name="Normal 3 2 5 3 2 2 3 3 2" xfId="10120"/>
    <cellStyle name="Normal 3 2 5 3 2 2 3 3 2 2" xfId="16824"/>
    <cellStyle name="Normal 3 2 5 3 2 2 3 3 2 2 2" xfId="40245"/>
    <cellStyle name="Normal 3 2 5 3 2 2 3 3 2 3" xfId="33613"/>
    <cellStyle name="Normal 3 2 5 3 2 2 3 3 3" xfId="13508"/>
    <cellStyle name="Normal 3 2 5 3 2 2 3 3 3 2" xfId="36929"/>
    <cellStyle name="Normal 3 2 5 3 2 2 3 3 4" xfId="21306"/>
    <cellStyle name="Normal 3 2 5 3 2 2 3 3 4 2" xfId="43757"/>
    <cellStyle name="Normal 3 2 5 3 2 2 3 3 5" xfId="30297"/>
    <cellStyle name="Normal 3 2 5 3 2 2 3 4" xfId="8454"/>
    <cellStyle name="Normal 3 2 5 3 2 2 3 4 2" xfId="15166"/>
    <cellStyle name="Normal 3 2 5 3 2 2 3 4 2 2" xfId="38587"/>
    <cellStyle name="Normal 3 2 5 3 2 2 3 4 3" xfId="22088"/>
    <cellStyle name="Normal 3 2 5 3 2 2 3 4 3 2" xfId="44512"/>
    <cellStyle name="Normal 3 2 5 3 2 2 3 4 4" xfId="31955"/>
    <cellStyle name="Normal 3 2 5 3 2 2 3 5" xfId="11848"/>
    <cellStyle name="Normal 3 2 5 3 2 2 3 5 2" xfId="35271"/>
    <cellStyle name="Normal 3 2 5 3 2 2 3 6" xfId="19227"/>
    <cellStyle name="Normal 3 2 5 3 2 2 3 6 2" xfId="41780"/>
    <cellStyle name="Normal 3 2 5 3 2 2 3 7" xfId="28639"/>
    <cellStyle name="Normal 3 2 5 3 2 2 4" xfId="3983"/>
    <cellStyle name="Normal 3 2 5 3 2 2 4 2" xfId="7013"/>
    <cellStyle name="Normal 3 2 5 3 2 2 4 2 2" xfId="10345"/>
    <cellStyle name="Normal 3 2 5 3 2 2 4 2 2 2" xfId="17049"/>
    <cellStyle name="Normal 3 2 5 3 2 2 4 2 2 2 2" xfId="40470"/>
    <cellStyle name="Normal 3 2 5 3 2 2 4 2 2 3" xfId="33838"/>
    <cellStyle name="Normal 3 2 5 3 2 2 4 2 3" xfId="13733"/>
    <cellStyle name="Normal 3 2 5 3 2 2 4 2 3 2" xfId="37154"/>
    <cellStyle name="Normal 3 2 5 3 2 2 4 2 4" xfId="22501"/>
    <cellStyle name="Normal 3 2 5 3 2 2 4 2 4 2" xfId="44923"/>
    <cellStyle name="Normal 3 2 5 3 2 2 4 2 5" xfId="30522"/>
    <cellStyle name="Normal 3 2 5 3 2 2 4 3" xfId="8680"/>
    <cellStyle name="Normal 3 2 5 3 2 2 4 3 2" xfId="15391"/>
    <cellStyle name="Normal 3 2 5 3 2 2 4 3 2 2" xfId="38812"/>
    <cellStyle name="Normal 3 2 5 3 2 2 4 3 3" xfId="32180"/>
    <cellStyle name="Normal 3 2 5 3 2 2 4 4" xfId="12073"/>
    <cellStyle name="Normal 3 2 5 3 2 2 4 4 2" xfId="35496"/>
    <cellStyle name="Normal 3 2 5 3 2 2 4 5" xfId="19659"/>
    <cellStyle name="Normal 3 2 5 3 2 2 4 5 2" xfId="42196"/>
    <cellStyle name="Normal 3 2 5 3 2 2 4 6" xfId="28864"/>
    <cellStyle name="Normal 3 2 5 3 2 2 5" xfId="6315"/>
    <cellStyle name="Normal 3 2 5 3 2 2 5 2" xfId="9649"/>
    <cellStyle name="Normal 3 2 5 3 2 2 5 2 2" xfId="16353"/>
    <cellStyle name="Normal 3 2 5 3 2 2 5 2 2 2" xfId="39774"/>
    <cellStyle name="Normal 3 2 5 3 2 2 5 2 3" xfId="33142"/>
    <cellStyle name="Normal 3 2 5 3 2 2 5 3" xfId="13037"/>
    <cellStyle name="Normal 3 2 5 3 2 2 5 3 2" xfId="36458"/>
    <cellStyle name="Normal 3 2 5 3 2 2 5 4" xfId="20847"/>
    <cellStyle name="Normal 3 2 5 3 2 2 5 4 2" xfId="43298"/>
    <cellStyle name="Normal 3 2 5 3 2 2 5 5" xfId="29826"/>
    <cellStyle name="Normal 3 2 5 3 2 2 6" xfId="7981"/>
    <cellStyle name="Normal 3 2 5 3 2 2 6 2" xfId="14695"/>
    <cellStyle name="Normal 3 2 5 3 2 2 6 2 2" xfId="38116"/>
    <cellStyle name="Normal 3 2 5 3 2 2 6 3" xfId="21651"/>
    <cellStyle name="Normal 3 2 5 3 2 2 6 3 2" xfId="44100"/>
    <cellStyle name="Normal 3 2 5 3 2 2 6 4" xfId="31484"/>
    <cellStyle name="Normal 3 2 5 3 2 2 7" xfId="11377"/>
    <cellStyle name="Normal 3 2 5 3 2 2 7 2" xfId="34800"/>
    <cellStyle name="Normal 3 2 5 3 2 2 8" xfId="18037"/>
    <cellStyle name="Normal 3 2 5 3 2 2 8 2" xfId="41327"/>
    <cellStyle name="Normal 3 2 5 3 2 2 9" xfId="23628"/>
    <cellStyle name="Normal 3 2 5 3 2 2 9 2" xfId="45918"/>
    <cellStyle name="Normal 3 2 5 3 2 3" xfId="2287"/>
    <cellStyle name="Normal 3 2 5 3 2 3 2" xfId="5535"/>
    <cellStyle name="Normal 3 2 5 3 2 3 2 2" xfId="7359"/>
    <cellStyle name="Normal 3 2 5 3 2 3 2 2 2" xfId="10690"/>
    <cellStyle name="Normal 3 2 5 3 2 3 2 2 2 2" xfId="17394"/>
    <cellStyle name="Normal 3 2 5 3 2 3 2 2 2 2 2" xfId="40815"/>
    <cellStyle name="Normal 3 2 5 3 2 3 2 2 2 3" xfId="23110"/>
    <cellStyle name="Normal 3 2 5 3 2 3 2 2 2 3 2" xfId="45532"/>
    <cellStyle name="Normal 3 2 5 3 2 3 2 2 2 4" xfId="34183"/>
    <cellStyle name="Normal 3 2 5 3 2 3 2 2 3" xfId="14078"/>
    <cellStyle name="Normal 3 2 5 3 2 3 2 2 3 2" xfId="37499"/>
    <cellStyle name="Normal 3 2 5 3 2 3 2 2 4" xfId="20284"/>
    <cellStyle name="Normal 3 2 5 3 2 3 2 2 4 2" xfId="42819"/>
    <cellStyle name="Normal 3 2 5 3 2 3 2 2 5" xfId="30867"/>
    <cellStyle name="Normal 3 2 5 3 2 3 2 3" xfId="9032"/>
    <cellStyle name="Normal 3 2 5 3 2 3 2 3 2" xfId="15736"/>
    <cellStyle name="Normal 3 2 5 3 2 3 2 3 2 2" xfId="39157"/>
    <cellStyle name="Normal 3 2 5 3 2 3 2 3 3" xfId="21308"/>
    <cellStyle name="Normal 3 2 5 3 2 3 2 3 3 2" xfId="43759"/>
    <cellStyle name="Normal 3 2 5 3 2 3 2 3 4" xfId="32525"/>
    <cellStyle name="Normal 3 2 5 3 2 3 2 4" xfId="12420"/>
    <cellStyle name="Normal 3 2 5 3 2 3 2 4 2" xfId="22297"/>
    <cellStyle name="Normal 3 2 5 3 2 3 2 4 2 2" xfId="44719"/>
    <cellStyle name="Normal 3 2 5 3 2 3 2 4 3" xfId="35841"/>
    <cellStyle name="Normal 3 2 5 3 2 3 2 5" xfId="19445"/>
    <cellStyle name="Normal 3 2 5 3 2 3 2 5 2" xfId="41987"/>
    <cellStyle name="Normal 3 2 5 3 2 3 2 6" xfId="29209"/>
    <cellStyle name="Normal 3 2 5 3 2 3 3" xfId="6456"/>
    <cellStyle name="Normal 3 2 5 3 2 3 3 2" xfId="9790"/>
    <cellStyle name="Normal 3 2 5 3 2 3 3 2 2" xfId="16494"/>
    <cellStyle name="Normal 3 2 5 3 2 3 3 2 2 2" xfId="39915"/>
    <cellStyle name="Normal 3 2 5 3 2 3 3 2 3" xfId="22704"/>
    <cellStyle name="Normal 3 2 5 3 2 3 3 2 3 2" xfId="45126"/>
    <cellStyle name="Normal 3 2 5 3 2 3 3 2 4" xfId="33283"/>
    <cellStyle name="Normal 3 2 5 3 2 3 3 3" xfId="13178"/>
    <cellStyle name="Normal 3 2 5 3 2 3 3 3 2" xfId="36599"/>
    <cellStyle name="Normal 3 2 5 3 2 3 3 4" xfId="19868"/>
    <cellStyle name="Normal 3 2 5 3 2 3 3 4 2" xfId="42403"/>
    <cellStyle name="Normal 3 2 5 3 2 3 3 5" xfId="29967"/>
    <cellStyle name="Normal 3 2 5 3 2 3 4" xfId="8123"/>
    <cellStyle name="Normal 3 2 5 3 2 3 4 2" xfId="14836"/>
    <cellStyle name="Normal 3 2 5 3 2 3 4 2 2" xfId="38257"/>
    <cellStyle name="Normal 3 2 5 3 2 3 4 3" xfId="20849"/>
    <cellStyle name="Normal 3 2 5 3 2 3 4 3 2" xfId="43300"/>
    <cellStyle name="Normal 3 2 5 3 2 3 4 4" xfId="31625"/>
    <cellStyle name="Normal 3 2 5 3 2 3 5" xfId="11518"/>
    <cellStyle name="Normal 3 2 5 3 2 3 5 2" xfId="21872"/>
    <cellStyle name="Normal 3 2 5 3 2 3 5 2 2" xfId="44305"/>
    <cellStyle name="Normal 3 2 5 3 2 3 5 3" xfId="34941"/>
    <cellStyle name="Normal 3 2 5 3 2 3 6" xfId="18720"/>
    <cellStyle name="Normal 3 2 5 3 2 3 6 2" xfId="41562"/>
    <cellStyle name="Normal 3 2 5 3 2 3 7" xfId="25863"/>
    <cellStyle name="Normal 3 2 5 3 2 3 7 2" xfId="48108"/>
    <cellStyle name="Normal 3 2 5 3 2 3 8" xfId="28309"/>
    <cellStyle name="Normal 3 2 5 3 2 4" xfId="2681"/>
    <cellStyle name="Normal 3 2 5 3 2 4 2" xfId="5774"/>
    <cellStyle name="Normal 3 2 5 3 2 4 2 2" xfId="7556"/>
    <cellStyle name="Normal 3 2 5 3 2 4 2 2 2" xfId="10885"/>
    <cellStyle name="Normal 3 2 5 3 2 4 2 2 2 2" xfId="17589"/>
    <cellStyle name="Normal 3 2 5 3 2 4 2 2 2 2 2" xfId="41010"/>
    <cellStyle name="Normal 3 2 5 3 2 4 2 2 2 3" xfId="34378"/>
    <cellStyle name="Normal 3 2 5 3 2 4 2 2 3" xfId="14273"/>
    <cellStyle name="Normal 3 2 5 3 2 4 2 2 3 2" xfId="37694"/>
    <cellStyle name="Normal 3 2 5 3 2 4 2 2 4" xfId="22906"/>
    <cellStyle name="Normal 3 2 5 3 2 4 2 2 4 2" xfId="45328"/>
    <cellStyle name="Normal 3 2 5 3 2 4 2 2 5" xfId="31062"/>
    <cellStyle name="Normal 3 2 5 3 2 4 2 3" xfId="9227"/>
    <cellStyle name="Normal 3 2 5 3 2 4 2 3 2" xfId="15931"/>
    <cellStyle name="Normal 3 2 5 3 2 4 2 3 2 2" xfId="39352"/>
    <cellStyle name="Normal 3 2 5 3 2 4 2 3 3" xfId="32720"/>
    <cellStyle name="Normal 3 2 5 3 2 4 2 4" xfId="12615"/>
    <cellStyle name="Normal 3 2 5 3 2 4 2 4 2" xfId="36036"/>
    <cellStyle name="Normal 3 2 5 3 2 4 2 5" xfId="20076"/>
    <cellStyle name="Normal 3 2 5 3 2 4 2 5 2" xfId="42611"/>
    <cellStyle name="Normal 3 2 5 3 2 4 2 6" xfId="29404"/>
    <cellStyle name="Normal 3 2 5 3 2 4 3" xfId="6657"/>
    <cellStyle name="Normal 3 2 5 3 2 4 3 2" xfId="9989"/>
    <cellStyle name="Normal 3 2 5 3 2 4 3 2 2" xfId="16693"/>
    <cellStyle name="Normal 3 2 5 3 2 4 3 2 2 2" xfId="40114"/>
    <cellStyle name="Normal 3 2 5 3 2 4 3 2 3" xfId="33482"/>
    <cellStyle name="Normal 3 2 5 3 2 4 3 3" xfId="13377"/>
    <cellStyle name="Normal 3 2 5 3 2 4 3 3 2" xfId="36798"/>
    <cellStyle name="Normal 3 2 5 3 2 4 3 4" xfId="21305"/>
    <cellStyle name="Normal 3 2 5 3 2 4 3 4 2" xfId="43756"/>
    <cellStyle name="Normal 3 2 5 3 2 4 3 5" xfId="30166"/>
    <cellStyle name="Normal 3 2 5 3 2 4 4" xfId="8323"/>
    <cellStyle name="Normal 3 2 5 3 2 4 4 2" xfId="15035"/>
    <cellStyle name="Normal 3 2 5 3 2 4 4 2 2" xfId="38456"/>
    <cellStyle name="Normal 3 2 5 3 2 4 4 3" xfId="22087"/>
    <cellStyle name="Normal 3 2 5 3 2 4 4 3 2" xfId="44511"/>
    <cellStyle name="Normal 3 2 5 3 2 4 4 4" xfId="31824"/>
    <cellStyle name="Normal 3 2 5 3 2 4 5" xfId="11717"/>
    <cellStyle name="Normal 3 2 5 3 2 4 5 2" xfId="35140"/>
    <cellStyle name="Normal 3 2 5 3 2 4 6" xfId="19226"/>
    <cellStyle name="Normal 3 2 5 3 2 4 6 2" xfId="41779"/>
    <cellStyle name="Normal 3 2 5 3 2 4 7" xfId="28508"/>
    <cellStyle name="Normal 3 2 5 3 2 5" xfId="3982"/>
    <cellStyle name="Normal 3 2 5 3 2 5 2" xfId="7012"/>
    <cellStyle name="Normal 3 2 5 3 2 5 2 2" xfId="10344"/>
    <cellStyle name="Normal 3 2 5 3 2 5 2 2 2" xfId="17048"/>
    <cellStyle name="Normal 3 2 5 3 2 5 2 2 2 2" xfId="40469"/>
    <cellStyle name="Normal 3 2 5 3 2 5 2 2 3" xfId="33837"/>
    <cellStyle name="Normal 3 2 5 3 2 5 2 3" xfId="13732"/>
    <cellStyle name="Normal 3 2 5 3 2 5 2 3 2" xfId="37153"/>
    <cellStyle name="Normal 3 2 5 3 2 5 2 4" xfId="22500"/>
    <cellStyle name="Normal 3 2 5 3 2 5 2 4 2" xfId="44922"/>
    <cellStyle name="Normal 3 2 5 3 2 5 2 5" xfId="30521"/>
    <cellStyle name="Normal 3 2 5 3 2 5 3" xfId="8679"/>
    <cellStyle name="Normal 3 2 5 3 2 5 3 2" xfId="15390"/>
    <cellStyle name="Normal 3 2 5 3 2 5 3 2 2" xfId="38811"/>
    <cellStyle name="Normal 3 2 5 3 2 5 3 3" xfId="32179"/>
    <cellStyle name="Normal 3 2 5 3 2 5 4" xfId="12072"/>
    <cellStyle name="Normal 3 2 5 3 2 5 4 2" xfId="35495"/>
    <cellStyle name="Normal 3 2 5 3 2 5 5" xfId="19658"/>
    <cellStyle name="Normal 3 2 5 3 2 5 5 2" xfId="42195"/>
    <cellStyle name="Normal 3 2 5 3 2 5 6" xfId="28863"/>
    <cellStyle name="Normal 3 2 5 3 2 6" xfId="6184"/>
    <cellStyle name="Normal 3 2 5 3 2 6 2" xfId="9518"/>
    <cellStyle name="Normal 3 2 5 3 2 6 2 2" xfId="16222"/>
    <cellStyle name="Normal 3 2 5 3 2 6 2 2 2" xfId="39643"/>
    <cellStyle name="Normal 3 2 5 3 2 6 2 3" xfId="33011"/>
    <cellStyle name="Normal 3 2 5 3 2 6 3" xfId="12906"/>
    <cellStyle name="Normal 3 2 5 3 2 6 3 2" xfId="36327"/>
    <cellStyle name="Normal 3 2 5 3 2 6 4" xfId="20846"/>
    <cellStyle name="Normal 3 2 5 3 2 6 4 2" xfId="43297"/>
    <cellStyle name="Normal 3 2 5 3 2 6 5" xfId="29695"/>
    <cellStyle name="Normal 3 2 5 3 2 7" xfId="7850"/>
    <cellStyle name="Normal 3 2 5 3 2 7 2" xfId="14564"/>
    <cellStyle name="Normal 3 2 5 3 2 7 2 2" xfId="37985"/>
    <cellStyle name="Normal 3 2 5 3 2 7 3" xfId="21650"/>
    <cellStyle name="Normal 3 2 5 3 2 7 3 2" xfId="44099"/>
    <cellStyle name="Normal 3 2 5 3 2 7 4" xfId="31353"/>
    <cellStyle name="Normal 3 2 5 3 2 8" xfId="11246"/>
    <cellStyle name="Normal 3 2 5 3 2 8 2" xfId="34669"/>
    <cellStyle name="Normal 3 2 5 3 2 9" xfId="18036"/>
    <cellStyle name="Normal 3 2 5 3 2 9 2" xfId="41326"/>
    <cellStyle name="Normal 3 2 5 3 3" xfId="1747"/>
    <cellStyle name="Normal 3 2 5 3 3 10" xfId="28099"/>
    <cellStyle name="Normal 3 2 5 3 3 2" xfId="2289"/>
    <cellStyle name="Normal 3 2 5 3 3 2 2" xfId="5537"/>
    <cellStyle name="Normal 3 2 5 3 3 2 2 2" xfId="7361"/>
    <cellStyle name="Normal 3 2 5 3 3 2 2 2 2" xfId="10692"/>
    <cellStyle name="Normal 3 2 5 3 3 2 2 2 2 2" xfId="17396"/>
    <cellStyle name="Normal 3 2 5 3 3 2 2 2 2 2 2" xfId="40817"/>
    <cellStyle name="Normal 3 2 5 3 3 2 2 2 2 3" xfId="23112"/>
    <cellStyle name="Normal 3 2 5 3 3 2 2 2 2 3 2" xfId="45534"/>
    <cellStyle name="Normal 3 2 5 3 3 2 2 2 2 4" xfId="34185"/>
    <cellStyle name="Normal 3 2 5 3 3 2 2 2 3" xfId="14080"/>
    <cellStyle name="Normal 3 2 5 3 3 2 2 2 3 2" xfId="37501"/>
    <cellStyle name="Normal 3 2 5 3 3 2 2 2 4" xfId="20286"/>
    <cellStyle name="Normal 3 2 5 3 3 2 2 2 4 2" xfId="42821"/>
    <cellStyle name="Normal 3 2 5 3 3 2 2 2 5" xfId="30869"/>
    <cellStyle name="Normal 3 2 5 3 3 2 2 3" xfId="9034"/>
    <cellStyle name="Normal 3 2 5 3 3 2 2 3 2" xfId="15738"/>
    <cellStyle name="Normal 3 2 5 3 3 2 2 3 2 2" xfId="39159"/>
    <cellStyle name="Normal 3 2 5 3 3 2 2 3 3" xfId="21310"/>
    <cellStyle name="Normal 3 2 5 3 3 2 2 3 3 2" xfId="43761"/>
    <cellStyle name="Normal 3 2 5 3 3 2 2 3 4" xfId="32527"/>
    <cellStyle name="Normal 3 2 5 3 3 2 2 4" xfId="12422"/>
    <cellStyle name="Normal 3 2 5 3 3 2 2 4 2" xfId="22299"/>
    <cellStyle name="Normal 3 2 5 3 3 2 2 4 2 2" xfId="44721"/>
    <cellStyle name="Normal 3 2 5 3 3 2 2 4 3" xfId="35843"/>
    <cellStyle name="Normal 3 2 5 3 3 2 2 5" xfId="19447"/>
    <cellStyle name="Normal 3 2 5 3 3 2 2 5 2" xfId="41989"/>
    <cellStyle name="Normal 3 2 5 3 3 2 2 6" xfId="29211"/>
    <cellStyle name="Normal 3 2 5 3 3 2 3" xfId="6458"/>
    <cellStyle name="Normal 3 2 5 3 3 2 3 2" xfId="9792"/>
    <cellStyle name="Normal 3 2 5 3 3 2 3 2 2" xfId="16496"/>
    <cellStyle name="Normal 3 2 5 3 3 2 3 2 2 2" xfId="39917"/>
    <cellStyle name="Normal 3 2 5 3 3 2 3 2 3" xfId="22706"/>
    <cellStyle name="Normal 3 2 5 3 3 2 3 2 3 2" xfId="45128"/>
    <cellStyle name="Normal 3 2 5 3 3 2 3 2 4" xfId="33285"/>
    <cellStyle name="Normal 3 2 5 3 3 2 3 3" xfId="13180"/>
    <cellStyle name="Normal 3 2 5 3 3 2 3 3 2" xfId="36601"/>
    <cellStyle name="Normal 3 2 5 3 3 2 3 4" xfId="19870"/>
    <cellStyle name="Normal 3 2 5 3 3 2 3 4 2" xfId="42405"/>
    <cellStyle name="Normal 3 2 5 3 3 2 3 5" xfId="29969"/>
    <cellStyle name="Normal 3 2 5 3 3 2 4" xfId="8125"/>
    <cellStyle name="Normal 3 2 5 3 3 2 4 2" xfId="14838"/>
    <cellStyle name="Normal 3 2 5 3 3 2 4 2 2" xfId="38259"/>
    <cellStyle name="Normal 3 2 5 3 3 2 4 3" xfId="20851"/>
    <cellStyle name="Normal 3 2 5 3 3 2 4 3 2" xfId="43302"/>
    <cellStyle name="Normal 3 2 5 3 3 2 4 4" xfId="31627"/>
    <cellStyle name="Normal 3 2 5 3 3 2 5" xfId="11520"/>
    <cellStyle name="Normal 3 2 5 3 3 2 5 2" xfId="21874"/>
    <cellStyle name="Normal 3 2 5 3 3 2 5 2 2" xfId="44307"/>
    <cellStyle name="Normal 3 2 5 3 3 2 5 3" xfId="34943"/>
    <cellStyle name="Normal 3 2 5 3 3 2 6" xfId="18722"/>
    <cellStyle name="Normal 3 2 5 3 3 2 6 2" xfId="41564"/>
    <cellStyle name="Normal 3 2 5 3 3 2 7" xfId="25865"/>
    <cellStyle name="Normal 3 2 5 3 3 2 7 2" xfId="48110"/>
    <cellStyle name="Normal 3 2 5 3 3 2 8" xfId="28311"/>
    <cellStyle name="Normal 3 2 5 3 3 3" xfId="2744"/>
    <cellStyle name="Normal 3 2 5 3 3 3 2" xfId="5836"/>
    <cellStyle name="Normal 3 2 5 3 3 3 2 2" xfId="7618"/>
    <cellStyle name="Normal 3 2 5 3 3 3 2 2 2" xfId="10947"/>
    <cellStyle name="Normal 3 2 5 3 3 3 2 2 2 2" xfId="17651"/>
    <cellStyle name="Normal 3 2 5 3 3 3 2 2 2 2 2" xfId="41072"/>
    <cellStyle name="Normal 3 2 5 3 3 3 2 2 2 3" xfId="34440"/>
    <cellStyle name="Normal 3 2 5 3 3 3 2 2 3" xfId="14335"/>
    <cellStyle name="Normal 3 2 5 3 3 3 2 2 3 2" xfId="37756"/>
    <cellStyle name="Normal 3 2 5 3 3 3 2 2 4" xfId="22908"/>
    <cellStyle name="Normal 3 2 5 3 3 3 2 2 4 2" xfId="45330"/>
    <cellStyle name="Normal 3 2 5 3 3 3 2 2 5" xfId="31124"/>
    <cellStyle name="Normal 3 2 5 3 3 3 2 3" xfId="9289"/>
    <cellStyle name="Normal 3 2 5 3 3 3 2 3 2" xfId="15993"/>
    <cellStyle name="Normal 3 2 5 3 3 3 2 3 2 2" xfId="39414"/>
    <cellStyle name="Normal 3 2 5 3 3 3 2 3 3" xfId="32782"/>
    <cellStyle name="Normal 3 2 5 3 3 3 2 4" xfId="12677"/>
    <cellStyle name="Normal 3 2 5 3 3 3 2 4 2" xfId="36098"/>
    <cellStyle name="Normal 3 2 5 3 3 3 2 5" xfId="20078"/>
    <cellStyle name="Normal 3 2 5 3 3 3 2 5 2" xfId="42613"/>
    <cellStyle name="Normal 3 2 5 3 3 3 2 6" xfId="29466"/>
    <cellStyle name="Normal 3 2 5 3 3 3 3" xfId="6719"/>
    <cellStyle name="Normal 3 2 5 3 3 3 3 2" xfId="10051"/>
    <cellStyle name="Normal 3 2 5 3 3 3 3 2 2" xfId="16755"/>
    <cellStyle name="Normal 3 2 5 3 3 3 3 2 2 2" xfId="40176"/>
    <cellStyle name="Normal 3 2 5 3 3 3 3 2 3" xfId="33544"/>
    <cellStyle name="Normal 3 2 5 3 3 3 3 3" xfId="13439"/>
    <cellStyle name="Normal 3 2 5 3 3 3 3 3 2" xfId="36860"/>
    <cellStyle name="Normal 3 2 5 3 3 3 3 4" xfId="21309"/>
    <cellStyle name="Normal 3 2 5 3 3 3 3 4 2" xfId="43760"/>
    <cellStyle name="Normal 3 2 5 3 3 3 3 5" xfId="30228"/>
    <cellStyle name="Normal 3 2 5 3 3 3 4" xfId="8385"/>
    <cellStyle name="Normal 3 2 5 3 3 3 4 2" xfId="15097"/>
    <cellStyle name="Normal 3 2 5 3 3 3 4 2 2" xfId="38518"/>
    <cellStyle name="Normal 3 2 5 3 3 3 4 3" xfId="22089"/>
    <cellStyle name="Normal 3 2 5 3 3 3 4 3 2" xfId="44513"/>
    <cellStyle name="Normal 3 2 5 3 3 3 4 4" xfId="31886"/>
    <cellStyle name="Normal 3 2 5 3 3 3 5" xfId="11779"/>
    <cellStyle name="Normal 3 2 5 3 3 3 5 2" xfId="35202"/>
    <cellStyle name="Normal 3 2 5 3 3 3 6" xfId="19228"/>
    <cellStyle name="Normal 3 2 5 3 3 3 6 2" xfId="41781"/>
    <cellStyle name="Normal 3 2 5 3 3 3 7" xfId="28570"/>
    <cellStyle name="Normal 3 2 5 3 3 4" xfId="3984"/>
    <cellStyle name="Normal 3 2 5 3 3 4 2" xfId="7014"/>
    <cellStyle name="Normal 3 2 5 3 3 4 2 2" xfId="10346"/>
    <cellStyle name="Normal 3 2 5 3 3 4 2 2 2" xfId="17050"/>
    <cellStyle name="Normal 3 2 5 3 3 4 2 2 2 2" xfId="40471"/>
    <cellStyle name="Normal 3 2 5 3 3 4 2 2 3" xfId="33839"/>
    <cellStyle name="Normal 3 2 5 3 3 4 2 3" xfId="13734"/>
    <cellStyle name="Normal 3 2 5 3 3 4 2 3 2" xfId="37155"/>
    <cellStyle name="Normal 3 2 5 3 3 4 2 4" xfId="22502"/>
    <cellStyle name="Normal 3 2 5 3 3 4 2 4 2" xfId="44924"/>
    <cellStyle name="Normal 3 2 5 3 3 4 2 5" xfId="30523"/>
    <cellStyle name="Normal 3 2 5 3 3 4 3" xfId="8681"/>
    <cellStyle name="Normal 3 2 5 3 3 4 3 2" xfId="15392"/>
    <cellStyle name="Normal 3 2 5 3 3 4 3 2 2" xfId="38813"/>
    <cellStyle name="Normal 3 2 5 3 3 4 3 3" xfId="32181"/>
    <cellStyle name="Normal 3 2 5 3 3 4 4" xfId="12074"/>
    <cellStyle name="Normal 3 2 5 3 3 4 4 2" xfId="35497"/>
    <cellStyle name="Normal 3 2 5 3 3 4 5" xfId="19660"/>
    <cellStyle name="Normal 3 2 5 3 3 4 5 2" xfId="42197"/>
    <cellStyle name="Normal 3 2 5 3 3 4 6" xfId="28865"/>
    <cellStyle name="Normal 3 2 5 3 3 5" xfId="6246"/>
    <cellStyle name="Normal 3 2 5 3 3 5 2" xfId="9580"/>
    <cellStyle name="Normal 3 2 5 3 3 5 2 2" xfId="16284"/>
    <cellStyle name="Normal 3 2 5 3 3 5 2 2 2" xfId="39705"/>
    <cellStyle name="Normal 3 2 5 3 3 5 2 3" xfId="33073"/>
    <cellStyle name="Normal 3 2 5 3 3 5 3" xfId="12968"/>
    <cellStyle name="Normal 3 2 5 3 3 5 3 2" xfId="36389"/>
    <cellStyle name="Normal 3 2 5 3 3 5 4" xfId="20850"/>
    <cellStyle name="Normal 3 2 5 3 3 5 4 2" xfId="43301"/>
    <cellStyle name="Normal 3 2 5 3 3 5 5" xfId="29757"/>
    <cellStyle name="Normal 3 2 5 3 3 6" xfId="7912"/>
    <cellStyle name="Normal 3 2 5 3 3 6 2" xfId="14626"/>
    <cellStyle name="Normal 3 2 5 3 3 6 2 2" xfId="38047"/>
    <cellStyle name="Normal 3 2 5 3 3 6 3" xfId="21652"/>
    <cellStyle name="Normal 3 2 5 3 3 6 3 2" xfId="44101"/>
    <cellStyle name="Normal 3 2 5 3 3 6 4" xfId="31415"/>
    <cellStyle name="Normal 3 2 5 3 3 7" xfId="11308"/>
    <cellStyle name="Normal 3 2 5 3 3 7 2" xfId="34731"/>
    <cellStyle name="Normal 3 2 5 3 3 8" xfId="18038"/>
    <cellStyle name="Normal 3 2 5 3 3 8 2" xfId="41328"/>
    <cellStyle name="Normal 3 2 5 3 3 9" xfId="23629"/>
    <cellStyle name="Normal 3 2 5 3 3 9 2" xfId="45919"/>
    <cellStyle name="Normal 3 2 5 3 4" xfId="2286"/>
    <cellStyle name="Normal 3 2 5 3 4 2" xfId="5534"/>
    <cellStyle name="Normal 3 2 5 3 4 2 2" xfId="7358"/>
    <cellStyle name="Normal 3 2 5 3 4 2 2 2" xfId="10689"/>
    <cellStyle name="Normal 3 2 5 3 4 2 2 2 2" xfId="17393"/>
    <cellStyle name="Normal 3 2 5 3 4 2 2 2 2 2" xfId="40814"/>
    <cellStyle name="Normal 3 2 5 3 4 2 2 2 3" xfId="23109"/>
    <cellStyle name="Normal 3 2 5 3 4 2 2 2 3 2" xfId="45531"/>
    <cellStyle name="Normal 3 2 5 3 4 2 2 2 4" xfId="34182"/>
    <cellStyle name="Normal 3 2 5 3 4 2 2 3" xfId="14077"/>
    <cellStyle name="Normal 3 2 5 3 4 2 2 3 2" xfId="37498"/>
    <cellStyle name="Normal 3 2 5 3 4 2 2 4" xfId="20283"/>
    <cellStyle name="Normal 3 2 5 3 4 2 2 4 2" xfId="42818"/>
    <cellStyle name="Normal 3 2 5 3 4 2 2 5" xfId="30866"/>
    <cellStyle name="Normal 3 2 5 3 4 2 3" xfId="9031"/>
    <cellStyle name="Normal 3 2 5 3 4 2 3 2" xfId="15735"/>
    <cellStyle name="Normal 3 2 5 3 4 2 3 2 2" xfId="39156"/>
    <cellStyle name="Normal 3 2 5 3 4 2 3 3" xfId="21311"/>
    <cellStyle name="Normal 3 2 5 3 4 2 3 3 2" xfId="43762"/>
    <cellStyle name="Normal 3 2 5 3 4 2 3 4" xfId="32524"/>
    <cellStyle name="Normal 3 2 5 3 4 2 4" xfId="12419"/>
    <cellStyle name="Normal 3 2 5 3 4 2 4 2" xfId="22296"/>
    <cellStyle name="Normal 3 2 5 3 4 2 4 2 2" xfId="44718"/>
    <cellStyle name="Normal 3 2 5 3 4 2 4 3" xfId="35840"/>
    <cellStyle name="Normal 3 2 5 3 4 2 5" xfId="19444"/>
    <cellStyle name="Normal 3 2 5 3 4 2 5 2" xfId="41986"/>
    <cellStyle name="Normal 3 2 5 3 4 2 6" xfId="29208"/>
    <cellStyle name="Normal 3 2 5 3 4 3" xfId="6455"/>
    <cellStyle name="Normal 3 2 5 3 4 3 2" xfId="9789"/>
    <cellStyle name="Normal 3 2 5 3 4 3 2 2" xfId="16493"/>
    <cellStyle name="Normal 3 2 5 3 4 3 2 2 2" xfId="39914"/>
    <cellStyle name="Normal 3 2 5 3 4 3 2 3" xfId="22703"/>
    <cellStyle name="Normal 3 2 5 3 4 3 2 3 2" xfId="45125"/>
    <cellStyle name="Normal 3 2 5 3 4 3 2 4" xfId="33282"/>
    <cellStyle name="Normal 3 2 5 3 4 3 3" xfId="13177"/>
    <cellStyle name="Normal 3 2 5 3 4 3 3 2" xfId="36598"/>
    <cellStyle name="Normal 3 2 5 3 4 3 4" xfId="19867"/>
    <cellStyle name="Normal 3 2 5 3 4 3 4 2" xfId="42402"/>
    <cellStyle name="Normal 3 2 5 3 4 3 5" xfId="29966"/>
    <cellStyle name="Normal 3 2 5 3 4 4" xfId="8122"/>
    <cellStyle name="Normal 3 2 5 3 4 4 2" xfId="14835"/>
    <cellStyle name="Normal 3 2 5 3 4 4 2 2" xfId="38256"/>
    <cellStyle name="Normal 3 2 5 3 4 4 3" xfId="20852"/>
    <cellStyle name="Normal 3 2 5 3 4 4 3 2" xfId="43303"/>
    <cellStyle name="Normal 3 2 5 3 4 4 4" xfId="31624"/>
    <cellStyle name="Normal 3 2 5 3 4 5" xfId="11517"/>
    <cellStyle name="Normal 3 2 5 3 4 5 2" xfId="21871"/>
    <cellStyle name="Normal 3 2 5 3 4 5 2 2" xfId="44304"/>
    <cellStyle name="Normal 3 2 5 3 4 5 3" xfId="34940"/>
    <cellStyle name="Normal 3 2 5 3 4 6" xfId="18719"/>
    <cellStyle name="Normal 3 2 5 3 4 6 2" xfId="41561"/>
    <cellStyle name="Normal 3 2 5 3 4 7" xfId="25862"/>
    <cellStyle name="Normal 3 2 5 3 4 7 2" xfId="48107"/>
    <cellStyle name="Normal 3 2 5 3 4 8" xfId="28308"/>
    <cellStyle name="Normal 3 2 5 3 5" xfId="2612"/>
    <cellStyle name="Normal 3 2 5 3 5 2" xfId="5705"/>
    <cellStyle name="Normal 3 2 5 3 5 2 2" xfId="7487"/>
    <cellStyle name="Normal 3 2 5 3 5 2 2 2" xfId="10816"/>
    <cellStyle name="Normal 3 2 5 3 5 2 2 2 2" xfId="17520"/>
    <cellStyle name="Normal 3 2 5 3 5 2 2 2 2 2" xfId="40941"/>
    <cellStyle name="Normal 3 2 5 3 5 2 2 2 3" xfId="34309"/>
    <cellStyle name="Normal 3 2 5 3 5 2 2 3" xfId="14204"/>
    <cellStyle name="Normal 3 2 5 3 5 2 2 3 2" xfId="37625"/>
    <cellStyle name="Normal 3 2 5 3 5 2 2 4" xfId="20596"/>
    <cellStyle name="Normal 3 2 5 3 5 2 2 4 2" xfId="43047"/>
    <cellStyle name="Normal 3 2 5 3 5 2 2 5" xfId="30993"/>
    <cellStyle name="Normal 3 2 5 3 5 2 3" xfId="9158"/>
    <cellStyle name="Normal 3 2 5 3 5 2 3 2" xfId="15862"/>
    <cellStyle name="Normal 3 2 5 3 5 2 3 2 2" xfId="39283"/>
    <cellStyle name="Normal 3 2 5 3 5 2 3 3" xfId="21514"/>
    <cellStyle name="Normal 3 2 5 3 5 2 3 3 2" xfId="43965"/>
    <cellStyle name="Normal 3 2 5 3 5 2 3 4" xfId="32651"/>
    <cellStyle name="Normal 3 2 5 3 5 2 4" xfId="12546"/>
    <cellStyle name="Normal 3 2 5 3 5 2 4 2" xfId="22905"/>
    <cellStyle name="Normal 3 2 5 3 5 2 4 2 2" xfId="45327"/>
    <cellStyle name="Normal 3 2 5 3 5 2 4 3" xfId="35967"/>
    <cellStyle name="Normal 3 2 5 3 5 2 5" xfId="20075"/>
    <cellStyle name="Normal 3 2 5 3 5 2 5 2" xfId="42610"/>
    <cellStyle name="Normal 3 2 5 3 5 2 6" xfId="29335"/>
    <cellStyle name="Normal 3 2 5 3 5 3" xfId="6588"/>
    <cellStyle name="Normal 3 2 5 3 5 3 2" xfId="9920"/>
    <cellStyle name="Normal 3 2 5 3 5 3 2 2" xfId="16624"/>
    <cellStyle name="Normal 3 2 5 3 5 3 2 2 2" xfId="40045"/>
    <cellStyle name="Normal 3 2 5 3 5 3 2 3" xfId="33413"/>
    <cellStyle name="Normal 3 2 5 3 5 3 3" xfId="13308"/>
    <cellStyle name="Normal 3 2 5 3 5 3 3 2" xfId="36729"/>
    <cellStyle name="Normal 3 2 5 3 5 3 4" xfId="20498"/>
    <cellStyle name="Normal 3 2 5 3 5 3 4 2" xfId="42951"/>
    <cellStyle name="Normal 3 2 5 3 5 3 5" xfId="30097"/>
    <cellStyle name="Normal 3 2 5 3 5 4" xfId="8254"/>
    <cellStyle name="Normal 3 2 5 3 5 4 2" xfId="14966"/>
    <cellStyle name="Normal 3 2 5 3 5 4 2 2" xfId="38387"/>
    <cellStyle name="Normal 3 2 5 3 5 4 3" xfId="21055"/>
    <cellStyle name="Normal 3 2 5 3 5 4 3 2" xfId="43506"/>
    <cellStyle name="Normal 3 2 5 3 5 4 4" xfId="31755"/>
    <cellStyle name="Normal 3 2 5 3 5 5" xfId="11648"/>
    <cellStyle name="Normal 3 2 5 3 5 5 2" xfId="22086"/>
    <cellStyle name="Normal 3 2 5 3 5 5 2 2" xfId="44510"/>
    <cellStyle name="Normal 3 2 5 3 5 5 3" xfId="35071"/>
    <cellStyle name="Normal 3 2 5 3 5 6" xfId="19225"/>
    <cellStyle name="Normal 3 2 5 3 5 6 2" xfId="41778"/>
    <cellStyle name="Normal 3 2 5 3 5 7" xfId="28439"/>
    <cellStyle name="Normal 3 2 5 3 6" xfId="3981"/>
    <cellStyle name="Normal 3 2 5 3 6 2" xfId="7011"/>
    <cellStyle name="Normal 3 2 5 3 6 2 2" xfId="10343"/>
    <cellStyle name="Normal 3 2 5 3 6 2 2 2" xfId="17047"/>
    <cellStyle name="Normal 3 2 5 3 6 2 2 2 2" xfId="40468"/>
    <cellStyle name="Normal 3 2 5 3 6 2 2 3" xfId="33836"/>
    <cellStyle name="Normal 3 2 5 3 6 2 3" xfId="13731"/>
    <cellStyle name="Normal 3 2 5 3 6 2 3 2" xfId="37152"/>
    <cellStyle name="Normal 3 2 5 3 6 2 4" xfId="20547"/>
    <cellStyle name="Normal 3 2 5 3 6 2 4 2" xfId="42999"/>
    <cellStyle name="Normal 3 2 5 3 6 2 5" xfId="30520"/>
    <cellStyle name="Normal 3 2 5 3 6 3" xfId="8678"/>
    <cellStyle name="Normal 3 2 5 3 6 3 2" xfId="15389"/>
    <cellStyle name="Normal 3 2 5 3 6 3 2 2" xfId="38810"/>
    <cellStyle name="Normal 3 2 5 3 6 3 3" xfId="21304"/>
    <cellStyle name="Normal 3 2 5 3 6 3 3 2" xfId="43755"/>
    <cellStyle name="Normal 3 2 5 3 6 3 4" xfId="32178"/>
    <cellStyle name="Normal 3 2 5 3 6 4" xfId="12071"/>
    <cellStyle name="Normal 3 2 5 3 6 4 2" xfId="22499"/>
    <cellStyle name="Normal 3 2 5 3 6 4 2 2" xfId="44921"/>
    <cellStyle name="Normal 3 2 5 3 6 4 3" xfId="35494"/>
    <cellStyle name="Normal 3 2 5 3 6 5" xfId="19657"/>
    <cellStyle name="Normal 3 2 5 3 6 5 2" xfId="42194"/>
    <cellStyle name="Normal 3 2 5 3 6 6" xfId="28862"/>
    <cellStyle name="Normal 3 2 5 3 7" xfId="6115"/>
    <cellStyle name="Normal 3 2 5 3 7 2" xfId="9449"/>
    <cellStyle name="Normal 3 2 5 3 7 2 2" xfId="16153"/>
    <cellStyle name="Normal 3 2 5 3 7 2 2 2" xfId="39574"/>
    <cellStyle name="Normal 3 2 5 3 7 2 3" xfId="32942"/>
    <cellStyle name="Normal 3 2 5 3 7 3" xfId="12837"/>
    <cellStyle name="Normal 3 2 5 3 7 3 2" xfId="36258"/>
    <cellStyle name="Normal 3 2 5 3 7 4" xfId="18390"/>
    <cellStyle name="Normal 3 2 5 3 7 4 2" xfId="41441"/>
    <cellStyle name="Normal 3 2 5 3 7 5" xfId="29626"/>
    <cellStyle name="Normal 3 2 5 3 8" xfId="7781"/>
    <cellStyle name="Normal 3 2 5 3 8 2" xfId="14495"/>
    <cellStyle name="Normal 3 2 5 3 8 2 2" xfId="37916"/>
    <cellStyle name="Normal 3 2 5 3 8 3" xfId="20845"/>
    <cellStyle name="Normal 3 2 5 3 8 3 2" xfId="43296"/>
    <cellStyle name="Normal 3 2 5 3 8 4" xfId="31284"/>
    <cellStyle name="Normal 3 2 5 3 9" xfId="11177"/>
    <cellStyle name="Normal 3 2 5 3 9 2" xfId="21649"/>
    <cellStyle name="Normal 3 2 5 3 9 2 2" xfId="44098"/>
    <cellStyle name="Normal 3 2 5 3 9 3" xfId="34600"/>
    <cellStyle name="Normal 3 2 5 4" xfId="1614"/>
    <cellStyle name="Normal 3 2 5 4 10" xfId="23630"/>
    <cellStyle name="Normal 3 2 5 4 10 2" xfId="45920"/>
    <cellStyle name="Normal 3 2 5 4 11" xfId="28034"/>
    <cellStyle name="Normal 3 2 5 4 2" xfId="1813"/>
    <cellStyle name="Normal 3 2 5 4 2 10" xfId="28165"/>
    <cellStyle name="Normal 3 2 5 4 2 2" xfId="2291"/>
    <cellStyle name="Normal 3 2 5 4 2 2 2" xfId="5539"/>
    <cellStyle name="Normal 3 2 5 4 2 2 2 2" xfId="7363"/>
    <cellStyle name="Normal 3 2 5 4 2 2 2 2 2" xfId="10694"/>
    <cellStyle name="Normal 3 2 5 4 2 2 2 2 2 2" xfId="17398"/>
    <cellStyle name="Normal 3 2 5 4 2 2 2 2 2 2 2" xfId="40819"/>
    <cellStyle name="Normal 3 2 5 4 2 2 2 2 2 3" xfId="23114"/>
    <cellStyle name="Normal 3 2 5 4 2 2 2 2 2 3 2" xfId="45536"/>
    <cellStyle name="Normal 3 2 5 4 2 2 2 2 2 4" xfId="34187"/>
    <cellStyle name="Normal 3 2 5 4 2 2 2 2 3" xfId="14082"/>
    <cellStyle name="Normal 3 2 5 4 2 2 2 2 3 2" xfId="37503"/>
    <cellStyle name="Normal 3 2 5 4 2 2 2 2 4" xfId="20288"/>
    <cellStyle name="Normal 3 2 5 4 2 2 2 2 4 2" xfId="42823"/>
    <cellStyle name="Normal 3 2 5 4 2 2 2 2 5" xfId="30871"/>
    <cellStyle name="Normal 3 2 5 4 2 2 2 3" xfId="9036"/>
    <cellStyle name="Normal 3 2 5 4 2 2 2 3 2" xfId="15740"/>
    <cellStyle name="Normal 3 2 5 4 2 2 2 3 2 2" xfId="39161"/>
    <cellStyle name="Normal 3 2 5 4 2 2 2 3 3" xfId="21314"/>
    <cellStyle name="Normal 3 2 5 4 2 2 2 3 3 2" xfId="43765"/>
    <cellStyle name="Normal 3 2 5 4 2 2 2 3 4" xfId="32529"/>
    <cellStyle name="Normal 3 2 5 4 2 2 2 4" xfId="12424"/>
    <cellStyle name="Normal 3 2 5 4 2 2 2 4 2" xfId="22301"/>
    <cellStyle name="Normal 3 2 5 4 2 2 2 4 2 2" xfId="44723"/>
    <cellStyle name="Normal 3 2 5 4 2 2 2 4 3" xfId="35845"/>
    <cellStyle name="Normal 3 2 5 4 2 2 2 5" xfId="19449"/>
    <cellStyle name="Normal 3 2 5 4 2 2 2 5 2" xfId="41991"/>
    <cellStyle name="Normal 3 2 5 4 2 2 2 6" xfId="29213"/>
    <cellStyle name="Normal 3 2 5 4 2 2 3" xfId="6460"/>
    <cellStyle name="Normal 3 2 5 4 2 2 3 2" xfId="9794"/>
    <cellStyle name="Normal 3 2 5 4 2 2 3 2 2" xfId="16498"/>
    <cellStyle name="Normal 3 2 5 4 2 2 3 2 2 2" xfId="39919"/>
    <cellStyle name="Normal 3 2 5 4 2 2 3 2 3" xfId="22708"/>
    <cellStyle name="Normal 3 2 5 4 2 2 3 2 3 2" xfId="45130"/>
    <cellStyle name="Normal 3 2 5 4 2 2 3 2 4" xfId="33287"/>
    <cellStyle name="Normal 3 2 5 4 2 2 3 3" xfId="13182"/>
    <cellStyle name="Normal 3 2 5 4 2 2 3 3 2" xfId="36603"/>
    <cellStyle name="Normal 3 2 5 4 2 2 3 4" xfId="19872"/>
    <cellStyle name="Normal 3 2 5 4 2 2 3 4 2" xfId="42407"/>
    <cellStyle name="Normal 3 2 5 4 2 2 3 5" xfId="29971"/>
    <cellStyle name="Normal 3 2 5 4 2 2 4" xfId="8127"/>
    <cellStyle name="Normal 3 2 5 4 2 2 4 2" xfId="14840"/>
    <cellStyle name="Normal 3 2 5 4 2 2 4 2 2" xfId="38261"/>
    <cellStyle name="Normal 3 2 5 4 2 2 4 3" xfId="20855"/>
    <cellStyle name="Normal 3 2 5 4 2 2 4 3 2" xfId="43306"/>
    <cellStyle name="Normal 3 2 5 4 2 2 4 4" xfId="31629"/>
    <cellStyle name="Normal 3 2 5 4 2 2 5" xfId="11522"/>
    <cellStyle name="Normal 3 2 5 4 2 2 5 2" xfId="21876"/>
    <cellStyle name="Normal 3 2 5 4 2 2 5 2 2" xfId="44309"/>
    <cellStyle name="Normal 3 2 5 4 2 2 5 3" xfId="34945"/>
    <cellStyle name="Normal 3 2 5 4 2 2 6" xfId="18724"/>
    <cellStyle name="Normal 3 2 5 4 2 2 6 2" xfId="41566"/>
    <cellStyle name="Normal 3 2 5 4 2 2 7" xfId="25867"/>
    <cellStyle name="Normal 3 2 5 4 2 2 7 2" xfId="48112"/>
    <cellStyle name="Normal 3 2 5 4 2 2 8" xfId="28313"/>
    <cellStyle name="Normal 3 2 5 4 2 3" xfId="2810"/>
    <cellStyle name="Normal 3 2 5 4 2 3 2" xfId="5902"/>
    <cellStyle name="Normal 3 2 5 4 2 3 2 2" xfId="7684"/>
    <cellStyle name="Normal 3 2 5 4 2 3 2 2 2" xfId="11013"/>
    <cellStyle name="Normal 3 2 5 4 2 3 2 2 2 2" xfId="17717"/>
    <cellStyle name="Normal 3 2 5 4 2 3 2 2 2 2 2" xfId="41138"/>
    <cellStyle name="Normal 3 2 5 4 2 3 2 2 2 3" xfId="34506"/>
    <cellStyle name="Normal 3 2 5 4 2 3 2 2 3" xfId="14401"/>
    <cellStyle name="Normal 3 2 5 4 2 3 2 2 3 2" xfId="37822"/>
    <cellStyle name="Normal 3 2 5 4 2 3 2 2 4" xfId="22910"/>
    <cellStyle name="Normal 3 2 5 4 2 3 2 2 4 2" xfId="45332"/>
    <cellStyle name="Normal 3 2 5 4 2 3 2 2 5" xfId="31190"/>
    <cellStyle name="Normal 3 2 5 4 2 3 2 3" xfId="9355"/>
    <cellStyle name="Normal 3 2 5 4 2 3 2 3 2" xfId="16059"/>
    <cellStyle name="Normal 3 2 5 4 2 3 2 3 2 2" xfId="39480"/>
    <cellStyle name="Normal 3 2 5 4 2 3 2 3 3" xfId="32848"/>
    <cellStyle name="Normal 3 2 5 4 2 3 2 4" xfId="12743"/>
    <cellStyle name="Normal 3 2 5 4 2 3 2 4 2" xfId="36164"/>
    <cellStyle name="Normal 3 2 5 4 2 3 2 5" xfId="20080"/>
    <cellStyle name="Normal 3 2 5 4 2 3 2 5 2" xfId="42615"/>
    <cellStyle name="Normal 3 2 5 4 2 3 2 6" xfId="29532"/>
    <cellStyle name="Normal 3 2 5 4 2 3 3" xfId="6785"/>
    <cellStyle name="Normal 3 2 5 4 2 3 3 2" xfId="10117"/>
    <cellStyle name="Normal 3 2 5 4 2 3 3 2 2" xfId="16821"/>
    <cellStyle name="Normal 3 2 5 4 2 3 3 2 2 2" xfId="40242"/>
    <cellStyle name="Normal 3 2 5 4 2 3 3 2 3" xfId="33610"/>
    <cellStyle name="Normal 3 2 5 4 2 3 3 3" xfId="13505"/>
    <cellStyle name="Normal 3 2 5 4 2 3 3 3 2" xfId="36926"/>
    <cellStyle name="Normal 3 2 5 4 2 3 3 4" xfId="21313"/>
    <cellStyle name="Normal 3 2 5 4 2 3 3 4 2" xfId="43764"/>
    <cellStyle name="Normal 3 2 5 4 2 3 3 5" xfId="30294"/>
    <cellStyle name="Normal 3 2 5 4 2 3 4" xfId="8451"/>
    <cellStyle name="Normal 3 2 5 4 2 3 4 2" xfId="15163"/>
    <cellStyle name="Normal 3 2 5 4 2 3 4 2 2" xfId="38584"/>
    <cellStyle name="Normal 3 2 5 4 2 3 4 3" xfId="22091"/>
    <cellStyle name="Normal 3 2 5 4 2 3 4 3 2" xfId="44515"/>
    <cellStyle name="Normal 3 2 5 4 2 3 4 4" xfId="31952"/>
    <cellStyle name="Normal 3 2 5 4 2 3 5" xfId="11845"/>
    <cellStyle name="Normal 3 2 5 4 2 3 5 2" xfId="35268"/>
    <cellStyle name="Normal 3 2 5 4 2 3 6" xfId="19230"/>
    <cellStyle name="Normal 3 2 5 4 2 3 6 2" xfId="41783"/>
    <cellStyle name="Normal 3 2 5 4 2 3 7" xfId="28636"/>
    <cellStyle name="Normal 3 2 5 4 2 4" xfId="3986"/>
    <cellStyle name="Normal 3 2 5 4 2 4 2" xfId="7016"/>
    <cellStyle name="Normal 3 2 5 4 2 4 2 2" xfId="10348"/>
    <cellStyle name="Normal 3 2 5 4 2 4 2 2 2" xfId="17052"/>
    <cellStyle name="Normal 3 2 5 4 2 4 2 2 2 2" xfId="40473"/>
    <cellStyle name="Normal 3 2 5 4 2 4 2 2 3" xfId="33841"/>
    <cellStyle name="Normal 3 2 5 4 2 4 2 3" xfId="13736"/>
    <cellStyle name="Normal 3 2 5 4 2 4 2 3 2" xfId="37157"/>
    <cellStyle name="Normal 3 2 5 4 2 4 2 4" xfId="22504"/>
    <cellStyle name="Normal 3 2 5 4 2 4 2 4 2" xfId="44926"/>
    <cellStyle name="Normal 3 2 5 4 2 4 2 5" xfId="30525"/>
    <cellStyle name="Normal 3 2 5 4 2 4 3" xfId="8683"/>
    <cellStyle name="Normal 3 2 5 4 2 4 3 2" xfId="15394"/>
    <cellStyle name="Normal 3 2 5 4 2 4 3 2 2" xfId="38815"/>
    <cellStyle name="Normal 3 2 5 4 2 4 3 3" xfId="32183"/>
    <cellStyle name="Normal 3 2 5 4 2 4 4" xfId="12076"/>
    <cellStyle name="Normal 3 2 5 4 2 4 4 2" xfId="35499"/>
    <cellStyle name="Normal 3 2 5 4 2 4 5" xfId="19662"/>
    <cellStyle name="Normal 3 2 5 4 2 4 5 2" xfId="42199"/>
    <cellStyle name="Normal 3 2 5 4 2 4 6" xfId="28867"/>
    <cellStyle name="Normal 3 2 5 4 2 5" xfId="6312"/>
    <cellStyle name="Normal 3 2 5 4 2 5 2" xfId="9646"/>
    <cellStyle name="Normal 3 2 5 4 2 5 2 2" xfId="16350"/>
    <cellStyle name="Normal 3 2 5 4 2 5 2 2 2" xfId="39771"/>
    <cellStyle name="Normal 3 2 5 4 2 5 2 3" xfId="33139"/>
    <cellStyle name="Normal 3 2 5 4 2 5 3" xfId="13034"/>
    <cellStyle name="Normal 3 2 5 4 2 5 3 2" xfId="36455"/>
    <cellStyle name="Normal 3 2 5 4 2 5 4" xfId="20854"/>
    <cellStyle name="Normal 3 2 5 4 2 5 4 2" xfId="43305"/>
    <cellStyle name="Normal 3 2 5 4 2 5 5" xfId="29823"/>
    <cellStyle name="Normal 3 2 5 4 2 6" xfId="7978"/>
    <cellStyle name="Normal 3 2 5 4 2 6 2" xfId="14692"/>
    <cellStyle name="Normal 3 2 5 4 2 6 2 2" xfId="38113"/>
    <cellStyle name="Normal 3 2 5 4 2 6 3" xfId="21654"/>
    <cellStyle name="Normal 3 2 5 4 2 6 3 2" xfId="44103"/>
    <cellStyle name="Normal 3 2 5 4 2 6 4" xfId="31481"/>
    <cellStyle name="Normal 3 2 5 4 2 7" xfId="11374"/>
    <cellStyle name="Normal 3 2 5 4 2 7 2" xfId="34797"/>
    <cellStyle name="Normal 3 2 5 4 2 8" xfId="18040"/>
    <cellStyle name="Normal 3 2 5 4 2 8 2" xfId="41330"/>
    <cellStyle name="Normal 3 2 5 4 2 9" xfId="23631"/>
    <cellStyle name="Normal 3 2 5 4 2 9 2" xfId="45921"/>
    <cellStyle name="Normal 3 2 5 4 3" xfId="2290"/>
    <cellStyle name="Normal 3 2 5 4 3 2" xfId="5538"/>
    <cellStyle name="Normal 3 2 5 4 3 2 2" xfId="7362"/>
    <cellStyle name="Normal 3 2 5 4 3 2 2 2" xfId="10693"/>
    <cellStyle name="Normal 3 2 5 4 3 2 2 2 2" xfId="17397"/>
    <cellStyle name="Normal 3 2 5 4 3 2 2 2 2 2" xfId="40818"/>
    <cellStyle name="Normal 3 2 5 4 3 2 2 2 3" xfId="23113"/>
    <cellStyle name="Normal 3 2 5 4 3 2 2 2 3 2" xfId="45535"/>
    <cellStyle name="Normal 3 2 5 4 3 2 2 2 4" xfId="34186"/>
    <cellStyle name="Normal 3 2 5 4 3 2 2 3" xfId="14081"/>
    <cellStyle name="Normal 3 2 5 4 3 2 2 3 2" xfId="37502"/>
    <cellStyle name="Normal 3 2 5 4 3 2 2 4" xfId="20287"/>
    <cellStyle name="Normal 3 2 5 4 3 2 2 4 2" xfId="42822"/>
    <cellStyle name="Normal 3 2 5 4 3 2 2 5" xfId="30870"/>
    <cellStyle name="Normal 3 2 5 4 3 2 3" xfId="9035"/>
    <cellStyle name="Normal 3 2 5 4 3 2 3 2" xfId="15739"/>
    <cellStyle name="Normal 3 2 5 4 3 2 3 2 2" xfId="39160"/>
    <cellStyle name="Normal 3 2 5 4 3 2 3 3" xfId="21315"/>
    <cellStyle name="Normal 3 2 5 4 3 2 3 3 2" xfId="43766"/>
    <cellStyle name="Normal 3 2 5 4 3 2 3 4" xfId="32528"/>
    <cellStyle name="Normal 3 2 5 4 3 2 4" xfId="12423"/>
    <cellStyle name="Normal 3 2 5 4 3 2 4 2" xfId="22300"/>
    <cellStyle name="Normal 3 2 5 4 3 2 4 2 2" xfId="44722"/>
    <cellStyle name="Normal 3 2 5 4 3 2 4 3" xfId="35844"/>
    <cellStyle name="Normal 3 2 5 4 3 2 5" xfId="19448"/>
    <cellStyle name="Normal 3 2 5 4 3 2 5 2" xfId="41990"/>
    <cellStyle name="Normal 3 2 5 4 3 2 6" xfId="29212"/>
    <cellStyle name="Normal 3 2 5 4 3 3" xfId="6459"/>
    <cellStyle name="Normal 3 2 5 4 3 3 2" xfId="9793"/>
    <cellStyle name="Normal 3 2 5 4 3 3 2 2" xfId="16497"/>
    <cellStyle name="Normal 3 2 5 4 3 3 2 2 2" xfId="39918"/>
    <cellStyle name="Normal 3 2 5 4 3 3 2 3" xfId="22707"/>
    <cellStyle name="Normal 3 2 5 4 3 3 2 3 2" xfId="45129"/>
    <cellStyle name="Normal 3 2 5 4 3 3 2 4" xfId="33286"/>
    <cellStyle name="Normal 3 2 5 4 3 3 3" xfId="13181"/>
    <cellStyle name="Normal 3 2 5 4 3 3 3 2" xfId="36602"/>
    <cellStyle name="Normal 3 2 5 4 3 3 4" xfId="19871"/>
    <cellStyle name="Normal 3 2 5 4 3 3 4 2" xfId="42406"/>
    <cellStyle name="Normal 3 2 5 4 3 3 5" xfId="29970"/>
    <cellStyle name="Normal 3 2 5 4 3 4" xfId="8126"/>
    <cellStyle name="Normal 3 2 5 4 3 4 2" xfId="14839"/>
    <cellStyle name="Normal 3 2 5 4 3 4 2 2" xfId="38260"/>
    <cellStyle name="Normal 3 2 5 4 3 4 3" xfId="20856"/>
    <cellStyle name="Normal 3 2 5 4 3 4 3 2" xfId="43307"/>
    <cellStyle name="Normal 3 2 5 4 3 4 4" xfId="31628"/>
    <cellStyle name="Normal 3 2 5 4 3 5" xfId="11521"/>
    <cellStyle name="Normal 3 2 5 4 3 5 2" xfId="21875"/>
    <cellStyle name="Normal 3 2 5 4 3 5 2 2" xfId="44308"/>
    <cellStyle name="Normal 3 2 5 4 3 5 3" xfId="34944"/>
    <cellStyle name="Normal 3 2 5 4 3 6" xfId="18723"/>
    <cellStyle name="Normal 3 2 5 4 3 6 2" xfId="41565"/>
    <cellStyle name="Normal 3 2 5 4 3 7" xfId="25866"/>
    <cellStyle name="Normal 3 2 5 4 3 7 2" xfId="48111"/>
    <cellStyle name="Normal 3 2 5 4 3 8" xfId="28312"/>
    <cellStyle name="Normal 3 2 5 4 4" xfId="2678"/>
    <cellStyle name="Normal 3 2 5 4 4 2" xfId="5771"/>
    <cellStyle name="Normal 3 2 5 4 4 2 2" xfId="7553"/>
    <cellStyle name="Normal 3 2 5 4 4 2 2 2" xfId="10882"/>
    <cellStyle name="Normal 3 2 5 4 4 2 2 2 2" xfId="17586"/>
    <cellStyle name="Normal 3 2 5 4 4 2 2 2 2 2" xfId="41007"/>
    <cellStyle name="Normal 3 2 5 4 4 2 2 2 3" xfId="34375"/>
    <cellStyle name="Normal 3 2 5 4 4 2 2 3" xfId="14270"/>
    <cellStyle name="Normal 3 2 5 4 4 2 2 3 2" xfId="37691"/>
    <cellStyle name="Normal 3 2 5 4 4 2 2 4" xfId="22909"/>
    <cellStyle name="Normal 3 2 5 4 4 2 2 4 2" xfId="45331"/>
    <cellStyle name="Normal 3 2 5 4 4 2 2 5" xfId="31059"/>
    <cellStyle name="Normal 3 2 5 4 4 2 3" xfId="9224"/>
    <cellStyle name="Normal 3 2 5 4 4 2 3 2" xfId="15928"/>
    <cellStyle name="Normal 3 2 5 4 4 2 3 2 2" xfId="39349"/>
    <cellStyle name="Normal 3 2 5 4 4 2 3 3" xfId="32717"/>
    <cellStyle name="Normal 3 2 5 4 4 2 4" xfId="12612"/>
    <cellStyle name="Normal 3 2 5 4 4 2 4 2" xfId="36033"/>
    <cellStyle name="Normal 3 2 5 4 4 2 5" xfId="20079"/>
    <cellStyle name="Normal 3 2 5 4 4 2 5 2" xfId="42614"/>
    <cellStyle name="Normal 3 2 5 4 4 2 6" xfId="29401"/>
    <cellStyle name="Normal 3 2 5 4 4 3" xfId="6654"/>
    <cellStyle name="Normal 3 2 5 4 4 3 2" xfId="9986"/>
    <cellStyle name="Normal 3 2 5 4 4 3 2 2" xfId="16690"/>
    <cellStyle name="Normal 3 2 5 4 4 3 2 2 2" xfId="40111"/>
    <cellStyle name="Normal 3 2 5 4 4 3 2 3" xfId="33479"/>
    <cellStyle name="Normal 3 2 5 4 4 3 3" xfId="13374"/>
    <cellStyle name="Normal 3 2 5 4 4 3 3 2" xfId="36795"/>
    <cellStyle name="Normal 3 2 5 4 4 3 4" xfId="21312"/>
    <cellStyle name="Normal 3 2 5 4 4 3 4 2" xfId="43763"/>
    <cellStyle name="Normal 3 2 5 4 4 3 5" xfId="30163"/>
    <cellStyle name="Normal 3 2 5 4 4 4" xfId="8320"/>
    <cellStyle name="Normal 3 2 5 4 4 4 2" xfId="15032"/>
    <cellStyle name="Normal 3 2 5 4 4 4 2 2" xfId="38453"/>
    <cellStyle name="Normal 3 2 5 4 4 4 3" xfId="22090"/>
    <cellStyle name="Normal 3 2 5 4 4 4 3 2" xfId="44514"/>
    <cellStyle name="Normal 3 2 5 4 4 4 4" xfId="31821"/>
    <cellStyle name="Normal 3 2 5 4 4 5" xfId="11714"/>
    <cellStyle name="Normal 3 2 5 4 4 5 2" xfId="35137"/>
    <cellStyle name="Normal 3 2 5 4 4 6" xfId="19229"/>
    <cellStyle name="Normal 3 2 5 4 4 6 2" xfId="41782"/>
    <cellStyle name="Normal 3 2 5 4 4 7" xfId="28505"/>
    <cellStyle name="Normal 3 2 5 4 5" xfId="3985"/>
    <cellStyle name="Normal 3 2 5 4 5 2" xfId="7015"/>
    <cellStyle name="Normal 3 2 5 4 5 2 2" xfId="10347"/>
    <cellStyle name="Normal 3 2 5 4 5 2 2 2" xfId="17051"/>
    <cellStyle name="Normal 3 2 5 4 5 2 2 2 2" xfId="40472"/>
    <cellStyle name="Normal 3 2 5 4 5 2 2 3" xfId="33840"/>
    <cellStyle name="Normal 3 2 5 4 5 2 3" xfId="13735"/>
    <cellStyle name="Normal 3 2 5 4 5 2 3 2" xfId="37156"/>
    <cellStyle name="Normal 3 2 5 4 5 2 4" xfId="22503"/>
    <cellStyle name="Normal 3 2 5 4 5 2 4 2" xfId="44925"/>
    <cellStyle name="Normal 3 2 5 4 5 2 5" xfId="30524"/>
    <cellStyle name="Normal 3 2 5 4 5 3" xfId="8682"/>
    <cellStyle name="Normal 3 2 5 4 5 3 2" xfId="15393"/>
    <cellStyle name="Normal 3 2 5 4 5 3 2 2" xfId="38814"/>
    <cellStyle name="Normal 3 2 5 4 5 3 3" xfId="32182"/>
    <cellStyle name="Normal 3 2 5 4 5 4" xfId="12075"/>
    <cellStyle name="Normal 3 2 5 4 5 4 2" xfId="35498"/>
    <cellStyle name="Normal 3 2 5 4 5 5" xfId="19661"/>
    <cellStyle name="Normal 3 2 5 4 5 5 2" xfId="42198"/>
    <cellStyle name="Normal 3 2 5 4 5 6" xfId="28866"/>
    <cellStyle name="Normal 3 2 5 4 6" xfId="6181"/>
    <cellStyle name="Normal 3 2 5 4 6 2" xfId="9515"/>
    <cellStyle name="Normal 3 2 5 4 6 2 2" xfId="16219"/>
    <cellStyle name="Normal 3 2 5 4 6 2 2 2" xfId="39640"/>
    <cellStyle name="Normal 3 2 5 4 6 2 3" xfId="33008"/>
    <cellStyle name="Normal 3 2 5 4 6 3" xfId="12903"/>
    <cellStyle name="Normal 3 2 5 4 6 3 2" xfId="36324"/>
    <cellStyle name="Normal 3 2 5 4 6 4" xfId="20853"/>
    <cellStyle name="Normal 3 2 5 4 6 4 2" xfId="43304"/>
    <cellStyle name="Normal 3 2 5 4 6 5" xfId="29692"/>
    <cellStyle name="Normal 3 2 5 4 7" xfId="7847"/>
    <cellStyle name="Normal 3 2 5 4 7 2" xfId="14561"/>
    <cellStyle name="Normal 3 2 5 4 7 2 2" xfId="37982"/>
    <cellStyle name="Normal 3 2 5 4 7 3" xfId="21653"/>
    <cellStyle name="Normal 3 2 5 4 7 3 2" xfId="44102"/>
    <cellStyle name="Normal 3 2 5 4 7 4" xfId="31350"/>
    <cellStyle name="Normal 3 2 5 4 8" xfId="11243"/>
    <cellStyle name="Normal 3 2 5 4 8 2" xfId="34666"/>
    <cellStyle name="Normal 3 2 5 4 9" xfId="18039"/>
    <cellStyle name="Normal 3 2 5 4 9 2" xfId="41329"/>
    <cellStyle name="Normal 3 2 5 5" xfId="1710"/>
    <cellStyle name="Normal 3 2 5 5 10" xfId="28063"/>
    <cellStyle name="Normal 3 2 5 5 2" xfId="2292"/>
    <cellStyle name="Normal 3 2 5 5 2 2" xfId="5540"/>
    <cellStyle name="Normal 3 2 5 5 2 2 2" xfId="7364"/>
    <cellStyle name="Normal 3 2 5 5 2 2 2 2" xfId="10695"/>
    <cellStyle name="Normal 3 2 5 5 2 2 2 2 2" xfId="17399"/>
    <cellStyle name="Normal 3 2 5 5 2 2 2 2 2 2" xfId="40820"/>
    <cellStyle name="Normal 3 2 5 5 2 2 2 2 3" xfId="23115"/>
    <cellStyle name="Normal 3 2 5 5 2 2 2 2 3 2" xfId="45537"/>
    <cellStyle name="Normal 3 2 5 5 2 2 2 2 4" xfId="34188"/>
    <cellStyle name="Normal 3 2 5 5 2 2 2 3" xfId="14083"/>
    <cellStyle name="Normal 3 2 5 5 2 2 2 3 2" xfId="37504"/>
    <cellStyle name="Normal 3 2 5 5 2 2 2 4" xfId="20289"/>
    <cellStyle name="Normal 3 2 5 5 2 2 2 4 2" xfId="42824"/>
    <cellStyle name="Normal 3 2 5 5 2 2 2 5" xfId="30872"/>
    <cellStyle name="Normal 3 2 5 5 2 2 3" xfId="9037"/>
    <cellStyle name="Normal 3 2 5 5 2 2 3 2" xfId="15741"/>
    <cellStyle name="Normal 3 2 5 5 2 2 3 2 2" xfId="39162"/>
    <cellStyle name="Normal 3 2 5 5 2 2 3 3" xfId="21317"/>
    <cellStyle name="Normal 3 2 5 5 2 2 3 3 2" xfId="43768"/>
    <cellStyle name="Normal 3 2 5 5 2 2 3 4" xfId="32530"/>
    <cellStyle name="Normal 3 2 5 5 2 2 4" xfId="12425"/>
    <cellStyle name="Normal 3 2 5 5 2 2 4 2" xfId="22302"/>
    <cellStyle name="Normal 3 2 5 5 2 2 4 2 2" xfId="44724"/>
    <cellStyle name="Normal 3 2 5 5 2 2 4 3" xfId="35846"/>
    <cellStyle name="Normal 3 2 5 5 2 2 5" xfId="19450"/>
    <cellStyle name="Normal 3 2 5 5 2 2 5 2" xfId="41992"/>
    <cellStyle name="Normal 3 2 5 5 2 2 6" xfId="29214"/>
    <cellStyle name="Normal 3 2 5 5 2 3" xfId="6461"/>
    <cellStyle name="Normal 3 2 5 5 2 3 2" xfId="9795"/>
    <cellStyle name="Normal 3 2 5 5 2 3 2 2" xfId="16499"/>
    <cellStyle name="Normal 3 2 5 5 2 3 2 2 2" xfId="39920"/>
    <cellStyle name="Normal 3 2 5 5 2 3 2 3" xfId="22709"/>
    <cellStyle name="Normal 3 2 5 5 2 3 2 3 2" xfId="45131"/>
    <cellStyle name="Normal 3 2 5 5 2 3 2 4" xfId="33288"/>
    <cellStyle name="Normal 3 2 5 5 2 3 3" xfId="13183"/>
    <cellStyle name="Normal 3 2 5 5 2 3 3 2" xfId="36604"/>
    <cellStyle name="Normal 3 2 5 5 2 3 4" xfId="19873"/>
    <cellStyle name="Normal 3 2 5 5 2 3 4 2" xfId="42408"/>
    <cellStyle name="Normal 3 2 5 5 2 3 5" xfId="29972"/>
    <cellStyle name="Normal 3 2 5 5 2 4" xfId="8128"/>
    <cellStyle name="Normal 3 2 5 5 2 4 2" xfId="14841"/>
    <cellStyle name="Normal 3 2 5 5 2 4 2 2" xfId="38262"/>
    <cellStyle name="Normal 3 2 5 5 2 4 3" xfId="20858"/>
    <cellStyle name="Normal 3 2 5 5 2 4 3 2" xfId="43309"/>
    <cellStyle name="Normal 3 2 5 5 2 4 4" xfId="31630"/>
    <cellStyle name="Normal 3 2 5 5 2 5" xfId="11523"/>
    <cellStyle name="Normal 3 2 5 5 2 5 2" xfId="21877"/>
    <cellStyle name="Normal 3 2 5 5 2 5 2 2" xfId="44310"/>
    <cellStyle name="Normal 3 2 5 5 2 5 3" xfId="34946"/>
    <cellStyle name="Normal 3 2 5 5 2 6" xfId="18725"/>
    <cellStyle name="Normal 3 2 5 5 2 6 2" xfId="41567"/>
    <cellStyle name="Normal 3 2 5 5 2 7" xfId="25868"/>
    <cellStyle name="Normal 3 2 5 5 2 7 2" xfId="48113"/>
    <cellStyle name="Normal 3 2 5 5 2 8" xfId="28314"/>
    <cellStyle name="Normal 3 2 5 5 3" xfId="2708"/>
    <cellStyle name="Normal 3 2 5 5 3 2" xfId="5800"/>
    <cellStyle name="Normal 3 2 5 5 3 2 2" xfId="7582"/>
    <cellStyle name="Normal 3 2 5 5 3 2 2 2" xfId="10911"/>
    <cellStyle name="Normal 3 2 5 5 3 2 2 2 2" xfId="17615"/>
    <cellStyle name="Normal 3 2 5 5 3 2 2 2 2 2" xfId="41036"/>
    <cellStyle name="Normal 3 2 5 5 3 2 2 2 3" xfId="34404"/>
    <cellStyle name="Normal 3 2 5 5 3 2 2 3" xfId="14299"/>
    <cellStyle name="Normal 3 2 5 5 3 2 2 3 2" xfId="37720"/>
    <cellStyle name="Normal 3 2 5 5 3 2 2 4" xfId="22911"/>
    <cellStyle name="Normal 3 2 5 5 3 2 2 4 2" xfId="45333"/>
    <cellStyle name="Normal 3 2 5 5 3 2 2 5" xfId="31088"/>
    <cellStyle name="Normal 3 2 5 5 3 2 3" xfId="9253"/>
    <cellStyle name="Normal 3 2 5 5 3 2 3 2" xfId="15957"/>
    <cellStyle name="Normal 3 2 5 5 3 2 3 2 2" xfId="39378"/>
    <cellStyle name="Normal 3 2 5 5 3 2 3 3" xfId="32746"/>
    <cellStyle name="Normal 3 2 5 5 3 2 4" xfId="12641"/>
    <cellStyle name="Normal 3 2 5 5 3 2 4 2" xfId="36062"/>
    <cellStyle name="Normal 3 2 5 5 3 2 5" xfId="20081"/>
    <cellStyle name="Normal 3 2 5 5 3 2 5 2" xfId="42616"/>
    <cellStyle name="Normal 3 2 5 5 3 2 6" xfId="29430"/>
    <cellStyle name="Normal 3 2 5 5 3 3" xfId="6683"/>
    <cellStyle name="Normal 3 2 5 5 3 3 2" xfId="10015"/>
    <cellStyle name="Normal 3 2 5 5 3 3 2 2" xfId="16719"/>
    <cellStyle name="Normal 3 2 5 5 3 3 2 2 2" xfId="40140"/>
    <cellStyle name="Normal 3 2 5 5 3 3 2 3" xfId="33508"/>
    <cellStyle name="Normal 3 2 5 5 3 3 3" xfId="13403"/>
    <cellStyle name="Normal 3 2 5 5 3 3 3 2" xfId="36824"/>
    <cellStyle name="Normal 3 2 5 5 3 3 4" xfId="21316"/>
    <cellStyle name="Normal 3 2 5 5 3 3 4 2" xfId="43767"/>
    <cellStyle name="Normal 3 2 5 5 3 3 5" xfId="30192"/>
    <cellStyle name="Normal 3 2 5 5 3 4" xfId="8349"/>
    <cellStyle name="Normal 3 2 5 5 3 4 2" xfId="15061"/>
    <cellStyle name="Normal 3 2 5 5 3 4 2 2" xfId="38482"/>
    <cellStyle name="Normal 3 2 5 5 3 4 3" xfId="22092"/>
    <cellStyle name="Normal 3 2 5 5 3 4 3 2" xfId="44516"/>
    <cellStyle name="Normal 3 2 5 5 3 4 4" xfId="31850"/>
    <cellStyle name="Normal 3 2 5 5 3 5" xfId="11743"/>
    <cellStyle name="Normal 3 2 5 5 3 5 2" xfId="35166"/>
    <cellStyle name="Normal 3 2 5 5 3 6" xfId="19231"/>
    <cellStyle name="Normal 3 2 5 5 3 6 2" xfId="41784"/>
    <cellStyle name="Normal 3 2 5 5 3 7" xfId="28534"/>
    <cellStyle name="Normal 3 2 5 5 4" xfId="3987"/>
    <cellStyle name="Normal 3 2 5 5 4 2" xfId="7017"/>
    <cellStyle name="Normal 3 2 5 5 4 2 2" xfId="10349"/>
    <cellStyle name="Normal 3 2 5 5 4 2 2 2" xfId="17053"/>
    <cellStyle name="Normal 3 2 5 5 4 2 2 2 2" xfId="40474"/>
    <cellStyle name="Normal 3 2 5 5 4 2 2 3" xfId="33842"/>
    <cellStyle name="Normal 3 2 5 5 4 2 3" xfId="13737"/>
    <cellStyle name="Normal 3 2 5 5 4 2 3 2" xfId="37158"/>
    <cellStyle name="Normal 3 2 5 5 4 2 4" xfId="22505"/>
    <cellStyle name="Normal 3 2 5 5 4 2 4 2" xfId="44927"/>
    <cellStyle name="Normal 3 2 5 5 4 2 5" xfId="30526"/>
    <cellStyle name="Normal 3 2 5 5 4 3" xfId="8684"/>
    <cellStyle name="Normal 3 2 5 5 4 3 2" xfId="15395"/>
    <cellStyle name="Normal 3 2 5 5 4 3 2 2" xfId="38816"/>
    <cellStyle name="Normal 3 2 5 5 4 3 3" xfId="32184"/>
    <cellStyle name="Normal 3 2 5 5 4 4" xfId="12077"/>
    <cellStyle name="Normal 3 2 5 5 4 4 2" xfId="35500"/>
    <cellStyle name="Normal 3 2 5 5 4 5" xfId="19663"/>
    <cellStyle name="Normal 3 2 5 5 4 5 2" xfId="42200"/>
    <cellStyle name="Normal 3 2 5 5 4 6" xfId="28868"/>
    <cellStyle name="Normal 3 2 5 5 5" xfId="6210"/>
    <cellStyle name="Normal 3 2 5 5 5 2" xfId="9544"/>
    <cellStyle name="Normal 3 2 5 5 5 2 2" xfId="16248"/>
    <cellStyle name="Normal 3 2 5 5 5 2 2 2" xfId="39669"/>
    <cellStyle name="Normal 3 2 5 5 5 2 3" xfId="33037"/>
    <cellStyle name="Normal 3 2 5 5 5 3" xfId="12932"/>
    <cellStyle name="Normal 3 2 5 5 5 3 2" xfId="36353"/>
    <cellStyle name="Normal 3 2 5 5 5 4" xfId="20857"/>
    <cellStyle name="Normal 3 2 5 5 5 4 2" xfId="43308"/>
    <cellStyle name="Normal 3 2 5 5 5 5" xfId="29721"/>
    <cellStyle name="Normal 3 2 5 5 6" xfId="7876"/>
    <cellStyle name="Normal 3 2 5 5 6 2" xfId="14590"/>
    <cellStyle name="Normal 3 2 5 5 6 2 2" xfId="38011"/>
    <cellStyle name="Normal 3 2 5 5 6 3" xfId="21655"/>
    <cellStyle name="Normal 3 2 5 5 6 3 2" xfId="44104"/>
    <cellStyle name="Normal 3 2 5 5 6 4" xfId="31379"/>
    <cellStyle name="Normal 3 2 5 5 7" xfId="11272"/>
    <cellStyle name="Normal 3 2 5 5 7 2" xfId="34695"/>
    <cellStyle name="Normal 3 2 5 5 8" xfId="18041"/>
    <cellStyle name="Normal 3 2 5 5 8 2" xfId="41331"/>
    <cellStyle name="Normal 3 2 5 5 9" xfId="23632"/>
    <cellStyle name="Normal 3 2 5 5 9 2" xfId="45922"/>
    <cellStyle name="Normal 3 2 5 6" xfId="2277"/>
    <cellStyle name="Normal 3 2 5 6 2" xfId="5525"/>
    <cellStyle name="Normal 3 2 5 6 2 2" xfId="7349"/>
    <cellStyle name="Normal 3 2 5 6 2 2 2" xfId="10680"/>
    <cellStyle name="Normal 3 2 5 6 2 2 2 2" xfId="17384"/>
    <cellStyle name="Normal 3 2 5 6 2 2 2 2 2" xfId="40805"/>
    <cellStyle name="Normal 3 2 5 6 2 2 2 3" xfId="23100"/>
    <cellStyle name="Normal 3 2 5 6 2 2 2 3 2" xfId="45522"/>
    <cellStyle name="Normal 3 2 5 6 2 2 2 4" xfId="34173"/>
    <cellStyle name="Normal 3 2 5 6 2 2 3" xfId="14068"/>
    <cellStyle name="Normal 3 2 5 6 2 2 3 2" xfId="37489"/>
    <cellStyle name="Normal 3 2 5 6 2 2 4" xfId="20274"/>
    <cellStyle name="Normal 3 2 5 6 2 2 4 2" xfId="42809"/>
    <cellStyle name="Normal 3 2 5 6 2 2 5" xfId="30857"/>
    <cellStyle name="Normal 3 2 5 6 2 3" xfId="9022"/>
    <cellStyle name="Normal 3 2 5 6 2 3 2" xfId="15726"/>
    <cellStyle name="Normal 3 2 5 6 2 3 2 2" xfId="39147"/>
    <cellStyle name="Normal 3 2 5 6 2 3 3" xfId="21318"/>
    <cellStyle name="Normal 3 2 5 6 2 3 3 2" xfId="43769"/>
    <cellStyle name="Normal 3 2 5 6 2 3 4" xfId="32515"/>
    <cellStyle name="Normal 3 2 5 6 2 4" xfId="12410"/>
    <cellStyle name="Normal 3 2 5 6 2 4 2" xfId="22287"/>
    <cellStyle name="Normal 3 2 5 6 2 4 2 2" xfId="44709"/>
    <cellStyle name="Normal 3 2 5 6 2 4 3" xfId="35831"/>
    <cellStyle name="Normal 3 2 5 6 2 5" xfId="19435"/>
    <cellStyle name="Normal 3 2 5 6 2 5 2" xfId="41977"/>
    <cellStyle name="Normal 3 2 5 6 2 6" xfId="29199"/>
    <cellStyle name="Normal 3 2 5 6 3" xfId="6446"/>
    <cellStyle name="Normal 3 2 5 6 3 2" xfId="9780"/>
    <cellStyle name="Normal 3 2 5 6 3 2 2" xfId="16484"/>
    <cellStyle name="Normal 3 2 5 6 3 2 2 2" xfId="39905"/>
    <cellStyle name="Normal 3 2 5 6 3 2 3" xfId="22694"/>
    <cellStyle name="Normal 3 2 5 6 3 2 3 2" xfId="45116"/>
    <cellStyle name="Normal 3 2 5 6 3 2 4" xfId="33273"/>
    <cellStyle name="Normal 3 2 5 6 3 3" xfId="13168"/>
    <cellStyle name="Normal 3 2 5 6 3 3 2" xfId="36589"/>
    <cellStyle name="Normal 3 2 5 6 3 4" xfId="19858"/>
    <cellStyle name="Normal 3 2 5 6 3 4 2" xfId="42393"/>
    <cellStyle name="Normal 3 2 5 6 3 5" xfId="29957"/>
    <cellStyle name="Normal 3 2 5 6 4" xfId="8113"/>
    <cellStyle name="Normal 3 2 5 6 4 2" xfId="14826"/>
    <cellStyle name="Normal 3 2 5 6 4 2 2" xfId="38247"/>
    <cellStyle name="Normal 3 2 5 6 4 3" xfId="20859"/>
    <cellStyle name="Normal 3 2 5 6 4 3 2" xfId="43310"/>
    <cellStyle name="Normal 3 2 5 6 4 4" xfId="31615"/>
    <cellStyle name="Normal 3 2 5 6 5" xfId="11508"/>
    <cellStyle name="Normal 3 2 5 6 5 2" xfId="21862"/>
    <cellStyle name="Normal 3 2 5 6 5 2 2" xfId="44295"/>
    <cellStyle name="Normal 3 2 5 6 5 3" xfId="34931"/>
    <cellStyle name="Normal 3 2 5 6 6" xfId="18710"/>
    <cellStyle name="Normal 3 2 5 6 6 2" xfId="41552"/>
    <cellStyle name="Normal 3 2 5 6 7" xfId="25853"/>
    <cellStyle name="Normal 3 2 5 6 7 2" xfId="48098"/>
    <cellStyle name="Normal 3 2 5 6 8" xfId="28299"/>
    <cellStyle name="Normal 3 2 5 7" xfId="2143"/>
    <cellStyle name="Normal 3 2 5 7 2" xfId="20066"/>
    <cellStyle name="Normal 3 2 5 7 2 2" xfId="22896"/>
    <cellStyle name="Normal 3 2 5 7 2 2 2" xfId="45318"/>
    <cellStyle name="Normal 3 2 5 7 2 3" xfId="18982"/>
    <cellStyle name="Normal 3 2 5 7 2 4" xfId="42601"/>
    <cellStyle name="Normal 3 2 5 7 3" xfId="19216"/>
    <cellStyle name="Normal 3 2 5 7 3 2" xfId="41769"/>
    <cellStyle name="Normal 3 2 5 8" xfId="2575"/>
    <cellStyle name="Normal 3 2 5 8 2" xfId="5669"/>
    <cellStyle name="Normal 3 2 5 8 2 2" xfId="7452"/>
    <cellStyle name="Normal 3 2 5 8 2 2 2" xfId="10781"/>
    <cellStyle name="Normal 3 2 5 8 2 2 2 2" xfId="17485"/>
    <cellStyle name="Normal 3 2 5 8 2 2 2 2 2" xfId="40906"/>
    <cellStyle name="Normal 3 2 5 8 2 2 2 3" xfId="34274"/>
    <cellStyle name="Normal 3 2 5 8 2 2 3" xfId="14169"/>
    <cellStyle name="Normal 3 2 5 8 2 2 3 2" xfId="37590"/>
    <cellStyle name="Normal 3 2 5 8 2 2 4" xfId="20593"/>
    <cellStyle name="Normal 3 2 5 8 2 2 4 2" xfId="43044"/>
    <cellStyle name="Normal 3 2 5 8 2 2 5" xfId="30958"/>
    <cellStyle name="Normal 3 2 5 8 2 3" xfId="9123"/>
    <cellStyle name="Normal 3 2 5 8 2 3 2" xfId="15827"/>
    <cellStyle name="Normal 3 2 5 8 2 3 2 2" xfId="39248"/>
    <cellStyle name="Normal 3 2 5 8 2 3 3" xfId="21511"/>
    <cellStyle name="Normal 3 2 5 8 2 3 3 2" xfId="43962"/>
    <cellStyle name="Normal 3 2 5 8 2 3 4" xfId="32616"/>
    <cellStyle name="Normal 3 2 5 8 2 4" xfId="12511"/>
    <cellStyle name="Normal 3 2 5 8 2 4 2" xfId="35932"/>
    <cellStyle name="Normal 3 2 5 8 2 5" xfId="18375"/>
    <cellStyle name="Normal 3 2 5 8 2 5 2" xfId="41439"/>
    <cellStyle name="Normal 3 2 5 8 2 6" xfId="29300"/>
    <cellStyle name="Normal 3 2 5 8 3" xfId="6552"/>
    <cellStyle name="Normal 3 2 5 8 3 2" xfId="9884"/>
    <cellStyle name="Normal 3 2 5 8 3 2 2" xfId="16588"/>
    <cellStyle name="Normal 3 2 5 8 3 2 2 2" xfId="40009"/>
    <cellStyle name="Normal 3 2 5 8 3 2 3" xfId="33377"/>
    <cellStyle name="Normal 3 2 5 8 3 3" xfId="13272"/>
    <cellStyle name="Normal 3 2 5 8 3 3 2" xfId="36693"/>
    <cellStyle name="Normal 3 2 5 8 3 4" xfId="20495"/>
    <cellStyle name="Normal 3 2 5 8 3 4 2" xfId="42948"/>
    <cellStyle name="Normal 3 2 5 8 3 5" xfId="30061"/>
    <cellStyle name="Normal 3 2 5 8 4" xfId="8218"/>
    <cellStyle name="Normal 3 2 5 8 4 2" xfId="14930"/>
    <cellStyle name="Normal 3 2 5 8 4 2 2" xfId="38351"/>
    <cellStyle name="Normal 3 2 5 8 4 3" xfId="21052"/>
    <cellStyle name="Normal 3 2 5 8 4 3 2" xfId="43503"/>
    <cellStyle name="Normal 3 2 5 8 4 4" xfId="31719"/>
    <cellStyle name="Normal 3 2 5 8 5" xfId="11612"/>
    <cellStyle name="Normal 3 2 5 8 5 2" xfId="22490"/>
    <cellStyle name="Normal 3 2 5 8 5 2 2" xfId="44912"/>
    <cellStyle name="Normal 3 2 5 8 5 3" xfId="35035"/>
    <cellStyle name="Normal 3 2 5 8 6" xfId="19648"/>
    <cellStyle name="Normal 3 2 5 8 6 2" xfId="42185"/>
    <cellStyle name="Normal 3 2 5 8 7" xfId="28403"/>
    <cellStyle name="Normal 3 2 5 9" xfId="3972"/>
    <cellStyle name="Normal 3 2 5 9 2" xfId="7002"/>
    <cellStyle name="Normal 3 2 5 9 2 2" xfId="10334"/>
    <cellStyle name="Normal 3 2 5 9 2 2 2" xfId="17038"/>
    <cellStyle name="Normal 3 2 5 9 2 2 2 2" xfId="40459"/>
    <cellStyle name="Normal 3 2 5 9 2 2 3" xfId="33827"/>
    <cellStyle name="Normal 3 2 5 9 2 3" xfId="13722"/>
    <cellStyle name="Normal 3 2 5 9 2 3 2" xfId="37143"/>
    <cellStyle name="Normal 3 2 5 9 2 4" xfId="20544"/>
    <cellStyle name="Normal 3 2 5 9 2 4 2" xfId="42996"/>
    <cellStyle name="Normal 3 2 5 9 2 5" xfId="30511"/>
    <cellStyle name="Normal 3 2 5 9 3" xfId="8669"/>
    <cellStyle name="Normal 3 2 5 9 3 2" xfId="15380"/>
    <cellStyle name="Normal 3 2 5 9 3 2 2" xfId="38801"/>
    <cellStyle name="Normal 3 2 5 9 3 3" xfId="21287"/>
    <cellStyle name="Normal 3 2 5 9 3 3 2" xfId="43738"/>
    <cellStyle name="Normal 3 2 5 9 3 4" xfId="32169"/>
    <cellStyle name="Normal 3 2 5 9 4" xfId="12062"/>
    <cellStyle name="Normal 3 2 5 9 4 2" xfId="35485"/>
    <cellStyle name="Normal 3 2 5 9 5" xfId="18981"/>
    <cellStyle name="Normal 3 2 5 9 5 2" xfId="41653"/>
    <cellStyle name="Normal 3 2 5 9 6" xfId="28853"/>
    <cellStyle name="Normal 3 2 6" xfId="1248"/>
    <cellStyle name="Normal 3 2 6 10" xfId="11148"/>
    <cellStyle name="Normal 3 2 6 10 2" xfId="21656"/>
    <cellStyle name="Normal 3 2 6 10 2 2" xfId="44105"/>
    <cellStyle name="Normal 3 2 6 10 3" xfId="34571"/>
    <cellStyle name="Normal 3 2 6 11" xfId="18042"/>
    <cellStyle name="Normal 3 2 6 11 2" xfId="41332"/>
    <cellStyle name="Normal 3 2 6 12" xfId="23633"/>
    <cellStyle name="Normal 3 2 6 12 2" xfId="45923"/>
    <cellStyle name="Normal 3 2 6 13" xfId="27939"/>
    <cellStyle name="Normal 3 2 6 2" xfId="1439"/>
    <cellStyle name="Normal 3 2 6 2 10" xfId="18043"/>
    <cellStyle name="Normal 3 2 6 2 10 2" xfId="41333"/>
    <cellStyle name="Normal 3 2 6 2 11" xfId="23634"/>
    <cellStyle name="Normal 3 2 6 2 11 2" xfId="45924"/>
    <cellStyle name="Normal 3 2 6 2 12" xfId="27975"/>
    <cellStyle name="Normal 3 2 6 2 2" xfId="1619"/>
    <cellStyle name="Normal 3 2 6 2 2 10" xfId="23635"/>
    <cellStyle name="Normal 3 2 6 2 2 10 2" xfId="45925"/>
    <cellStyle name="Normal 3 2 6 2 2 11" xfId="28039"/>
    <cellStyle name="Normal 3 2 6 2 2 2" xfId="1818"/>
    <cellStyle name="Normal 3 2 6 2 2 2 10" xfId="28170"/>
    <cellStyle name="Normal 3 2 6 2 2 2 2" xfId="2296"/>
    <cellStyle name="Normal 3 2 6 2 2 2 2 2" xfId="5544"/>
    <cellStyle name="Normal 3 2 6 2 2 2 2 2 2" xfId="7368"/>
    <cellStyle name="Normal 3 2 6 2 2 2 2 2 2 2" xfId="10699"/>
    <cellStyle name="Normal 3 2 6 2 2 2 2 2 2 2 2" xfId="17403"/>
    <cellStyle name="Normal 3 2 6 2 2 2 2 2 2 2 2 2" xfId="40824"/>
    <cellStyle name="Normal 3 2 6 2 2 2 2 2 2 2 3" xfId="23119"/>
    <cellStyle name="Normal 3 2 6 2 2 2 2 2 2 2 3 2" xfId="45541"/>
    <cellStyle name="Normal 3 2 6 2 2 2 2 2 2 2 4" xfId="34192"/>
    <cellStyle name="Normal 3 2 6 2 2 2 2 2 2 3" xfId="14087"/>
    <cellStyle name="Normal 3 2 6 2 2 2 2 2 2 3 2" xfId="37508"/>
    <cellStyle name="Normal 3 2 6 2 2 2 2 2 2 4" xfId="20293"/>
    <cellStyle name="Normal 3 2 6 2 2 2 2 2 2 4 2" xfId="42828"/>
    <cellStyle name="Normal 3 2 6 2 2 2 2 2 2 5" xfId="30876"/>
    <cellStyle name="Normal 3 2 6 2 2 2 2 2 3" xfId="9041"/>
    <cellStyle name="Normal 3 2 6 2 2 2 2 2 3 2" xfId="15745"/>
    <cellStyle name="Normal 3 2 6 2 2 2 2 2 3 2 2" xfId="39166"/>
    <cellStyle name="Normal 3 2 6 2 2 2 2 2 3 3" xfId="21323"/>
    <cellStyle name="Normal 3 2 6 2 2 2 2 2 3 3 2" xfId="43774"/>
    <cellStyle name="Normal 3 2 6 2 2 2 2 2 3 4" xfId="32534"/>
    <cellStyle name="Normal 3 2 6 2 2 2 2 2 4" xfId="12429"/>
    <cellStyle name="Normal 3 2 6 2 2 2 2 2 4 2" xfId="22306"/>
    <cellStyle name="Normal 3 2 6 2 2 2 2 2 4 2 2" xfId="44728"/>
    <cellStyle name="Normal 3 2 6 2 2 2 2 2 4 3" xfId="35850"/>
    <cellStyle name="Normal 3 2 6 2 2 2 2 2 5" xfId="19454"/>
    <cellStyle name="Normal 3 2 6 2 2 2 2 2 5 2" xfId="41996"/>
    <cellStyle name="Normal 3 2 6 2 2 2 2 2 6" xfId="29218"/>
    <cellStyle name="Normal 3 2 6 2 2 2 2 3" xfId="6465"/>
    <cellStyle name="Normal 3 2 6 2 2 2 2 3 2" xfId="9799"/>
    <cellStyle name="Normal 3 2 6 2 2 2 2 3 2 2" xfId="16503"/>
    <cellStyle name="Normal 3 2 6 2 2 2 2 3 2 2 2" xfId="39924"/>
    <cellStyle name="Normal 3 2 6 2 2 2 2 3 2 3" xfId="22713"/>
    <cellStyle name="Normal 3 2 6 2 2 2 2 3 2 3 2" xfId="45135"/>
    <cellStyle name="Normal 3 2 6 2 2 2 2 3 2 4" xfId="33292"/>
    <cellStyle name="Normal 3 2 6 2 2 2 2 3 3" xfId="13187"/>
    <cellStyle name="Normal 3 2 6 2 2 2 2 3 3 2" xfId="36608"/>
    <cellStyle name="Normal 3 2 6 2 2 2 2 3 4" xfId="19877"/>
    <cellStyle name="Normal 3 2 6 2 2 2 2 3 4 2" xfId="42412"/>
    <cellStyle name="Normal 3 2 6 2 2 2 2 3 5" xfId="29976"/>
    <cellStyle name="Normal 3 2 6 2 2 2 2 4" xfId="8132"/>
    <cellStyle name="Normal 3 2 6 2 2 2 2 4 2" xfId="14845"/>
    <cellStyle name="Normal 3 2 6 2 2 2 2 4 2 2" xfId="38266"/>
    <cellStyle name="Normal 3 2 6 2 2 2 2 4 3" xfId="20864"/>
    <cellStyle name="Normal 3 2 6 2 2 2 2 4 3 2" xfId="43315"/>
    <cellStyle name="Normal 3 2 6 2 2 2 2 4 4" xfId="31634"/>
    <cellStyle name="Normal 3 2 6 2 2 2 2 5" xfId="11527"/>
    <cellStyle name="Normal 3 2 6 2 2 2 2 5 2" xfId="21881"/>
    <cellStyle name="Normal 3 2 6 2 2 2 2 5 2 2" xfId="44314"/>
    <cellStyle name="Normal 3 2 6 2 2 2 2 5 3" xfId="34950"/>
    <cellStyle name="Normal 3 2 6 2 2 2 2 6" xfId="18729"/>
    <cellStyle name="Normal 3 2 6 2 2 2 2 6 2" xfId="41571"/>
    <cellStyle name="Normal 3 2 6 2 2 2 2 7" xfId="25872"/>
    <cellStyle name="Normal 3 2 6 2 2 2 2 7 2" xfId="48117"/>
    <cellStyle name="Normal 3 2 6 2 2 2 2 8" xfId="28318"/>
    <cellStyle name="Normal 3 2 6 2 2 2 3" xfId="2815"/>
    <cellStyle name="Normal 3 2 6 2 2 2 3 2" xfId="5907"/>
    <cellStyle name="Normal 3 2 6 2 2 2 3 2 2" xfId="7689"/>
    <cellStyle name="Normal 3 2 6 2 2 2 3 2 2 2" xfId="11018"/>
    <cellStyle name="Normal 3 2 6 2 2 2 3 2 2 2 2" xfId="17722"/>
    <cellStyle name="Normal 3 2 6 2 2 2 3 2 2 2 2 2" xfId="41143"/>
    <cellStyle name="Normal 3 2 6 2 2 2 3 2 2 2 3" xfId="34511"/>
    <cellStyle name="Normal 3 2 6 2 2 2 3 2 2 3" xfId="14406"/>
    <cellStyle name="Normal 3 2 6 2 2 2 3 2 2 3 2" xfId="37827"/>
    <cellStyle name="Normal 3 2 6 2 2 2 3 2 2 4" xfId="22915"/>
    <cellStyle name="Normal 3 2 6 2 2 2 3 2 2 4 2" xfId="45337"/>
    <cellStyle name="Normal 3 2 6 2 2 2 3 2 2 5" xfId="31195"/>
    <cellStyle name="Normal 3 2 6 2 2 2 3 2 3" xfId="9360"/>
    <cellStyle name="Normal 3 2 6 2 2 2 3 2 3 2" xfId="16064"/>
    <cellStyle name="Normal 3 2 6 2 2 2 3 2 3 2 2" xfId="39485"/>
    <cellStyle name="Normal 3 2 6 2 2 2 3 2 3 3" xfId="32853"/>
    <cellStyle name="Normal 3 2 6 2 2 2 3 2 4" xfId="12748"/>
    <cellStyle name="Normal 3 2 6 2 2 2 3 2 4 2" xfId="36169"/>
    <cellStyle name="Normal 3 2 6 2 2 2 3 2 5" xfId="20085"/>
    <cellStyle name="Normal 3 2 6 2 2 2 3 2 5 2" xfId="42620"/>
    <cellStyle name="Normal 3 2 6 2 2 2 3 2 6" xfId="29537"/>
    <cellStyle name="Normal 3 2 6 2 2 2 3 3" xfId="6790"/>
    <cellStyle name="Normal 3 2 6 2 2 2 3 3 2" xfId="10122"/>
    <cellStyle name="Normal 3 2 6 2 2 2 3 3 2 2" xfId="16826"/>
    <cellStyle name="Normal 3 2 6 2 2 2 3 3 2 2 2" xfId="40247"/>
    <cellStyle name="Normal 3 2 6 2 2 2 3 3 2 3" xfId="33615"/>
    <cellStyle name="Normal 3 2 6 2 2 2 3 3 3" xfId="13510"/>
    <cellStyle name="Normal 3 2 6 2 2 2 3 3 3 2" xfId="36931"/>
    <cellStyle name="Normal 3 2 6 2 2 2 3 3 4" xfId="21322"/>
    <cellStyle name="Normal 3 2 6 2 2 2 3 3 4 2" xfId="43773"/>
    <cellStyle name="Normal 3 2 6 2 2 2 3 3 5" xfId="30299"/>
    <cellStyle name="Normal 3 2 6 2 2 2 3 4" xfId="8456"/>
    <cellStyle name="Normal 3 2 6 2 2 2 3 4 2" xfId="15168"/>
    <cellStyle name="Normal 3 2 6 2 2 2 3 4 2 2" xfId="38589"/>
    <cellStyle name="Normal 3 2 6 2 2 2 3 4 3" xfId="22096"/>
    <cellStyle name="Normal 3 2 6 2 2 2 3 4 3 2" xfId="44520"/>
    <cellStyle name="Normal 3 2 6 2 2 2 3 4 4" xfId="31957"/>
    <cellStyle name="Normal 3 2 6 2 2 2 3 5" xfId="11850"/>
    <cellStyle name="Normal 3 2 6 2 2 2 3 5 2" xfId="35273"/>
    <cellStyle name="Normal 3 2 6 2 2 2 3 6" xfId="19235"/>
    <cellStyle name="Normal 3 2 6 2 2 2 3 6 2" xfId="41788"/>
    <cellStyle name="Normal 3 2 6 2 2 2 3 7" xfId="28641"/>
    <cellStyle name="Normal 3 2 6 2 2 2 4" xfId="3991"/>
    <cellStyle name="Normal 3 2 6 2 2 2 4 2" xfId="7021"/>
    <cellStyle name="Normal 3 2 6 2 2 2 4 2 2" xfId="10353"/>
    <cellStyle name="Normal 3 2 6 2 2 2 4 2 2 2" xfId="17057"/>
    <cellStyle name="Normal 3 2 6 2 2 2 4 2 2 2 2" xfId="40478"/>
    <cellStyle name="Normal 3 2 6 2 2 2 4 2 2 3" xfId="33846"/>
    <cellStyle name="Normal 3 2 6 2 2 2 4 2 3" xfId="13741"/>
    <cellStyle name="Normal 3 2 6 2 2 2 4 2 3 2" xfId="37162"/>
    <cellStyle name="Normal 3 2 6 2 2 2 4 2 4" xfId="22509"/>
    <cellStyle name="Normal 3 2 6 2 2 2 4 2 4 2" xfId="44931"/>
    <cellStyle name="Normal 3 2 6 2 2 2 4 2 5" xfId="30530"/>
    <cellStyle name="Normal 3 2 6 2 2 2 4 3" xfId="8688"/>
    <cellStyle name="Normal 3 2 6 2 2 2 4 3 2" xfId="15399"/>
    <cellStyle name="Normal 3 2 6 2 2 2 4 3 2 2" xfId="38820"/>
    <cellStyle name="Normal 3 2 6 2 2 2 4 3 3" xfId="32188"/>
    <cellStyle name="Normal 3 2 6 2 2 2 4 4" xfId="12081"/>
    <cellStyle name="Normal 3 2 6 2 2 2 4 4 2" xfId="35504"/>
    <cellStyle name="Normal 3 2 6 2 2 2 4 5" xfId="19667"/>
    <cellStyle name="Normal 3 2 6 2 2 2 4 5 2" xfId="42204"/>
    <cellStyle name="Normal 3 2 6 2 2 2 4 6" xfId="28872"/>
    <cellStyle name="Normal 3 2 6 2 2 2 5" xfId="6317"/>
    <cellStyle name="Normal 3 2 6 2 2 2 5 2" xfId="9651"/>
    <cellStyle name="Normal 3 2 6 2 2 2 5 2 2" xfId="16355"/>
    <cellStyle name="Normal 3 2 6 2 2 2 5 2 2 2" xfId="39776"/>
    <cellStyle name="Normal 3 2 6 2 2 2 5 2 3" xfId="33144"/>
    <cellStyle name="Normal 3 2 6 2 2 2 5 3" xfId="13039"/>
    <cellStyle name="Normal 3 2 6 2 2 2 5 3 2" xfId="36460"/>
    <cellStyle name="Normal 3 2 6 2 2 2 5 4" xfId="20863"/>
    <cellStyle name="Normal 3 2 6 2 2 2 5 4 2" xfId="43314"/>
    <cellStyle name="Normal 3 2 6 2 2 2 5 5" xfId="29828"/>
    <cellStyle name="Normal 3 2 6 2 2 2 6" xfId="7983"/>
    <cellStyle name="Normal 3 2 6 2 2 2 6 2" xfId="14697"/>
    <cellStyle name="Normal 3 2 6 2 2 2 6 2 2" xfId="38118"/>
    <cellStyle name="Normal 3 2 6 2 2 2 6 3" xfId="21659"/>
    <cellStyle name="Normal 3 2 6 2 2 2 6 3 2" xfId="44108"/>
    <cellStyle name="Normal 3 2 6 2 2 2 6 4" xfId="31486"/>
    <cellStyle name="Normal 3 2 6 2 2 2 7" xfId="11379"/>
    <cellStyle name="Normal 3 2 6 2 2 2 7 2" xfId="34802"/>
    <cellStyle name="Normal 3 2 6 2 2 2 8" xfId="18045"/>
    <cellStyle name="Normal 3 2 6 2 2 2 8 2" xfId="41335"/>
    <cellStyle name="Normal 3 2 6 2 2 2 9" xfId="23636"/>
    <cellStyle name="Normal 3 2 6 2 2 2 9 2" xfId="45926"/>
    <cellStyle name="Normal 3 2 6 2 2 3" xfId="2295"/>
    <cellStyle name="Normal 3 2 6 2 2 3 2" xfId="5543"/>
    <cellStyle name="Normal 3 2 6 2 2 3 2 2" xfId="7367"/>
    <cellStyle name="Normal 3 2 6 2 2 3 2 2 2" xfId="10698"/>
    <cellStyle name="Normal 3 2 6 2 2 3 2 2 2 2" xfId="17402"/>
    <cellStyle name="Normal 3 2 6 2 2 3 2 2 2 2 2" xfId="40823"/>
    <cellStyle name="Normal 3 2 6 2 2 3 2 2 2 3" xfId="23118"/>
    <cellStyle name="Normal 3 2 6 2 2 3 2 2 2 3 2" xfId="45540"/>
    <cellStyle name="Normal 3 2 6 2 2 3 2 2 2 4" xfId="34191"/>
    <cellStyle name="Normal 3 2 6 2 2 3 2 2 3" xfId="14086"/>
    <cellStyle name="Normal 3 2 6 2 2 3 2 2 3 2" xfId="37507"/>
    <cellStyle name="Normal 3 2 6 2 2 3 2 2 4" xfId="20292"/>
    <cellStyle name="Normal 3 2 6 2 2 3 2 2 4 2" xfId="42827"/>
    <cellStyle name="Normal 3 2 6 2 2 3 2 2 5" xfId="30875"/>
    <cellStyle name="Normal 3 2 6 2 2 3 2 3" xfId="9040"/>
    <cellStyle name="Normal 3 2 6 2 2 3 2 3 2" xfId="15744"/>
    <cellStyle name="Normal 3 2 6 2 2 3 2 3 2 2" xfId="39165"/>
    <cellStyle name="Normal 3 2 6 2 2 3 2 3 3" xfId="21324"/>
    <cellStyle name="Normal 3 2 6 2 2 3 2 3 3 2" xfId="43775"/>
    <cellStyle name="Normal 3 2 6 2 2 3 2 3 4" xfId="32533"/>
    <cellStyle name="Normal 3 2 6 2 2 3 2 4" xfId="12428"/>
    <cellStyle name="Normal 3 2 6 2 2 3 2 4 2" xfId="22305"/>
    <cellStyle name="Normal 3 2 6 2 2 3 2 4 2 2" xfId="44727"/>
    <cellStyle name="Normal 3 2 6 2 2 3 2 4 3" xfId="35849"/>
    <cellStyle name="Normal 3 2 6 2 2 3 2 5" xfId="19453"/>
    <cellStyle name="Normal 3 2 6 2 2 3 2 5 2" xfId="41995"/>
    <cellStyle name="Normal 3 2 6 2 2 3 2 6" xfId="29217"/>
    <cellStyle name="Normal 3 2 6 2 2 3 3" xfId="6464"/>
    <cellStyle name="Normal 3 2 6 2 2 3 3 2" xfId="9798"/>
    <cellStyle name="Normal 3 2 6 2 2 3 3 2 2" xfId="16502"/>
    <cellStyle name="Normal 3 2 6 2 2 3 3 2 2 2" xfId="39923"/>
    <cellStyle name="Normal 3 2 6 2 2 3 3 2 3" xfId="22712"/>
    <cellStyle name="Normal 3 2 6 2 2 3 3 2 3 2" xfId="45134"/>
    <cellStyle name="Normal 3 2 6 2 2 3 3 2 4" xfId="33291"/>
    <cellStyle name="Normal 3 2 6 2 2 3 3 3" xfId="13186"/>
    <cellStyle name="Normal 3 2 6 2 2 3 3 3 2" xfId="36607"/>
    <cellStyle name="Normal 3 2 6 2 2 3 3 4" xfId="19876"/>
    <cellStyle name="Normal 3 2 6 2 2 3 3 4 2" xfId="42411"/>
    <cellStyle name="Normal 3 2 6 2 2 3 3 5" xfId="29975"/>
    <cellStyle name="Normal 3 2 6 2 2 3 4" xfId="8131"/>
    <cellStyle name="Normal 3 2 6 2 2 3 4 2" xfId="14844"/>
    <cellStyle name="Normal 3 2 6 2 2 3 4 2 2" xfId="38265"/>
    <cellStyle name="Normal 3 2 6 2 2 3 4 3" xfId="20865"/>
    <cellStyle name="Normal 3 2 6 2 2 3 4 3 2" xfId="43316"/>
    <cellStyle name="Normal 3 2 6 2 2 3 4 4" xfId="31633"/>
    <cellStyle name="Normal 3 2 6 2 2 3 5" xfId="11526"/>
    <cellStyle name="Normal 3 2 6 2 2 3 5 2" xfId="21880"/>
    <cellStyle name="Normal 3 2 6 2 2 3 5 2 2" xfId="44313"/>
    <cellStyle name="Normal 3 2 6 2 2 3 5 3" xfId="34949"/>
    <cellStyle name="Normal 3 2 6 2 2 3 6" xfId="18728"/>
    <cellStyle name="Normal 3 2 6 2 2 3 6 2" xfId="41570"/>
    <cellStyle name="Normal 3 2 6 2 2 3 7" xfId="25871"/>
    <cellStyle name="Normal 3 2 6 2 2 3 7 2" xfId="48116"/>
    <cellStyle name="Normal 3 2 6 2 2 3 8" xfId="28317"/>
    <cellStyle name="Normal 3 2 6 2 2 4" xfId="2683"/>
    <cellStyle name="Normal 3 2 6 2 2 4 2" xfId="5776"/>
    <cellStyle name="Normal 3 2 6 2 2 4 2 2" xfId="7558"/>
    <cellStyle name="Normal 3 2 6 2 2 4 2 2 2" xfId="10887"/>
    <cellStyle name="Normal 3 2 6 2 2 4 2 2 2 2" xfId="17591"/>
    <cellStyle name="Normal 3 2 6 2 2 4 2 2 2 2 2" xfId="41012"/>
    <cellStyle name="Normal 3 2 6 2 2 4 2 2 2 3" xfId="34380"/>
    <cellStyle name="Normal 3 2 6 2 2 4 2 2 3" xfId="14275"/>
    <cellStyle name="Normal 3 2 6 2 2 4 2 2 3 2" xfId="37696"/>
    <cellStyle name="Normal 3 2 6 2 2 4 2 2 4" xfId="22914"/>
    <cellStyle name="Normal 3 2 6 2 2 4 2 2 4 2" xfId="45336"/>
    <cellStyle name="Normal 3 2 6 2 2 4 2 2 5" xfId="31064"/>
    <cellStyle name="Normal 3 2 6 2 2 4 2 3" xfId="9229"/>
    <cellStyle name="Normal 3 2 6 2 2 4 2 3 2" xfId="15933"/>
    <cellStyle name="Normal 3 2 6 2 2 4 2 3 2 2" xfId="39354"/>
    <cellStyle name="Normal 3 2 6 2 2 4 2 3 3" xfId="32722"/>
    <cellStyle name="Normal 3 2 6 2 2 4 2 4" xfId="12617"/>
    <cellStyle name="Normal 3 2 6 2 2 4 2 4 2" xfId="36038"/>
    <cellStyle name="Normal 3 2 6 2 2 4 2 5" xfId="20084"/>
    <cellStyle name="Normal 3 2 6 2 2 4 2 5 2" xfId="42619"/>
    <cellStyle name="Normal 3 2 6 2 2 4 2 6" xfId="29406"/>
    <cellStyle name="Normal 3 2 6 2 2 4 3" xfId="6659"/>
    <cellStyle name="Normal 3 2 6 2 2 4 3 2" xfId="9991"/>
    <cellStyle name="Normal 3 2 6 2 2 4 3 2 2" xfId="16695"/>
    <cellStyle name="Normal 3 2 6 2 2 4 3 2 2 2" xfId="40116"/>
    <cellStyle name="Normal 3 2 6 2 2 4 3 2 3" xfId="33484"/>
    <cellStyle name="Normal 3 2 6 2 2 4 3 3" xfId="13379"/>
    <cellStyle name="Normal 3 2 6 2 2 4 3 3 2" xfId="36800"/>
    <cellStyle name="Normal 3 2 6 2 2 4 3 4" xfId="21321"/>
    <cellStyle name="Normal 3 2 6 2 2 4 3 4 2" xfId="43772"/>
    <cellStyle name="Normal 3 2 6 2 2 4 3 5" xfId="30168"/>
    <cellStyle name="Normal 3 2 6 2 2 4 4" xfId="8325"/>
    <cellStyle name="Normal 3 2 6 2 2 4 4 2" xfId="15037"/>
    <cellStyle name="Normal 3 2 6 2 2 4 4 2 2" xfId="38458"/>
    <cellStyle name="Normal 3 2 6 2 2 4 4 3" xfId="22095"/>
    <cellStyle name="Normal 3 2 6 2 2 4 4 3 2" xfId="44519"/>
    <cellStyle name="Normal 3 2 6 2 2 4 4 4" xfId="31826"/>
    <cellStyle name="Normal 3 2 6 2 2 4 5" xfId="11719"/>
    <cellStyle name="Normal 3 2 6 2 2 4 5 2" xfId="35142"/>
    <cellStyle name="Normal 3 2 6 2 2 4 6" xfId="19234"/>
    <cellStyle name="Normal 3 2 6 2 2 4 6 2" xfId="41787"/>
    <cellStyle name="Normal 3 2 6 2 2 4 7" xfId="28510"/>
    <cellStyle name="Normal 3 2 6 2 2 5" xfId="3990"/>
    <cellStyle name="Normal 3 2 6 2 2 5 2" xfId="7020"/>
    <cellStyle name="Normal 3 2 6 2 2 5 2 2" xfId="10352"/>
    <cellStyle name="Normal 3 2 6 2 2 5 2 2 2" xfId="17056"/>
    <cellStyle name="Normal 3 2 6 2 2 5 2 2 2 2" xfId="40477"/>
    <cellStyle name="Normal 3 2 6 2 2 5 2 2 3" xfId="33845"/>
    <cellStyle name="Normal 3 2 6 2 2 5 2 3" xfId="13740"/>
    <cellStyle name="Normal 3 2 6 2 2 5 2 3 2" xfId="37161"/>
    <cellStyle name="Normal 3 2 6 2 2 5 2 4" xfId="22508"/>
    <cellStyle name="Normal 3 2 6 2 2 5 2 4 2" xfId="44930"/>
    <cellStyle name="Normal 3 2 6 2 2 5 2 5" xfId="30529"/>
    <cellStyle name="Normal 3 2 6 2 2 5 3" xfId="8687"/>
    <cellStyle name="Normal 3 2 6 2 2 5 3 2" xfId="15398"/>
    <cellStyle name="Normal 3 2 6 2 2 5 3 2 2" xfId="38819"/>
    <cellStyle name="Normal 3 2 6 2 2 5 3 3" xfId="32187"/>
    <cellStyle name="Normal 3 2 6 2 2 5 4" xfId="12080"/>
    <cellStyle name="Normal 3 2 6 2 2 5 4 2" xfId="35503"/>
    <cellStyle name="Normal 3 2 6 2 2 5 5" xfId="19666"/>
    <cellStyle name="Normal 3 2 6 2 2 5 5 2" xfId="42203"/>
    <cellStyle name="Normal 3 2 6 2 2 5 6" xfId="28871"/>
    <cellStyle name="Normal 3 2 6 2 2 6" xfId="6186"/>
    <cellStyle name="Normal 3 2 6 2 2 6 2" xfId="9520"/>
    <cellStyle name="Normal 3 2 6 2 2 6 2 2" xfId="16224"/>
    <cellStyle name="Normal 3 2 6 2 2 6 2 2 2" xfId="39645"/>
    <cellStyle name="Normal 3 2 6 2 2 6 2 3" xfId="33013"/>
    <cellStyle name="Normal 3 2 6 2 2 6 3" xfId="12908"/>
    <cellStyle name="Normal 3 2 6 2 2 6 3 2" xfId="36329"/>
    <cellStyle name="Normal 3 2 6 2 2 6 4" xfId="20862"/>
    <cellStyle name="Normal 3 2 6 2 2 6 4 2" xfId="43313"/>
    <cellStyle name="Normal 3 2 6 2 2 6 5" xfId="29697"/>
    <cellStyle name="Normal 3 2 6 2 2 7" xfId="7852"/>
    <cellStyle name="Normal 3 2 6 2 2 7 2" xfId="14566"/>
    <cellStyle name="Normal 3 2 6 2 2 7 2 2" xfId="37987"/>
    <cellStyle name="Normal 3 2 6 2 2 7 3" xfId="21658"/>
    <cellStyle name="Normal 3 2 6 2 2 7 3 2" xfId="44107"/>
    <cellStyle name="Normal 3 2 6 2 2 7 4" xfId="31355"/>
    <cellStyle name="Normal 3 2 6 2 2 8" xfId="11248"/>
    <cellStyle name="Normal 3 2 6 2 2 8 2" xfId="34671"/>
    <cellStyle name="Normal 3 2 6 2 2 9" xfId="18044"/>
    <cellStyle name="Normal 3 2 6 2 2 9 2" xfId="41334"/>
    <cellStyle name="Normal 3 2 6 2 3" xfId="1754"/>
    <cellStyle name="Normal 3 2 6 2 3 10" xfId="28106"/>
    <cellStyle name="Normal 3 2 6 2 3 2" xfId="2297"/>
    <cellStyle name="Normal 3 2 6 2 3 2 2" xfId="5545"/>
    <cellStyle name="Normal 3 2 6 2 3 2 2 2" xfId="7369"/>
    <cellStyle name="Normal 3 2 6 2 3 2 2 2 2" xfId="10700"/>
    <cellStyle name="Normal 3 2 6 2 3 2 2 2 2 2" xfId="17404"/>
    <cellStyle name="Normal 3 2 6 2 3 2 2 2 2 2 2" xfId="40825"/>
    <cellStyle name="Normal 3 2 6 2 3 2 2 2 2 3" xfId="23120"/>
    <cellStyle name="Normal 3 2 6 2 3 2 2 2 2 3 2" xfId="45542"/>
    <cellStyle name="Normal 3 2 6 2 3 2 2 2 2 4" xfId="34193"/>
    <cellStyle name="Normal 3 2 6 2 3 2 2 2 3" xfId="14088"/>
    <cellStyle name="Normal 3 2 6 2 3 2 2 2 3 2" xfId="37509"/>
    <cellStyle name="Normal 3 2 6 2 3 2 2 2 4" xfId="20294"/>
    <cellStyle name="Normal 3 2 6 2 3 2 2 2 4 2" xfId="42829"/>
    <cellStyle name="Normal 3 2 6 2 3 2 2 2 5" xfId="30877"/>
    <cellStyle name="Normal 3 2 6 2 3 2 2 3" xfId="9042"/>
    <cellStyle name="Normal 3 2 6 2 3 2 2 3 2" xfId="15746"/>
    <cellStyle name="Normal 3 2 6 2 3 2 2 3 2 2" xfId="39167"/>
    <cellStyle name="Normal 3 2 6 2 3 2 2 3 3" xfId="21326"/>
    <cellStyle name="Normal 3 2 6 2 3 2 2 3 3 2" xfId="43777"/>
    <cellStyle name="Normal 3 2 6 2 3 2 2 3 4" xfId="32535"/>
    <cellStyle name="Normal 3 2 6 2 3 2 2 4" xfId="12430"/>
    <cellStyle name="Normal 3 2 6 2 3 2 2 4 2" xfId="22307"/>
    <cellStyle name="Normal 3 2 6 2 3 2 2 4 2 2" xfId="44729"/>
    <cellStyle name="Normal 3 2 6 2 3 2 2 4 3" xfId="35851"/>
    <cellStyle name="Normal 3 2 6 2 3 2 2 5" xfId="19455"/>
    <cellStyle name="Normal 3 2 6 2 3 2 2 5 2" xfId="41997"/>
    <cellStyle name="Normal 3 2 6 2 3 2 2 6" xfId="29219"/>
    <cellStyle name="Normal 3 2 6 2 3 2 3" xfId="6466"/>
    <cellStyle name="Normal 3 2 6 2 3 2 3 2" xfId="9800"/>
    <cellStyle name="Normal 3 2 6 2 3 2 3 2 2" xfId="16504"/>
    <cellStyle name="Normal 3 2 6 2 3 2 3 2 2 2" xfId="39925"/>
    <cellStyle name="Normal 3 2 6 2 3 2 3 2 3" xfId="22714"/>
    <cellStyle name="Normal 3 2 6 2 3 2 3 2 3 2" xfId="45136"/>
    <cellStyle name="Normal 3 2 6 2 3 2 3 2 4" xfId="33293"/>
    <cellStyle name="Normal 3 2 6 2 3 2 3 3" xfId="13188"/>
    <cellStyle name="Normal 3 2 6 2 3 2 3 3 2" xfId="36609"/>
    <cellStyle name="Normal 3 2 6 2 3 2 3 4" xfId="19878"/>
    <cellStyle name="Normal 3 2 6 2 3 2 3 4 2" xfId="42413"/>
    <cellStyle name="Normal 3 2 6 2 3 2 3 5" xfId="29977"/>
    <cellStyle name="Normal 3 2 6 2 3 2 4" xfId="8133"/>
    <cellStyle name="Normal 3 2 6 2 3 2 4 2" xfId="14846"/>
    <cellStyle name="Normal 3 2 6 2 3 2 4 2 2" xfId="38267"/>
    <cellStyle name="Normal 3 2 6 2 3 2 4 3" xfId="20867"/>
    <cellStyle name="Normal 3 2 6 2 3 2 4 3 2" xfId="43318"/>
    <cellStyle name="Normal 3 2 6 2 3 2 4 4" xfId="31635"/>
    <cellStyle name="Normal 3 2 6 2 3 2 5" xfId="11528"/>
    <cellStyle name="Normal 3 2 6 2 3 2 5 2" xfId="21882"/>
    <cellStyle name="Normal 3 2 6 2 3 2 5 2 2" xfId="44315"/>
    <cellStyle name="Normal 3 2 6 2 3 2 5 3" xfId="34951"/>
    <cellStyle name="Normal 3 2 6 2 3 2 6" xfId="18730"/>
    <cellStyle name="Normal 3 2 6 2 3 2 6 2" xfId="41572"/>
    <cellStyle name="Normal 3 2 6 2 3 2 7" xfId="25873"/>
    <cellStyle name="Normal 3 2 6 2 3 2 7 2" xfId="48118"/>
    <cellStyle name="Normal 3 2 6 2 3 2 8" xfId="28319"/>
    <cellStyle name="Normal 3 2 6 2 3 3" xfId="2751"/>
    <cellStyle name="Normal 3 2 6 2 3 3 2" xfId="5843"/>
    <cellStyle name="Normal 3 2 6 2 3 3 2 2" xfId="7625"/>
    <cellStyle name="Normal 3 2 6 2 3 3 2 2 2" xfId="10954"/>
    <cellStyle name="Normal 3 2 6 2 3 3 2 2 2 2" xfId="17658"/>
    <cellStyle name="Normal 3 2 6 2 3 3 2 2 2 2 2" xfId="41079"/>
    <cellStyle name="Normal 3 2 6 2 3 3 2 2 2 3" xfId="34447"/>
    <cellStyle name="Normal 3 2 6 2 3 3 2 2 3" xfId="14342"/>
    <cellStyle name="Normal 3 2 6 2 3 3 2 2 3 2" xfId="37763"/>
    <cellStyle name="Normal 3 2 6 2 3 3 2 2 4" xfId="22916"/>
    <cellStyle name="Normal 3 2 6 2 3 3 2 2 4 2" xfId="45338"/>
    <cellStyle name="Normal 3 2 6 2 3 3 2 2 5" xfId="31131"/>
    <cellStyle name="Normal 3 2 6 2 3 3 2 3" xfId="9296"/>
    <cellStyle name="Normal 3 2 6 2 3 3 2 3 2" xfId="16000"/>
    <cellStyle name="Normal 3 2 6 2 3 3 2 3 2 2" xfId="39421"/>
    <cellStyle name="Normal 3 2 6 2 3 3 2 3 3" xfId="32789"/>
    <cellStyle name="Normal 3 2 6 2 3 3 2 4" xfId="12684"/>
    <cellStyle name="Normal 3 2 6 2 3 3 2 4 2" xfId="36105"/>
    <cellStyle name="Normal 3 2 6 2 3 3 2 5" xfId="20086"/>
    <cellStyle name="Normal 3 2 6 2 3 3 2 5 2" xfId="42621"/>
    <cellStyle name="Normal 3 2 6 2 3 3 2 6" xfId="29473"/>
    <cellStyle name="Normal 3 2 6 2 3 3 3" xfId="6726"/>
    <cellStyle name="Normal 3 2 6 2 3 3 3 2" xfId="10058"/>
    <cellStyle name="Normal 3 2 6 2 3 3 3 2 2" xfId="16762"/>
    <cellStyle name="Normal 3 2 6 2 3 3 3 2 2 2" xfId="40183"/>
    <cellStyle name="Normal 3 2 6 2 3 3 3 2 3" xfId="33551"/>
    <cellStyle name="Normal 3 2 6 2 3 3 3 3" xfId="13446"/>
    <cellStyle name="Normal 3 2 6 2 3 3 3 3 2" xfId="36867"/>
    <cellStyle name="Normal 3 2 6 2 3 3 3 4" xfId="21325"/>
    <cellStyle name="Normal 3 2 6 2 3 3 3 4 2" xfId="43776"/>
    <cellStyle name="Normal 3 2 6 2 3 3 3 5" xfId="30235"/>
    <cellStyle name="Normal 3 2 6 2 3 3 4" xfId="8392"/>
    <cellStyle name="Normal 3 2 6 2 3 3 4 2" xfId="15104"/>
    <cellStyle name="Normal 3 2 6 2 3 3 4 2 2" xfId="38525"/>
    <cellStyle name="Normal 3 2 6 2 3 3 4 3" xfId="22097"/>
    <cellStyle name="Normal 3 2 6 2 3 3 4 3 2" xfId="44521"/>
    <cellStyle name="Normal 3 2 6 2 3 3 4 4" xfId="31893"/>
    <cellStyle name="Normal 3 2 6 2 3 3 5" xfId="11786"/>
    <cellStyle name="Normal 3 2 6 2 3 3 5 2" xfId="35209"/>
    <cellStyle name="Normal 3 2 6 2 3 3 6" xfId="19236"/>
    <cellStyle name="Normal 3 2 6 2 3 3 6 2" xfId="41789"/>
    <cellStyle name="Normal 3 2 6 2 3 3 7" xfId="28577"/>
    <cellStyle name="Normal 3 2 6 2 3 4" xfId="3992"/>
    <cellStyle name="Normal 3 2 6 2 3 4 2" xfId="7022"/>
    <cellStyle name="Normal 3 2 6 2 3 4 2 2" xfId="10354"/>
    <cellStyle name="Normal 3 2 6 2 3 4 2 2 2" xfId="17058"/>
    <cellStyle name="Normal 3 2 6 2 3 4 2 2 2 2" xfId="40479"/>
    <cellStyle name="Normal 3 2 6 2 3 4 2 2 3" xfId="33847"/>
    <cellStyle name="Normal 3 2 6 2 3 4 2 3" xfId="13742"/>
    <cellStyle name="Normal 3 2 6 2 3 4 2 3 2" xfId="37163"/>
    <cellStyle name="Normal 3 2 6 2 3 4 2 4" xfId="22510"/>
    <cellStyle name="Normal 3 2 6 2 3 4 2 4 2" xfId="44932"/>
    <cellStyle name="Normal 3 2 6 2 3 4 2 5" xfId="30531"/>
    <cellStyle name="Normal 3 2 6 2 3 4 3" xfId="8689"/>
    <cellStyle name="Normal 3 2 6 2 3 4 3 2" xfId="15400"/>
    <cellStyle name="Normal 3 2 6 2 3 4 3 2 2" xfId="38821"/>
    <cellStyle name="Normal 3 2 6 2 3 4 3 3" xfId="32189"/>
    <cellStyle name="Normal 3 2 6 2 3 4 4" xfId="12082"/>
    <cellStyle name="Normal 3 2 6 2 3 4 4 2" xfId="35505"/>
    <cellStyle name="Normal 3 2 6 2 3 4 5" xfId="19668"/>
    <cellStyle name="Normal 3 2 6 2 3 4 5 2" xfId="42205"/>
    <cellStyle name="Normal 3 2 6 2 3 4 6" xfId="28873"/>
    <cellStyle name="Normal 3 2 6 2 3 5" xfId="6253"/>
    <cellStyle name="Normal 3 2 6 2 3 5 2" xfId="9587"/>
    <cellStyle name="Normal 3 2 6 2 3 5 2 2" xfId="16291"/>
    <cellStyle name="Normal 3 2 6 2 3 5 2 2 2" xfId="39712"/>
    <cellStyle name="Normal 3 2 6 2 3 5 2 3" xfId="33080"/>
    <cellStyle name="Normal 3 2 6 2 3 5 3" xfId="12975"/>
    <cellStyle name="Normal 3 2 6 2 3 5 3 2" xfId="36396"/>
    <cellStyle name="Normal 3 2 6 2 3 5 4" xfId="20866"/>
    <cellStyle name="Normal 3 2 6 2 3 5 4 2" xfId="43317"/>
    <cellStyle name="Normal 3 2 6 2 3 5 5" xfId="29764"/>
    <cellStyle name="Normal 3 2 6 2 3 6" xfId="7919"/>
    <cellStyle name="Normal 3 2 6 2 3 6 2" xfId="14633"/>
    <cellStyle name="Normal 3 2 6 2 3 6 2 2" xfId="38054"/>
    <cellStyle name="Normal 3 2 6 2 3 6 3" xfId="21660"/>
    <cellStyle name="Normal 3 2 6 2 3 6 3 2" xfId="44109"/>
    <cellStyle name="Normal 3 2 6 2 3 6 4" xfId="31422"/>
    <cellStyle name="Normal 3 2 6 2 3 7" xfId="11315"/>
    <cellStyle name="Normal 3 2 6 2 3 7 2" xfId="34738"/>
    <cellStyle name="Normal 3 2 6 2 3 8" xfId="18046"/>
    <cellStyle name="Normal 3 2 6 2 3 8 2" xfId="41336"/>
    <cellStyle name="Normal 3 2 6 2 3 9" xfId="23637"/>
    <cellStyle name="Normal 3 2 6 2 3 9 2" xfId="45927"/>
    <cellStyle name="Normal 3 2 6 2 4" xfId="2294"/>
    <cellStyle name="Normal 3 2 6 2 4 2" xfId="5542"/>
    <cellStyle name="Normal 3 2 6 2 4 2 2" xfId="7366"/>
    <cellStyle name="Normal 3 2 6 2 4 2 2 2" xfId="10697"/>
    <cellStyle name="Normal 3 2 6 2 4 2 2 2 2" xfId="17401"/>
    <cellStyle name="Normal 3 2 6 2 4 2 2 2 2 2" xfId="40822"/>
    <cellStyle name="Normal 3 2 6 2 4 2 2 2 3" xfId="23117"/>
    <cellStyle name="Normal 3 2 6 2 4 2 2 2 3 2" xfId="45539"/>
    <cellStyle name="Normal 3 2 6 2 4 2 2 2 4" xfId="34190"/>
    <cellStyle name="Normal 3 2 6 2 4 2 2 3" xfId="14085"/>
    <cellStyle name="Normal 3 2 6 2 4 2 2 3 2" xfId="37506"/>
    <cellStyle name="Normal 3 2 6 2 4 2 2 4" xfId="20291"/>
    <cellStyle name="Normal 3 2 6 2 4 2 2 4 2" xfId="42826"/>
    <cellStyle name="Normal 3 2 6 2 4 2 2 5" xfId="30874"/>
    <cellStyle name="Normal 3 2 6 2 4 2 3" xfId="9039"/>
    <cellStyle name="Normal 3 2 6 2 4 2 3 2" xfId="15743"/>
    <cellStyle name="Normal 3 2 6 2 4 2 3 2 2" xfId="39164"/>
    <cellStyle name="Normal 3 2 6 2 4 2 3 3" xfId="21327"/>
    <cellStyle name="Normal 3 2 6 2 4 2 3 3 2" xfId="43778"/>
    <cellStyle name="Normal 3 2 6 2 4 2 3 4" xfId="32532"/>
    <cellStyle name="Normal 3 2 6 2 4 2 4" xfId="12427"/>
    <cellStyle name="Normal 3 2 6 2 4 2 4 2" xfId="22304"/>
    <cellStyle name="Normal 3 2 6 2 4 2 4 2 2" xfId="44726"/>
    <cellStyle name="Normal 3 2 6 2 4 2 4 3" xfId="35848"/>
    <cellStyle name="Normal 3 2 6 2 4 2 5" xfId="19452"/>
    <cellStyle name="Normal 3 2 6 2 4 2 5 2" xfId="41994"/>
    <cellStyle name="Normal 3 2 6 2 4 2 6" xfId="29216"/>
    <cellStyle name="Normal 3 2 6 2 4 3" xfId="6463"/>
    <cellStyle name="Normal 3 2 6 2 4 3 2" xfId="9797"/>
    <cellStyle name="Normal 3 2 6 2 4 3 2 2" xfId="16501"/>
    <cellStyle name="Normal 3 2 6 2 4 3 2 2 2" xfId="39922"/>
    <cellStyle name="Normal 3 2 6 2 4 3 2 3" xfId="22711"/>
    <cellStyle name="Normal 3 2 6 2 4 3 2 3 2" xfId="45133"/>
    <cellStyle name="Normal 3 2 6 2 4 3 2 4" xfId="33290"/>
    <cellStyle name="Normal 3 2 6 2 4 3 3" xfId="13185"/>
    <cellStyle name="Normal 3 2 6 2 4 3 3 2" xfId="36606"/>
    <cellStyle name="Normal 3 2 6 2 4 3 4" xfId="19875"/>
    <cellStyle name="Normal 3 2 6 2 4 3 4 2" xfId="42410"/>
    <cellStyle name="Normal 3 2 6 2 4 3 5" xfId="29974"/>
    <cellStyle name="Normal 3 2 6 2 4 4" xfId="8130"/>
    <cellStyle name="Normal 3 2 6 2 4 4 2" xfId="14843"/>
    <cellStyle name="Normal 3 2 6 2 4 4 2 2" xfId="38264"/>
    <cellStyle name="Normal 3 2 6 2 4 4 3" xfId="20868"/>
    <cellStyle name="Normal 3 2 6 2 4 4 3 2" xfId="43319"/>
    <cellStyle name="Normal 3 2 6 2 4 4 4" xfId="31632"/>
    <cellStyle name="Normal 3 2 6 2 4 5" xfId="11525"/>
    <cellStyle name="Normal 3 2 6 2 4 5 2" xfId="21879"/>
    <cellStyle name="Normal 3 2 6 2 4 5 2 2" xfId="44312"/>
    <cellStyle name="Normal 3 2 6 2 4 5 3" xfId="34948"/>
    <cellStyle name="Normal 3 2 6 2 4 6" xfId="18727"/>
    <cellStyle name="Normal 3 2 6 2 4 6 2" xfId="41569"/>
    <cellStyle name="Normal 3 2 6 2 4 7" xfId="25870"/>
    <cellStyle name="Normal 3 2 6 2 4 7 2" xfId="48115"/>
    <cellStyle name="Normal 3 2 6 2 4 8" xfId="28316"/>
    <cellStyle name="Normal 3 2 6 2 5" xfId="2619"/>
    <cellStyle name="Normal 3 2 6 2 5 2" xfId="5712"/>
    <cellStyle name="Normal 3 2 6 2 5 2 2" xfId="7494"/>
    <cellStyle name="Normal 3 2 6 2 5 2 2 2" xfId="10823"/>
    <cellStyle name="Normal 3 2 6 2 5 2 2 2 2" xfId="17527"/>
    <cellStyle name="Normal 3 2 6 2 5 2 2 2 2 2" xfId="40948"/>
    <cellStyle name="Normal 3 2 6 2 5 2 2 2 3" xfId="34316"/>
    <cellStyle name="Normal 3 2 6 2 5 2 2 3" xfId="14211"/>
    <cellStyle name="Normal 3 2 6 2 5 2 2 3 2" xfId="37632"/>
    <cellStyle name="Normal 3 2 6 2 5 2 2 4" xfId="20598"/>
    <cellStyle name="Normal 3 2 6 2 5 2 2 4 2" xfId="43049"/>
    <cellStyle name="Normal 3 2 6 2 5 2 2 5" xfId="31000"/>
    <cellStyle name="Normal 3 2 6 2 5 2 3" xfId="9165"/>
    <cellStyle name="Normal 3 2 6 2 5 2 3 2" xfId="15869"/>
    <cellStyle name="Normal 3 2 6 2 5 2 3 2 2" xfId="39290"/>
    <cellStyle name="Normal 3 2 6 2 5 2 3 3" xfId="21516"/>
    <cellStyle name="Normal 3 2 6 2 5 2 3 3 2" xfId="43967"/>
    <cellStyle name="Normal 3 2 6 2 5 2 3 4" xfId="32658"/>
    <cellStyle name="Normal 3 2 6 2 5 2 4" xfId="12553"/>
    <cellStyle name="Normal 3 2 6 2 5 2 4 2" xfId="22913"/>
    <cellStyle name="Normal 3 2 6 2 5 2 4 2 2" xfId="45335"/>
    <cellStyle name="Normal 3 2 6 2 5 2 4 3" xfId="35974"/>
    <cellStyle name="Normal 3 2 6 2 5 2 5" xfId="20083"/>
    <cellStyle name="Normal 3 2 6 2 5 2 5 2" xfId="42618"/>
    <cellStyle name="Normal 3 2 6 2 5 2 6" xfId="29342"/>
    <cellStyle name="Normal 3 2 6 2 5 3" xfId="6595"/>
    <cellStyle name="Normal 3 2 6 2 5 3 2" xfId="9927"/>
    <cellStyle name="Normal 3 2 6 2 5 3 2 2" xfId="16631"/>
    <cellStyle name="Normal 3 2 6 2 5 3 2 2 2" xfId="40052"/>
    <cellStyle name="Normal 3 2 6 2 5 3 2 3" xfId="33420"/>
    <cellStyle name="Normal 3 2 6 2 5 3 3" xfId="13315"/>
    <cellStyle name="Normal 3 2 6 2 5 3 3 2" xfId="36736"/>
    <cellStyle name="Normal 3 2 6 2 5 3 4" xfId="20500"/>
    <cellStyle name="Normal 3 2 6 2 5 3 4 2" xfId="42953"/>
    <cellStyle name="Normal 3 2 6 2 5 3 5" xfId="30104"/>
    <cellStyle name="Normal 3 2 6 2 5 4" xfId="8261"/>
    <cellStyle name="Normal 3 2 6 2 5 4 2" xfId="14973"/>
    <cellStyle name="Normal 3 2 6 2 5 4 2 2" xfId="38394"/>
    <cellStyle name="Normal 3 2 6 2 5 4 3" xfId="21057"/>
    <cellStyle name="Normal 3 2 6 2 5 4 3 2" xfId="43508"/>
    <cellStyle name="Normal 3 2 6 2 5 4 4" xfId="31762"/>
    <cellStyle name="Normal 3 2 6 2 5 5" xfId="11655"/>
    <cellStyle name="Normal 3 2 6 2 5 5 2" xfId="22094"/>
    <cellStyle name="Normal 3 2 6 2 5 5 2 2" xfId="44518"/>
    <cellStyle name="Normal 3 2 6 2 5 5 3" xfId="35078"/>
    <cellStyle name="Normal 3 2 6 2 5 6" xfId="19233"/>
    <cellStyle name="Normal 3 2 6 2 5 6 2" xfId="41786"/>
    <cellStyle name="Normal 3 2 6 2 5 7" xfId="28446"/>
    <cellStyle name="Normal 3 2 6 2 6" xfId="3989"/>
    <cellStyle name="Normal 3 2 6 2 6 2" xfId="7019"/>
    <cellStyle name="Normal 3 2 6 2 6 2 2" xfId="10351"/>
    <cellStyle name="Normal 3 2 6 2 6 2 2 2" xfId="17055"/>
    <cellStyle name="Normal 3 2 6 2 6 2 2 2 2" xfId="40476"/>
    <cellStyle name="Normal 3 2 6 2 6 2 2 3" xfId="33844"/>
    <cellStyle name="Normal 3 2 6 2 6 2 3" xfId="13739"/>
    <cellStyle name="Normal 3 2 6 2 6 2 3 2" xfId="37160"/>
    <cellStyle name="Normal 3 2 6 2 6 2 4" xfId="20549"/>
    <cellStyle name="Normal 3 2 6 2 6 2 4 2" xfId="43001"/>
    <cellStyle name="Normal 3 2 6 2 6 2 5" xfId="30528"/>
    <cellStyle name="Normal 3 2 6 2 6 3" xfId="8686"/>
    <cellStyle name="Normal 3 2 6 2 6 3 2" xfId="15397"/>
    <cellStyle name="Normal 3 2 6 2 6 3 2 2" xfId="38818"/>
    <cellStyle name="Normal 3 2 6 2 6 3 3" xfId="21320"/>
    <cellStyle name="Normal 3 2 6 2 6 3 3 2" xfId="43771"/>
    <cellStyle name="Normal 3 2 6 2 6 3 4" xfId="32186"/>
    <cellStyle name="Normal 3 2 6 2 6 4" xfId="12079"/>
    <cellStyle name="Normal 3 2 6 2 6 4 2" xfId="22507"/>
    <cellStyle name="Normal 3 2 6 2 6 4 2 2" xfId="44929"/>
    <cellStyle name="Normal 3 2 6 2 6 4 3" xfId="35502"/>
    <cellStyle name="Normal 3 2 6 2 6 5" xfId="19665"/>
    <cellStyle name="Normal 3 2 6 2 6 5 2" xfId="42202"/>
    <cellStyle name="Normal 3 2 6 2 6 6" xfId="28870"/>
    <cellStyle name="Normal 3 2 6 2 7" xfId="6122"/>
    <cellStyle name="Normal 3 2 6 2 7 2" xfId="9456"/>
    <cellStyle name="Normal 3 2 6 2 7 2 2" xfId="16160"/>
    <cellStyle name="Normal 3 2 6 2 7 2 2 2" xfId="39581"/>
    <cellStyle name="Normal 3 2 6 2 7 2 3" xfId="32949"/>
    <cellStyle name="Normal 3 2 6 2 7 3" xfId="12844"/>
    <cellStyle name="Normal 3 2 6 2 7 3 2" xfId="36265"/>
    <cellStyle name="Normal 3 2 6 2 7 4" xfId="18301"/>
    <cellStyle name="Normal 3 2 6 2 7 4 2" xfId="41434"/>
    <cellStyle name="Normal 3 2 6 2 7 5" xfId="29633"/>
    <cellStyle name="Normal 3 2 6 2 8" xfId="7788"/>
    <cellStyle name="Normal 3 2 6 2 8 2" xfId="14502"/>
    <cellStyle name="Normal 3 2 6 2 8 2 2" xfId="37923"/>
    <cellStyle name="Normal 3 2 6 2 8 3" xfId="20861"/>
    <cellStyle name="Normal 3 2 6 2 8 3 2" xfId="43312"/>
    <cellStyle name="Normal 3 2 6 2 8 4" xfId="31291"/>
    <cellStyle name="Normal 3 2 6 2 9" xfId="11184"/>
    <cellStyle name="Normal 3 2 6 2 9 2" xfId="21657"/>
    <cellStyle name="Normal 3 2 6 2 9 2 2" xfId="44106"/>
    <cellStyle name="Normal 3 2 6 2 9 3" xfId="34607"/>
    <cellStyle name="Normal 3 2 6 3" xfId="1618"/>
    <cellStyle name="Normal 3 2 6 3 10" xfId="23638"/>
    <cellStyle name="Normal 3 2 6 3 10 2" xfId="45928"/>
    <cellStyle name="Normal 3 2 6 3 11" xfId="28038"/>
    <cellStyle name="Normal 3 2 6 3 2" xfId="1817"/>
    <cellStyle name="Normal 3 2 6 3 2 10" xfId="28169"/>
    <cellStyle name="Normal 3 2 6 3 2 2" xfId="2299"/>
    <cellStyle name="Normal 3 2 6 3 2 2 2" xfId="5547"/>
    <cellStyle name="Normal 3 2 6 3 2 2 2 2" xfId="7371"/>
    <cellStyle name="Normal 3 2 6 3 2 2 2 2 2" xfId="10702"/>
    <cellStyle name="Normal 3 2 6 3 2 2 2 2 2 2" xfId="17406"/>
    <cellStyle name="Normal 3 2 6 3 2 2 2 2 2 2 2" xfId="40827"/>
    <cellStyle name="Normal 3 2 6 3 2 2 2 2 2 3" xfId="23122"/>
    <cellStyle name="Normal 3 2 6 3 2 2 2 2 2 3 2" xfId="45544"/>
    <cellStyle name="Normal 3 2 6 3 2 2 2 2 2 4" xfId="34195"/>
    <cellStyle name="Normal 3 2 6 3 2 2 2 2 3" xfId="14090"/>
    <cellStyle name="Normal 3 2 6 3 2 2 2 2 3 2" xfId="37511"/>
    <cellStyle name="Normal 3 2 6 3 2 2 2 2 4" xfId="20296"/>
    <cellStyle name="Normal 3 2 6 3 2 2 2 2 4 2" xfId="42831"/>
    <cellStyle name="Normal 3 2 6 3 2 2 2 2 5" xfId="30879"/>
    <cellStyle name="Normal 3 2 6 3 2 2 2 3" xfId="9044"/>
    <cellStyle name="Normal 3 2 6 3 2 2 2 3 2" xfId="15748"/>
    <cellStyle name="Normal 3 2 6 3 2 2 2 3 2 2" xfId="39169"/>
    <cellStyle name="Normal 3 2 6 3 2 2 2 3 3" xfId="21330"/>
    <cellStyle name="Normal 3 2 6 3 2 2 2 3 3 2" xfId="43781"/>
    <cellStyle name="Normal 3 2 6 3 2 2 2 3 4" xfId="32537"/>
    <cellStyle name="Normal 3 2 6 3 2 2 2 4" xfId="12432"/>
    <cellStyle name="Normal 3 2 6 3 2 2 2 4 2" xfId="22309"/>
    <cellStyle name="Normal 3 2 6 3 2 2 2 4 2 2" xfId="44731"/>
    <cellStyle name="Normal 3 2 6 3 2 2 2 4 3" xfId="35853"/>
    <cellStyle name="Normal 3 2 6 3 2 2 2 5" xfId="19457"/>
    <cellStyle name="Normal 3 2 6 3 2 2 2 5 2" xfId="41999"/>
    <cellStyle name="Normal 3 2 6 3 2 2 2 6" xfId="29221"/>
    <cellStyle name="Normal 3 2 6 3 2 2 3" xfId="6468"/>
    <cellStyle name="Normal 3 2 6 3 2 2 3 2" xfId="9802"/>
    <cellStyle name="Normal 3 2 6 3 2 2 3 2 2" xfId="16506"/>
    <cellStyle name="Normal 3 2 6 3 2 2 3 2 2 2" xfId="39927"/>
    <cellStyle name="Normal 3 2 6 3 2 2 3 2 3" xfId="22716"/>
    <cellStyle name="Normal 3 2 6 3 2 2 3 2 3 2" xfId="45138"/>
    <cellStyle name="Normal 3 2 6 3 2 2 3 2 4" xfId="33295"/>
    <cellStyle name="Normal 3 2 6 3 2 2 3 3" xfId="13190"/>
    <cellStyle name="Normal 3 2 6 3 2 2 3 3 2" xfId="36611"/>
    <cellStyle name="Normal 3 2 6 3 2 2 3 4" xfId="19880"/>
    <cellStyle name="Normal 3 2 6 3 2 2 3 4 2" xfId="42415"/>
    <cellStyle name="Normal 3 2 6 3 2 2 3 5" xfId="29979"/>
    <cellStyle name="Normal 3 2 6 3 2 2 4" xfId="8135"/>
    <cellStyle name="Normal 3 2 6 3 2 2 4 2" xfId="14848"/>
    <cellStyle name="Normal 3 2 6 3 2 2 4 2 2" xfId="38269"/>
    <cellStyle name="Normal 3 2 6 3 2 2 4 3" xfId="20871"/>
    <cellStyle name="Normal 3 2 6 3 2 2 4 3 2" xfId="43322"/>
    <cellStyle name="Normal 3 2 6 3 2 2 4 4" xfId="31637"/>
    <cellStyle name="Normal 3 2 6 3 2 2 5" xfId="11530"/>
    <cellStyle name="Normal 3 2 6 3 2 2 5 2" xfId="21884"/>
    <cellStyle name="Normal 3 2 6 3 2 2 5 2 2" xfId="44317"/>
    <cellStyle name="Normal 3 2 6 3 2 2 5 3" xfId="34953"/>
    <cellStyle name="Normal 3 2 6 3 2 2 6" xfId="18732"/>
    <cellStyle name="Normal 3 2 6 3 2 2 6 2" xfId="41574"/>
    <cellStyle name="Normal 3 2 6 3 2 2 7" xfId="25875"/>
    <cellStyle name="Normal 3 2 6 3 2 2 7 2" xfId="48120"/>
    <cellStyle name="Normal 3 2 6 3 2 2 8" xfId="28321"/>
    <cellStyle name="Normal 3 2 6 3 2 3" xfId="2814"/>
    <cellStyle name="Normal 3 2 6 3 2 3 2" xfId="5906"/>
    <cellStyle name="Normal 3 2 6 3 2 3 2 2" xfId="7688"/>
    <cellStyle name="Normal 3 2 6 3 2 3 2 2 2" xfId="11017"/>
    <cellStyle name="Normal 3 2 6 3 2 3 2 2 2 2" xfId="17721"/>
    <cellStyle name="Normal 3 2 6 3 2 3 2 2 2 2 2" xfId="41142"/>
    <cellStyle name="Normal 3 2 6 3 2 3 2 2 2 3" xfId="34510"/>
    <cellStyle name="Normal 3 2 6 3 2 3 2 2 3" xfId="14405"/>
    <cellStyle name="Normal 3 2 6 3 2 3 2 2 3 2" xfId="37826"/>
    <cellStyle name="Normal 3 2 6 3 2 3 2 2 4" xfId="22918"/>
    <cellStyle name="Normal 3 2 6 3 2 3 2 2 4 2" xfId="45340"/>
    <cellStyle name="Normal 3 2 6 3 2 3 2 2 5" xfId="31194"/>
    <cellStyle name="Normal 3 2 6 3 2 3 2 3" xfId="9359"/>
    <cellStyle name="Normal 3 2 6 3 2 3 2 3 2" xfId="16063"/>
    <cellStyle name="Normal 3 2 6 3 2 3 2 3 2 2" xfId="39484"/>
    <cellStyle name="Normal 3 2 6 3 2 3 2 3 3" xfId="32852"/>
    <cellStyle name="Normal 3 2 6 3 2 3 2 4" xfId="12747"/>
    <cellStyle name="Normal 3 2 6 3 2 3 2 4 2" xfId="36168"/>
    <cellStyle name="Normal 3 2 6 3 2 3 2 5" xfId="20088"/>
    <cellStyle name="Normal 3 2 6 3 2 3 2 5 2" xfId="42623"/>
    <cellStyle name="Normal 3 2 6 3 2 3 2 6" xfId="29536"/>
    <cellStyle name="Normal 3 2 6 3 2 3 3" xfId="6789"/>
    <cellStyle name="Normal 3 2 6 3 2 3 3 2" xfId="10121"/>
    <cellStyle name="Normal 3 2 6 3 2 3 3 2 2" xfId="16825"/>
    <cellStyle name="Normal 3 2 6 3 2 3 3 2 2 2" xfId="40246"/>
    <cellStyle name="Normal 3 2 6 3 2 3 3 2 3" xfId="33614"/>
    <cellStyle name="Normal 3 2 6 3 2 3 3 3" xfId="13509"/>
    <cellStyle name="Normal 3 2 6 3 2 3 3 3 2" xfId="36930"/>
    <cellStyle name="Normal 3 2 6 3 2 3 3 4" xfId="21329"/>
    <cellStyle name="Normal 3 2 6 3 2 3 3 4 2" xfId="43780"/>
    <cellStyle name="Normal 3 2 6 3 2 3 3 5" xfId="30298"/>
    <cellStyle name="Normal 3 2 6 3 2 3 4" xfId="8455"/>
    <cellStyle name="Normal 3 2 6 3 2 3 4 2" xfId="15167"/>
    <cellStyle name="Normal 3 2 6 3 2 3 4 2 2" xfId="38588"/>
    <cellStyle name="Normal 3 2 6 3 2 3 4 3" xfId="22099"/>
    <cellStyle name="Normal 3 2 6 3 2 3 4 3 2" xfId="44523"/>
    <cellStyle name="Normal 3 2 6 3 2 3 4 4" xfId="31956"/>
    <cellStyle name="Normal 3 2 6 3 2 3 5" xfId="11849"/>
    <cellStyle name="Normal 3 2 6 3 2 3 5 2" xfId="35272"/>
    <cellStyle name="Normal 3 2 6 3 2 3 6" xfId="19238"/>
    <cellStyle name="Normal 3 2 6 3 2 3 6 2" xfId="41791"/>
    <cellStyle name="Normal 3 2 6 3 2 3 7" xfId="28640"/>
    <cellStyle name="Normal 3 2 6 3 2 4" xfId="3994"/>
    <cellStyle name="Normal 3 2 6 3 2 4 2" xfId="7024"/>
    <cellStyle name="Normal 3 2 6 3 2 4 2 2" xfId="10356"/>
    <cellStyle name="Normal 3 2 6 3 2 4 2 2 2" xfId="17060"/>
    <cellStyle name="Normal 3 2 6 3 2 4 2 2 2 2" xfId="40481"/>
    <cellStyle name="Normal 3 2 6 3 2 4 2 2 3" xfId="33849"/>
    <cellStyle name="Normal 3 2 6 3 2 4 2 3" xfId="13744"/>
    <cellStyle name="Normal 3 2 6 3 2 4 2 3 2" xfId="37165"/>
    <cellStyle name="Normal 3 2 6 3 2 4 2 4" xfId="22512"/>
    <cellStyle name="Normal 3 2 6 3 2 4 2 4 2" xfId="44934"/>
    <cellStyle name="Normal 3 2 6 3 2 4 2 5" xfId="30533"/>
    <cellStyle name="Normal 3 2 6 3 2 4 3" xfId="8691"/>
    <cellStyle name="Normal 3 2 6 3 2 4 3 2" xfId="15402"/>
    <cellStyle name="Normal 3 2 6 3 2 4 3 2 2" xfId="38823"/>
    <cellStyle name="Normal 3 2 6 3 2 4 3 3" xfId="32191"/>
    <cellStyle name="Normal 3 2 6 3 2 4 4" xfId="12084"/>
    <cellStyle name="Normal 3 2 6 3 2 4 4 2" xfId="35507"/>
    <cellStyle name="Normal 3 2 6 3 2 4 5" xfId="19670"/>
    <cellStyle name="Normal 3 2 6 3 2 4 5 2" xfId="42207"/>
    <cellStyle name="Normal 3 2 6 3 2 4 6" xfId="28875"/>
    <cellStyle name="Normal 3 2 6 3 2 5" xfId="6316"/>
    <cellStyle name="Normal 3 2 6 3 2 5 2" xfId="9650"/>
    <cellStyle name="Normal 3 2 6 3 2 5 2 2" xfId="16354"/>
    <cellStyle name="Normal 3 2 6 3 2 5 2 2 2" xfId="39775"/>
    <cellStyle name="Normal 3 2 6 3 2 5 2 3" xfId="33143"/>
    <cellStyle name="Normal 3 2 6 3 2 5 3" xfId="13038"/>
    <cellStyle name="Normal 3 2 6 3 2 5 3 2" xfId="36459"/>
    <cellStyle name="Normal 3 2 6 3 2 5 4" xfId="20870"/>
    <cellStyle name="Normal 3 2 6 3 2 5 4 2" xfId="43321"/>
    <cellStyle name="Normal 3 2 6 3 2 5 5" xfId="29827"/>
    <cellStyle name="Normal 3 2 6 3 2 6" xfId="7982"/>
    <cellStyle name="Normal 3 2 6 3 2 6 2" xfId="14696"/>
    <cellStyle name="Normal 3 2 6 3 2 6 2 2" xfId="38117"/>
    <cellStyle name="Normal 3 2 6 3 2 6 3" xfId="21662"/>
    <cellStyle name="Normal 3 2 6 3 2 6 3 2" xfId="44111"/>
    <cellStyle name="Normal 3 2 6 3 2 6 4" xfId="31485"/>
    <cellStyle name="Normal 3 2 6 3 2 7" xfId="11378"/>
    <cellStyle name="Normal 3 2 6 3 2 7 2" xfId="34801"/>
    <cellStyle name="Normal 3 2 6 3 2 8" xfId="18048"/>
    <cellStyle name="Normal 3 2 6 3 2 8 2" xfId="41338"/>
    <cellStyle name="Normal 3 2 6 3 2 9" xfId="23639"/>
    <cellStyle name="Normal 3 2 6 3 2 9 2" xfId="45929"/>
    <cellStyle name="Normal 3 2 6 3 3" xfId="2298"/>
    <cellStyle name="Normal 3 2 6 3 3 2" xfId="5546"/>
    <cellStyle name="Normal 3 2 6 3 3 2 2" xfId="7370"/>
    <cellStyle name="Normal 3 2 6 3 3 2 2 2" xfId="10701"/>
    <cellStyle name="Normal 3 2 6 3 3 2 2 2 2" xfId="17405"/>
    <cellStyle name="Normal 3 2 6 3 3 2 2 2 2 2" xfId="40826"/>
    <cellStyle name="Normal 3 2 6 3 3 2 2 2 3" xfId="23121"/>
    <cellStyle name="Normal 3 2 6 3 3 2 2 2 3 2" xfId="45543"/>
    <cellStyle name="Normal 3 2 6 3 3 2 2 2 4" xfId="34194"/>
    <cellStyle name="Normal 3 2 6 3 3 2 2 3" xfId="14089"/>
    <cellStyle name="Normal 3 2 6 3 3 2 2 3 2" xfId="37510"/>
    <cellStyle name="Normal 3 2 6 3 3 2 2 4" xfId="20295"/>
    <cellStyle name="Normal 3 2 6 3 3 2 2 4 2" xfId="42830"/>
    <cellStyle name="Normal 3 2 6 3 3 2 2 5" xfId="30878"/>
    <cellStyle name="Normal 3 2 6 3 3 2 3" xfId="9043"/>
    <cellStyle name="Normal 3 2 6 3 3 2 3 2" xfId="15747"/>
    <cellStyle name="Normal 3 2 6 3 3 2 3 2 2" xfId="39168"/>
    <cellStyle name="Normal 3 2 6 3 3 2 3 3" xfId="21331"/>
    <cellStyle name="Normal 3 2 6 3 3 2 3 3 2" xfId="43782"/>
    <cellStyle name="Normal 3 2 6 3 3 2 3 4" xfId="32536"/>
    <cellStyle name="Normal 3 2 6 3 3 2 4" xfId="12431"/>
    <cellStyle name="Normal 3 2 6 3 3 2 4 2" xfId="22308"/>
    <cellStyle name="Normal 3 2 6 3 3 2 4 2 2" xfId="44730"/>
    <cellStyle name="Normal 3 2 6 3 3 2 4 3" xfId="35852"/>
    <cellStyle name="Normal 3 2 6 3 3 2 5" xfId="19456"/>
    <cellStyle name="Normal 3 2 6 3 3 2 5 2" xfId="41998"/>
    <cellStyle name="Normal 3 2 6 3 3 2 6" xfId="29220"/>
    <cellStyle name="Normal 3 2 6 3 3 3" xfId="6467"/>
    <cellStyle name="Normal 3 2 6 3 3 3 2" xfId="9801"/>
    <cellStyle name="Normal 3 2 6 3 3 3 2 2" xfId="16505"/>
    <cellStyle name="Normal 3 2 6 3 3 3 2 2 2" xfId="39926"/>
    <cellStyle name="Normal 3 2 6 3 3 3 2 3" xfId="22715"/>
    <cellStyle name="Normal 3 2 6 3 3 3 2 3 2" xfId="45137"/>
    <cellStyle name="Normal 3 2 6 3 3 3 2 4" xfId="33294"/>
    <cellStyle name="Normal 3 2 6 3 3 3 3" xfId="13189"/>
    <cellStyle name="Normal 3 2 6 3 3 3 3 2" xfId="36610"/>
    <cellStyle name="Normal 3 2 6 3 3 3 4" xfId="19879"/>
    <cellStyle name="Normal 3 2 6 3 3 3 4 2" xfId="42414"/>
    <cellStyle name="Normal 3 2 6 3 3 3 5" xfId="29978"/>
    <cellStyle name="Normal 3 2 6 3 3 4" xfId="8134"/>
    <cellStyle name="Normal 3 2 6 3 3 4 2" xfId="14847"/>
    <cellStyle name="Normal 3 2 6 3 3 4 2 2" xfId="38268"/>
    <cellStyle name="Normal 3 2 6 3 3 4 3" xfId="20872"/>
    <cellStyle name="Normal 3 2 6 3 3 4 3 2" xfId="43323"/>
    <cellStyle name="Normal 3 2 6 3 3 4 4" xfId="31636"/>
    <cellStyle name="Normal 3 2 6 3 3 5" xfId="11529"/>
    <cellStyle name="Normal 3 2 6 3 3 5 2" xfId="21883"/>
    <cellStyle name="Normal 3 2 6 3 3 5 2 2" xfId="44316"/>
    <cellStyle name="Normal 3 2 6 3 3 5 3" xfId="34952"/>
    <cellStyle name="Normal 3 2 6 3 3 6" xfId="18731"/>
    <cellStyle name="Normal 3 2 6 3 3 6 2" xfId="41573"/>
    <cellStyle name="Normal 3 2 6 3 3 7" xfId="25874"/>
    <cellStyle name="Normal 3 2 6 3 3 7 2" xfId="48119"/>
    <cellStyle name="Normal 3 2 6 3 3 8" xfId="28320"/>
    <cellStyle name="Normal 3 2 6 3 4" xfId="2682"/>
    <cellStyle name="Normal 3 2 6 3 4 2" xfId="5775"/>
    <cellStyle name="Normal 3 2 6 3 4 2 2" xfId="7557"/>
    <cellStyle name="Normal 3 2 6 3 4 2 2 2" xfId="10886"/>
    <cellStyle name="Normal 3 2 6 3 4 2 2 2 2" xfId="17590"/>
    <cellStyle name="Normal 3 2 6 3 4 2 2 2 2 2" xfId="41011"/>
    <cellStyle name="Normal 3 2 6 3 4 2 2 2 3" xfId="34379"/>
    <cellStyle name="Normal 3 2 6 3 4 2 2 3" xfId="14274"/>
    <cellStyle name="Normal 3 2 6 3 4 2 2 3 2" xfId="37695"/>
    <cellStyle name="Normal 3 2 6 3 4 2 2 4" xfId="22917"/>
    <cellStyle name="Normal 3 2 6 3 4 2 2 4 2" xfId="45339"/>
    <cellStyle name="Normal 3 2 6 3 4 2 2 5" xfId="31063"/>
    <cellStyle name="Normal 3 2 6 3 4 2 3" xfId="9228"/>
    <cellStyle name="Normal 3 2 6 3 4 2 3 2" xfId="15932"/>
    <cellStyle name="Normal 3 2 6 3 4 2 3 2 2" xfId="39353"/>
    <cellStyle name="Normal 3 2 6 3 4 2 3 3" xfId="32721"/>
    <cellStyle name="Normal 3 2 6 3 4 2 4" xfId="12616"/>
    <cellStyle name="Normal 3 2 6 3 4 2 4 2" xfId="36037"/>
    <cellStyle name="Normal 3 2 6 3 4 2 5" xfId="20087"/>
    <cellStyle name="Normal 3 2 6 3 4 2 5 2" xfId="42622"/>
    <cellStyle name="Normal 3 2 6 3 4 2 6" xfId="29405"/>
    <cellStyle name="Normal 3 2 6 3 4 3" xfId="6658"/>
    <cellStyle name="Normal 3 2 6 3 4 3 2" xfId="9990"/>
    <cellStyle name="Normal 3 2 6 3 4 3 2 2" xfId="16694"/>
    <cellStyle name="Normal 3 2 6 3 4 3 2 2 2" xfId="40115"/>
    <cellStyle name="Normal 3 2 6 3 4 3 2 3" xfId="33483"/>
    <cellStyle name="Normal 3 2 6 3 4 3 3" xfId="13378"/>
    <cellStyle name="Normal 3 2 6 3 4 3 3 2" xfId="36799"/>
    <cellStyle name="Normal 3 2 6 3 4 3 4" xfId="21328"/>
    <cellStyle name="Normal 3 2 6 3 4 3 4 2" xfId="43779"/>
    <cellStyle name="Normal 3 2 6 3 4 3 5" xfId="30167"/>
    <cellStyle name="Normal 3 2 6 3 4 4" xfId="8324"/>
    <cellStyle name="Normal 3 2 6 3 4 4 2" xfId="15036"/>
    <cellStyle name="Normal 3 2 6 3 4 4 2 2" xfId="38457"/>
    <cellStyle name="Normal 3 2 6 3 4 4 3" xfId="22098"/>
    <cellStyle name="Normal 3 2 6 3 4 4 3 2" xfId="44522"/>
    <cellStyle name="Normal 3 2 6 3 4 4 4" xfId="31825"/>
    <cellStyle name="Normal 3 2 6 3 4 5" xfId="11718"/>
    <cellStyle name="Normal 3 2 6 3 4 5 2" xfId="35141"/>
    <cellStyle name="Normal 3 2 6 3 4 6" xfId="19237"/>
    <cellStyle name="Normal 3 2 6 3 4 6 2" xfId="41790"/>
    <cellStyle name="Normal 3 2 6 3 4 7" xfId="28509"/>
    <cellStyle name="Normal 3 2 6 3 5" xfId="3993"/>
    <cellStyle name="Normal 3 2 6 3 5 2" xfId="7023"/>
    <cellStyle name="Normal 3 2 6 3 5 2 2" xfId="10355"/>
    <cellStyle name="Normal 3 2 6 3 5 2 2 2" xfId="17059"/>
    <cellStyle name="Normal 3 2 6 3 5 2 2 2 2" xfId="40480"/>
    <cellStyle name="Normal 3 2 6 3 5 2 2 3" xfId="33848"/>
    <cellStyle name="Normal 3 2 6 3 5 2 3" xfId="13743"/>
    <cellStyle name="Normal 3 2 6 3 5 2 3 2" xfId="37164"/>
    <cellStyle name="Normal 3 2 6 3 5 2 4" xfId="22511"/>
    <cellStyle name="Normal 3 2 6 3 5 2 4 2" xfId="44933"/>
    <cellStyle name="Normal 3 2 6 3 5 2 5" xfId="30532"/>
    <cellStyle name="Normal 3 2 6 3 5 3" xfId="8690"/>
    <cellStyle name="Normal 3 2 6 3 5 3 2" xfId="15401"/>
    <cellStyle name="Normal 3 2 6 3 5 3 2 2" xfId="38822"/>
    <cellStyle name="Normal 3 2 6 3 5 3 3" xfId="32190"/>
    <cellStyle name="Normal 3 2 6 3 5 4" xfId="12083"/>
    <cellStyle name="Normal 3 2 6 3 5 4 2" xfId="35506"/>
    <cellStyle name="Normal 3 2 6 3 5 5" xfId="19669"/>
    <cellStyle name="Normal 3 2 6 3 5 5 2" xfId="42206"/>
    <cellStyle name="Normal 3 2 6 3 5 6" xfId="28874"/>
    <cellStyle name="Normal 3 2 6 3 6" xfId="6185"/>
    <cellStyle name="Normal 3 2 6 3 6 2" xfId="9519"/>
    <cellStyle name="Normal 3 2 6 3 6 2 2" xfId="16223"/>
    <cellStyle name="Normal 3 2 6 3 6 2 2 2" xfId="39644"/>
    <cellStyle name="Normal 3 2 6 3 6 2 3" xfId="33012"/>
    <cellStyle name="Normal 3 2 6 3 6 3" xfId="12907"/>
    <cellStyle name="Normal 3 2 6 3 6 3 2" xfId="36328"/>
    <cellStyle name="Normal 3 2 6 3 6 4" xfId="20869"/>
    <cellStyle name="Normal 3 2 6 3 6 4 2" xfId="43320"/>
    <cellStyle name="Normal 3 2 6 3 6 5" xfId="29696"/>
    <cellStyle name="Normal 3 2 6 3 7" xfId="7851"/>
    <cellStyle name="Normal 3 2 6 3 7 2" xfId="14565"/>
    <cellStyle name="Normal 3 2 6 3 7 2 2" xfId="37986"/>
    <cellStyle name="Normal 3 2 6 3 7 3" xfId="21661"/>
    <cellStyle name="Normal 3 2 6 3 7 3 2" xfId="44110"/>
    <cellStyle name="Normal 3 2 6 3 7 4" xfId="31354"/>
    <cellStyle name="Normal 3 2 6 3 8" xfId="11247"/>
    <cellStyle name="Normal 3 2 6 3 8 2" xfId="34670"/>
    <cellStyle name="Normal 3 2 6 3 9" xfId="18047"/>
    <cellStyle name="Normal 3 2 6 3 9 2" xfId="41337"/>
    <cellStyle name="Normal 3 2 6 4" xfId="1717"/>
    <cellStyle name="Normal 3 2 6 4 10" xfId="28070"/>
    <cellStyle name="Normal 3 2 6 4 2" xfId="2300"/>
    <cellStyle name="Normal 3 2 6 4 2 2" xfId="5548"/>
    <cellStyle name="Normal 3 2 6 4 2 2 2" xfId="7372"/>
    <cellStyle name="Normal 3 2 6 4 2 2 2 2" xfId="10703"/>
    <cellStyle name="Normal 3 2 6 4 2 2 2 2 2" xfId="17407"/>
    <cellStyle name="Normal 3 2 6 4 2 2 2 2 2 2" xfId="40828"/>
    <cellStyle name="Normal 3 2 6 4 2 2 2 2 3" xfId="23123"/>
    <cellStyle name="Normal 3 2 6 4 2 2 2 2 3 2" xfId="45545"/>
    <cellStyle name="Normal 3 2 6 4 2 2 2 2 4" xfId="34196"/>
    <cellStyle name="Normal 3 2 6 4 2 2 2 3" xfId="14091"/>
    <cellStyle name="Normal 3 2 6 4 2 2 2 3 2" xfId="37512"/>
    <cellStyle name="Normal 3 2 6 4 2 2 2 4" xfId="20297"/>
    <cellStyle name="Normal 3 2 6 4 2 2 2 4 2" xfId="42832"/>
    <cellStyle name="Normal 3 2 6 4 2 2 2 5" xfId="30880"/>
    <cellStyle name="Normal 3 2 6 4 2 2 3" xfId="9045"/>
    <cellStyle name="Normal 3 2 6 4 2 2 3 2" xfId="15749"/>
    <cellStyle name="Normal 3 2 6 4 2 2 3 2 2" xfId="39170"/>
    <cellStyle name="Normal 3 2 6 4 2 2 3 3" xfId="21333"/>
    <cellStyle name="Normal 3 2 6 4 2 2 3 3 2" xfId="43784"/>
    <cellStyle name="Normal 3 2 6 4 2 2 3 4" xfId="32538"/>
    <cellStyle name="Normal 3 2 6 4 2 2 4" xfId="12433"/>
    <cellStyle name="Normal 3 2 6 4 2 2 4 2" xfId="22310"/>
    <cellStyle name="Normal 3 2 6 4 2 2 4 2 2" xfId="44732"/>
    <cellStyle name="Normal 3 2 6 4 2 2 4 3" xfId="35854"/>
    <cellStyle name="Normal 3 2 6 4 2 2 5" xfId="19458"/>
    <cellStyle name="Normal 3 2 6 4 2 2 5 2" xfId="42000"/>
    <cellStyle name="Normal 3 2 6 4 2 2 6" xfId="29222"/>
    <cellStyle name="Normal 3 2 6 4 2 3" xfId="6469"/>
    <cellStyle name="Normal 3 2 6 4 2 3 2" xfId="9803"/>
    <cellStyle name="Normal 3 2 6 4 2 3 2 2" xfId="16507"/>
    <cellStyle name="Normal 3 2 6 4 2 3 2 2 2" xfId="39928"/>
    <cellStyle name="Normal 3 2 6 4 2 3 2 3" xfId="22717"/>
    <cellStyle name="Normal 3 2 6 4 2 3 2 3 2" xfId="45139"/>
    <cellStyle name="Normal 3 2 6 4 2 3 2 4" xfId="33296"/>
    <cellStyle name="Normal 3 2 6 4 2 3 3" xfId="13191"/>
    <cellStyle name="Normal 3 2 6 4 2 3 3 2" xfId="36612"/>
    <cellStyle name="Normal 3 2 6 4 2 3 4" xfId="19881"/>
    <cellStyle name="Normal 3 2 6 4 2 3 4 2" xfId="42416"/>
    <cellStyle name="Normal 3 2 6 4 2 3 5" xfId="29980"/>
    <cellStyle name="Normal 3 2 6 4 2 4" xfId="8136"/>
    <cellStyle name="Normal 3 2 6 4 2 4 2" xfId="14849"/>
    <cellStyle name="Normal 3 2 6 4 2 4 2 2" xfId="38270"/>
    <cellStyle name="Normal 3 2 6 4 2 4 3" xfId="20874"/>
    <cellStyle name="Normal 3 2 6 4 2 4 3 2" xfId="43325"/>
    <cellStyle name="Normal 3 2 6 4 2 4 4" xfId="31638"/>
    <cellStyle name="Normal 3 2 6 4 2 5" xfId="11531"/>
    <cellStyle name="Normal 3 2 6 4 2 5 2" xfId="21885"/>
    <cellStyle name="Normal 3 2 6 4 2 5 2 2" xfId="44318"/>
    <cellStyle name="Normal 3 2 6 4 2 5 3" xfId="34954"/>
    <cellStyle name="Normal 3 2 6 4 2 6" xfId="18733"/>
    <cellStyle name="Normal 3 2 6 4 2 6 2" xfId="41575"/>
    <cellStyle name="Normal 3 2 6 4 2 7" xfId="25876"/>
    <cellStyle name="Normal 3 2 6 4 2 7 2" xfId="48121"/>
    <cellStyle name="Normal 3 2 6 4 2 8" xfId="28322"/>
    <cellStyle name="Normal 3 2 6 4 3" xfId="2715"/>
    <cellStyle name="Normal 3 2 6 4 3 2" xfId="5807"/>
    <cellStyle name="Normal 3 2 6 4 3 2 2" xfId="7589"/>
    <cellStyle name="Normal 3 2 6 4 3 2 2 2" xfId="10918"/>
    <cellStyle name="Normal 3 2 6 4 3 2 2 2 2" xfId="17622"/>
    <cellStyle name="Normal 3 2 6 4 3 2 2 2 2 2" xfId="41043"/>
    <cellStyle name="Normal 3 2 6 4 3 2 2 2 3" xfId="34411"/>
    <cellStyle name="Normal 3 2 6 4 3 2 2 3" xfId="14306"/>
    <cellStyle name="Normal 3 2 6 4 3 2 2 3 2" xfId="37727"/>
    <cellStyle name="Normal 3 2 6 4 3 2 2 4" xfId="22919"/>
    <cellStyle name="Normal 3 2 6 4 3 2 2 4 2" xfId="45341"/>
    <cellStyle name="Normal 3 2 6 4 3 2 2 5" xfId="31095"/>
    <cellStyle name="Normal 3 2 6 4 3 2 3" xfId="9260"/>
    <cellStyle name="Normal 3 2 6 4 3 2 3 2" xfId="15964"/>
    <cellStyle name="Normal 3 2 6 4 3 2 3 2 2" xfId="39385"/>
    <cellStyle name="Normal 3 2 6 4 3 2 3 3" xfId="32753"/>
    <cellStyle name="Normal 3 2 6 4 3 2 4" xfId="12648"/>
    <cellStyle name="Normal 3 2 6 4 3 2 4 2" xfId="36069"/>
    <cellStyle name="Normal 3 2 6 4 3 2 5" xfId="20089"/>
    <cellStyle name="Normal 3 2 6 4 3 2 5 2" xfId="42624"/>
    <cellStyle name="Normal 3 2 6 4 3 2 6" xfId="29437"/>
    <cellStyle name="Normal 3 2 6 4 3 3" xfId="6690"/>
    <cellStyle name="Normal 3 2 6 4 3 3 2" xfId="10022"/>
    <cellStyle name="Normal 3 2 6 4 3 3 2 2" xfId="16726"/>
    <cellStyle name="Normal 3 2 6 4 3 3 2 2 2" xfId="40147"/>
    <cellStyle name="Normal 3 2 6 4 3 3 2 3" xfId="33515"/>
    <cellStyle name="Normal 3 2 6 4 3 3 3" xfId="13410"/>
    <cellStyle name="Normal 3 2 6 4 3 3 3 2" xfId="36831"/>
    <cellStyle name="Normal 3 2 6 4 3 3 4" xfId="21332"/>
    <cellStyle name="Normal 3 2 6 4 3 3 4 2" xfId="43783"/>
    <cellStyle name="Normal 3 2 6 4 3 3 5" xfId="30199"/>
    <cellStyle name="Normal 3 2 6 4 3 4" xfId="8356"/>
    <cellStyle name="Normal 3 2 6 4 3 4 2" xfId="15068"/>
    <cellStyle name="Normal 3 2 6 4 3 4 2 2" xfId="38489"/>
    <cellStyle name="Normal 3 2 6 4 3 4 3" xfId="22100"/>
    <cellStyle name="Normal 3 2 6 4 3 4 3 2" xfId="44524"/>
    <cellStyle name="Normal 3 2 6 4 3 4 4" xfId="31857"/>
    <cellStyle name="Normal 3 2 6 4 3 5" xfId="11750"/>
    <cellStyle name="Normal 3 2 6 4 3 5 2" xfId="35173"/>
    <cellStyle name="Normal 3 2 6 4 3 6" xfId="19239"/>
    <cellStyle name="Normal 3 2 6 4 3 6 2" xfId="41792"/>
    <cellStyle name="Normal 3 2 6 4 3 7" xfId="28541"/>
    <cellStyle name="Normal 3 2 6 4 4" xfId="3995"/>
    <cellStyle name="Normal 3 2 6 4 4 2" xfId="7025"/>
    <cellStyle name="Normal 3 2 6 4 4 2 2" xfId="10357"/>
    <cellStyle name="Normal 3 2 6 4 4 2 2 2" xfId="17061"/>
    <cellStyle name="Normal 3 2 6 4 4 2 2 2 2" xfId="40482"/>
    <cellStyle name="Normal 3 2 6 4 4 2 2 3" xfId="33850"/>
    <cellStyle name="Normal 3 2 6 4 4 2 3" xfId="13745"/>
    <cellStyle name="Normal 3 2 6 4 4 2 3 2" xfId="37166"/>
    <cellStyle name="Normal 3 2 6 4 4 2 4" xfId="22513"/>
    <cellStyle name="Normal 3 2 6 4 4 2 4 2" xfId="44935"/>
    <cellStyle name="Normal 3 2 6 4 4 2 5" xfId="30534"/>
    <cellStyle name="Normal 3 2 6 4 4 3" xfId="8692"/>
    <cellStyle name="Normal 3 2 6 4 4 3 2" xfId="15403"/>
    <cellStyle name="Normal 3 2 6 4 4 3 2 2" xfId="38824"/>
    <cellStyle name="Normal 3 2 6 4 4 3 3" xfId="32192"/>
    <cellStyle name="Normal 3 2 6 4 4 4" xfId="12085"/>
    <cellStyle name="Normal 3 2 6 4 4 4 2" xfId="35508"/>
    <cellStyle name="Normal 3 2 6 4 4 5" xfId="19671"/>
    <cellStyle name="Normal 3 2 6 4 4 5 2" xfId="42208"/>
    <cellStyle name="Normal 3 2 6 4 4 6" xfId="28876"/>
    <cellStyle name="Normal 3 2 6 4 5" xfId="6217"/>
    <cellStyle name="Normal 3 2 6 4 5 2" xfId="9551"/>
    <cellStyle name="Normal 3 2 6 4 5 2 2" xfId="16255"/>
    <cellStyle name="Normal 3 2 6 4 5 2 2 2" xfId="39676"/>
    <cellStyle name="Normal 3 2 6 4 5 2 3" xfId="33044"/>
    <cellStyle name="Normal 3 2 6 4 5 3" xfId="12939"/>
    <cellStyle name="Normal 3 2 6 4 5 3 2" xfId="36360"/>
    <cellStyle name="Normal 3 2 6 4 5 4" xfId="20873"/>
    <cellStyle name="Normal 3 2 6 4 5 4 2" xfId="43324"/>
    <cellStyle name="Normal 3 2 6 4 5 5" xfId="29728"/>
    <cellStyle name="Normal 3 2 6 4 6" xfId="7883"/>
    <cellStyle name="Normal 3 2 6 4 6 2" xfId="14597"/>
    <cellStyle name="Normal 3 2 6 4 6 2 2" xfId="38018"/>
    <cellStyle name="Normal 3 2 6 4 6 3" xfId="21663"/>
    <cellStyle name="Normal 3 2 6 4 6 3 2" xfId="44112"/>
    <cellStyle name="Normal 3 2 6 4 6 4" xfId="31386"/>
    <cellStyle name="Normal 3 2 6 4 7" xfId="11279"/>
    <cellStyle name="Normal 3 2 6 4 7 2" xfId="34702"/>
    <cellStyle name="Normal 3 2 6 4 8" xfId="18049"/>
    <cellStyle name="Normal 3 2 6 4 8 2" xfId="41339"/>
    <cellStyle name="Normal 3 2 6 4 9" xfId="23640"/>
    <cellStyle name="Normal 3 2 6 4 9 2" xfId="45930"/>
    <cellStyle name="Normal 3 2 6 5" xfId="2293"/>
    <cellStyle name="Normal 3 2 6 5 2" xfId="5541"/>
    <cellStyle name="Normal 3 2 6 5 2 2" xfId="7365"/>
    <cellStyle name="Normal 3 2 6 5 2 2 2" xfId="10696"/>
    <cellStyle name="Normal 3 2 6 5 2 2 2 2" xfId="17400"/>
    <cellStyle name="Normal 3 2 6 5 2 2 2 2 2" xfId="40821"/>
    <cellStyle name="Normal 3 2 6 5 2 2 2 3" xfId="23116"/>
    <cellStyle name="Normal 3 2 6 5 2 2 2 3 2" xfId="45538"/>
    <cellStyle name="Normal 3 2 6 5 2 2 2 4" xfId="34189"/>
    <cellStyle name="Normal 3 2 6 5 2 2 3" xfId="14084"/>
    <cellStyle name="Normal 3 2 6 5 2 2 3 2" xfId="37505"/>
    <cellStyle name="Normal 3 2 6 5 2 2 4" xfId="20290"/>
    <cellStyle name="Normal 3 2 6 5 2 2 4 2" xfId="42825"/>
    <cellStyle name="Normal 3 2 6 5 2 2 5" xfId="30873"/>
    <cellStyle name="Normal 3 2 6 5 2 3" xfId="9038"/>
    <cellStyle name="Normal 3 2 6 5 2 3 2" xfId="15742"/>
    <cellStyle name="Normal 3 2 6 5 2 3 2 2" xfId="39163"/>
    <cellStyle name="Normal 3 2 6 5 2 3 3" xfId="21334"/>
    <cellStyle name="Normal 3 2 6 5 2 3 3 2" xfId="43785"/>
    <cellStyle name="Normal 3 2 6 5 2 3 4" xfId="32531"/>
    <cellStyle name="Normal 3 2 6 5 2 4" xfId="12426"/>
    <cellStyle name="Normal 3 2 6 5 2 4 2" xfId="22303"/>
    <cellStyle name="Normal 3 2 6 5 2 4 2 2" xfId="44725"/>
    <cellStyle name="Normal 3 2 6 5 2 4 3" xfId="35847"/>
    <cellStyle name="Normal 3 2 6 5 2 5" xfId="19451"/>
    <cellStyle name="Normal 3 2 6 5 2 5 2" xfId="41993"/>
    <cellStyle name="Normal 3 2 6 5 2 6" xfId="29215"/>
    <cellStyle name="Normal 3 2 6 5 3" xfId="6462"/>
    <cellStyle name="Normal 3 2 6 5 3 2" xfId="9796"/>
    <cellStyle name="Normal 3 2 6 5 3 2 2" xfId="16500"/>
    <cellStyle name="Normal 3 2 6 5 3 2 2 2" xfId="39921"/>
    <cellStyle name="Normal 3 2 6 5 3 2 3" xfId="22710"/>
    <cellStyle name="Normal 3 2 6 5 3 2 3 2" xfId="45132"/>
    <cellStyle name="Normal 3 2 6 5 3 2 4" xfId="33289"/>
    <cellStyle name="Normal 3 2 6 5 3 3" xfId="13184"/>
    <cellStyle name="Normal 3 2 6 5 3 3 2" xfId="36605"/>
    <cellStyle name="Normal 3 2 6 5 3 4" xfId="19874"/>
    <cellStyle name="Normal 3 2 6 5 3 4 2" xfId="42409"/>
    <cellStyle name="Normal 3 2 6 5 3 5" xfId="29973"/>
    <cellStyle name="Normal 3 2 6 5 4" xfId="8129"/>
    <cellStyle name="Normal 3 2 6 5 4 2" xfId="14842"/>
    <cellStyle name="Normal 3 2 6 5 4 2 2" xfId="38263"/>
    <cellStyle name="Normal 3 2 6 5 4 3" xfId="20875"/>
    <cellStyle name="Normal 3 2 6 5 4 3 2" xfId="43326"/>
    <cellStyle name="Normal 3 2 6 5 4 4" xfId="31631"/>
    <cellStyle name="Normal 3 2 6 5 5" xfId="11524"/>
    <cellStyle name="Normal 3 2 6 5 5 2" xfId="21878"/>
    <cellStyle name="Normal 3 2 6 5 5 2 2" xfId="44311"/>
    <cellStyle name="Normal 3 2 6 5 5 3" xfId="34947"/>
    <cellStyle name="Normal 3 2 6 5 6" xfId="18726"/>
    <cellStyle name="Normal 3 2 6 5 6 2" xfId="41568"/>
    <cellStyle name="Normal 3 2 6 5 7" xfId="25869"/>
    <cellStyle name="Normal 3 2 6 5 7 2" xfId="48114"/>
    <cellStyle name="Normal 3 2 6 5 8" xfId="28315"/>
    <cellStyle name="Normal 3 2 6 6" xfId="2582"/>
    <cellStyle name="Normal 3 2 6 6 2" xfId="5676"/>
    <cellStyle name="Normal 3 2 6 6 2 2" xfId="7459"/>
    <cellStyle name="Normal 3 2 6 6 2 2 2" xfId="10788"/>
    <cellStyle name="Normal 3 2 6 6 2 2 2 2" xfId="17492"/>
    <cellStyle name="Normal 3 2 6 6 2 2 2 2 2" xfId="40913"/>
    <cellStyle name="Normal 3 2 6 6 2 2 2 3" xfId="34281"/>
    <cellStyle name="Normal 3 2 6 6 2 2 3" xfId="14176"/>
    <cellStyle name="Normal 3 2 6 6 2 2 3 2" xfId="37597"/>
    <cellStyle name="Normal 3 2 6 6 2 2 4" xfId="20597"/>
    <cellStyle name="Normal 3 2 6 6 2 2 4 2" xfId="43048"/>
    <cellStyle name="Normal 3 2 6 6 2 2 5" xfId="30965"/>
    <cellStyle name="Normal 3 2 6 6 2 3" xfId="9130"/>
    <cellStyle name="Normal 3 2 6 6 2 3 2" xfId="15834"/>
    <cellStyle name="Normal 3 2 6 6 2 3 2 2" xfId="39255"/>
    <cellStyle name="Normal 3 2 6 6 2 3 3" xfId="21515"/>
    <cellStyle name="Normal 3 2 6 6 2 3 3 2" xfId="43966"/>
    <cellStyle name="Normal 3 2 6 6 2 3 4" xfId="32623"/>
    <cellStyle name="Normal 3 2 6 6 2 4" xfId="12518"/>
    <cellStyle name="Normal 3 2 6 6 2 4 2" xfId="22912"/>
    <cellStyle name="Normal 3 2 6 6 2 4 2 2" xfId="45334"/>
    <cellStyle name="Normal 3 2 6 6 2 4 3" xfId="35939"/>
    <cellStyle name="Normal 3 2 6 6 2 5" xfId="20082"/>
    <cellStyle name="Normal 3 2 6 6 2 5 2" xfId="42617"/>
    <cellStyle name="Normal 3 2 6 6 2 6" xfId="29307"/>
    <cellStyle name="Normal 3 2 6 6 3" xfId="6559"/>
    <cellStyle name="Normal 3 2 6 6 3 2" xfId="9891"/>
    <cellStyle name="Normal 3 2 6 6 3 2 2" xfId="16595"/>
    <cellStyle name="Normal 3 2 6 6 3 2 2 2" xfId="40016"/>
    <cellStyle name="Normal 3 2 6 6 3 2 3" xfId="33384"/>
    <cellStyle name="Normal 3 2 6 6 3 3" xfId="13279"/>
    <cellStyle name="Normal 3 2 6 6 3 3 2" xfId="36700"/>
    <cellStyle name="Normal 3 2 6 6 3 4" xfId="20499"/>
    <cellStyle name="Normal 3 2 6 6 3 4 2" xfId="42952"/>
    <cellStyle name="Normal 3 2 6 6 3 5" xfId="30068"/>
    <cellStyle name="Normal 3 2 6 6 4" xfId="8225"/>
    <cellStyle name="Normal 3 2 6 6 4 2" xfId="14937"/>
    <cellStyle name="Normal 3 2 6 6 4 2 2" xfId="38358"/>
    <cellStyle name="Normal 3 2 6 6 4 3" xfId="21056"/>
    <cellStyle name="Normal 3 2 6 6 4 3 2" xfId="43507"/>
    <cellStyle name="Normal 3 2 6 6 4 4" xfId="31726"/>
    <cellStyle name="Normal 3 2 6 6 5" xfId="11619"/>
    <cellStyle name="Normal 3 2 6 6 5 2" xfId="22093"/>
    <cellStyle name="Normal 3 2 6 6 5 2 2" xfId="44517"/>
    <cellStyle name="Normal 3 2 6 6 5 3" xfId="35042"/>
    <cellStyle name="Normal 3 2 6 6 6" xfId="19232"/>
    <cellStyle name="Normal 3 2 6 6 6 2" xfId="41785"/>
    <cellStyle name="Normal 3 2 6 6 7" xfId="28410"/>
    <cellStyle name="Normal 3 2 6 7" xfId="3988"/>
    <cellStyle name="Normal 3 2 6 7 2" xfId="7018"/>
    <cellStyle name="Normal 3 2 6 7 2 2" xfId="10350"/>
    <cellStyle name="Normal 3 2 6 7 2 2 2" xfId="17054"/>
    <cellStyle name="Normal 3 2 6 7 2 2 2 2" xfId="40475"/>
    <cellStyle name="Normal 3 2 6 7 2 2 3" xfId="33843"/>
    <cellStyle name="Normal 3 2 6 7 2 3" xfId="13738"/>
    <cellStyle name="Normal 3 2 6 7 2 3 2" xfId="37159"/>
    <cellStyle name="Normal 3 2 6 7 2 4" xfId="20548"/>
    <cellStyle name="Normal 3 2 6 7 2 4 2" xfId="43000"/>
    <cellStyle name="Normal 3 2 6 7 2 5" xfId="30527"/>
    <cellStyle name="Normal 3 2 6 7 3" xfId="8685"/>
    <cellStyle name="Normal 3 2 6 7 3 2" xfId="15396"/>
    <cellStyle name="Normal 3 2 6 7 3 2 2" xfId="38817"/>
    <cellStyle name="Normal 3 2 6 7 3 3" xfId="21319"/>
    <cellStyle name="Normal 3 2 6 7 3 3 2" xfId="43770"/>
    <cellStyle name="Normal 3 2 6 7 3 4" xfId="32185"/>
    <cellStyle name="Normal 3 2 6 7 4" xfId="12078"/>
    <cellStyle name="Normal 3 2 6 7 4 2" xfId="22506"/>
    <cellStyle name="Normal 3 2 6 7 4 2 2" xfId="44928"/>
    <cellStyle name="Normal 3 2 6 7 4 3" xfId="35501"/>
    <cellStyle name="Normal 3 2 6 7 5" xfId="19664"/>
    <cellStyle name="Normal 3 2 6 7 5 2" xfId="42201"/>
    <cellStyle name="Normal 3 2 6 7 6" xfId="28869"/>
    <cellStyle name="Normal 3 2 6 8" xfId="6086"/>
    <cellStyle name="Normal 3 2 6 8 2" xfId="9420"/>
    <cellStyle name="Normal 3 2 6 8 2 2" xfId="16124"/>
    <cellStyle name="Normal 3 2 6 8 2 2 2" xfId="39545"/>
    <cellStyle name="Normal 3 2 6 8 2 3" xfId="32913"/>
    <cellStyle name="Normal 3 2 6 8 3" xfId="12808"/>
    <cellStyle name="Normal 3 2 6 8 3 2" xfId="36229"/>
    <cellStyle name="Normal 3 2 6 8 4" xfId="18300"/>
    <cellStyle name="Normal 3 2 6 8 4 2" xfId="41433"/>
    <cellStyle name="Normal 3 2 6 8 5" xfId="29597"/>
    <cellStyle name="Normal 3 2 6 9" xfId="7751"/>
    <cellStyle name="Normal 3 2 6 9 2" xfId="14466"/>
    <cellStyle name="Normal 3 2 6 9 2 2" xfId="37887"/>
    <cellStyle name="Normal 3 2 6 9 3" xfId="20860"/>
    <cellStyle name="Normal 3 2 6 9 3 2" xfId="43311"/>
    <cellStyle name="Normal 3 2 6 9 4" xfId="31255"/>
    <cellStyle name="Normal 3 2 7" xfId="1474"/>
    <cellStyle name="Normal 3 2 7 10" xfId="23641"/>
    <cellStyle name="Normal 3 2 7 10 2" xfId="45931"/>
    <cellStyle name="Normal 3 2 7 11" xfId="28004"/>
    <cellStyle name="Normal 3 2 7 2" xfId="1620"/>
    <cellStyle name="Normal 3 2 7 2 2" xfId="18735"/>
    <cellStyle name="Normal 3 2 7 3" xfId="1783"/>
    <cellStyle name="Normal 3 2 7 3 10" xfId="28135"/>
    <cellStyle name="Normal 3 2 7 3 2" xfId="2302"/>
    <cellStyle name="Normal 3 2 7 3 2 2" xfId="5549"/>
    <cellStyle name="Normal 3 2 7 3 2 2 2" xfId="7373"/>
    <cellStyle name="Normal 3 2 7 3 2 2 2 2" xfId="10704"/>
    <cellStyle name="Normal 3 2 7 3 2 2 2 2 2" xfId="17408"/>
    <cellStyle name="Normal 3 2 7 3 2 2 2 2 2 2" xfId="40829"/>
    <cellStyle name="Normal 3 2 7 3 2 2 2 2 3" xfId="23124"/>
    <cellStyle name="Normal 3 2 7 3 2 2 2 2 3 2" xfId="45546"/>
    <cellStyle name="Normal 3 2 7 3 2 2 2 2 4" xfId="34197"/>
    <cellStyle name="Normal 3 2 7 3 2 2 2 3" xfId="14092"/>
    <cellStyle name="Normal 3 2 7 3 2 2 2 3 2" xfId="37513"/>
    <cellStyle name="Normal 3 2 7 3 2 2 2 4" xfId="20298"/>
    <cellStyle name="Normal 3 2 7 3 2 2 2 4 2" xfId="42833"/>
    <cellStyle name="Normal 3 2 7 3 2 2 2 5" xfId="30881"/>
    <cellStyle name="Normal 3 2 7 3 2 2 3" xfId="9046"/>
    <cellStyle name="Normal 3 2 7 3 2 2 3 2" xfId="15750"/>
    <cellStyle name="Normal 3 2 7 3 2 2 3 2 2" xfId="39171"/>
    <cellStyle name="Normal 3 2 7 3 2 2 3 3" xfId="21336"/>
    <cellStyle name="Normal 3 2 7 3 2 2 3 3 2" xfId="43787"/>
    <cellStyle name="Normal 3 2 7 3 2 2 3 4" xfId="32539"/>
    <cellStyle name="Normal 3 2 7 3 2 2 4" xfId="12434"/>
    <cellStyle name="Normal 3 2 7 3 2 2 4 2" xfId="22311"/>
    <cellStyle name="Normal 3 2 7 3 2 2 4 2 2" xfId="44733"/>
    <cellStyle name="Normal 3 2 7 3 2 2 4 3" xfId="35855"/>
    <cellStyle name="Normal 3 2 7 3 2 2 5" xfId="19459"/>
    <cellStyle name="Normal 3 2 7 3 2 2 5 2" xfId="42001"/>
    <cellStyle name="Normal 3 2 7 3 2 2 6" xfId="29223"/>
    <cellStyle name="Normal 3 2 7 3 2 3" xfId="6470"/>
    <cellStyle name="Normal 3 2 7 3 2 3 2" xfId="9804"/>
    <cellStyle name="Normal 3 2 7 3 2 3 2 2" xfId="16508"/>
    <cellStyle name="Normal 3 2 7 3 2 3 2 2 2" xfId="39929"/>
    <cellStyle name="Normal 3 2 7 3 2 3 2 3" xfId="22718"/>
    <cellStyle name="Normal 3 2 7 3 2 3 2 3 2" xfId="45140"/>
    <cellStyle name="Normal 3 2 7 3 2 3 2 4" xfId="33297"/>
    <cellStyle name="Normal 3 2 7 3 2 3 3" xfId="13192"/>
    <cellStyle name="Normal 3 2 7 3 2 3 3 2" xfId="36613"/>
    <cellStyle name="Normal 3 2 7 3 2 3 4" xfId="19882"/>
    <cellStyle name="Normal 3 2 7 3 2 3 4 2" xfId="42417"/>
    <cellStyle name="Normal 3 2 7 3 2 3 5" xfId="29981"/>
    <cellStyle name="Normal 3 2 7 3 2 4" xfId="8137"/>
    <cellStyle name="Normal 3 2 7 3 2 4 2" xfId="14850"/>
    <cellStyle name="Normal 3 2 7 3 2 4 2 2" xfId="38271"/>
    <cellStyle name="Normal 3 2 7 3 2 4 3" xfId="20877"/>
    <cellStyle name="Normal 3 2 7 3 2 4 3 2" xfId="43328"/>
    <cellStyle name="Normal 3 2 7 3 2 4 4" xfId="31639"/>
    <cellStyle name="Normal 3 2 7 3 2 5" xfId="11532"/>
    <cellStyle name="Normal 3 2 7 3 2 5 2" xfId="21887"/>
    <cellStyle name="Normal 3 2 7 3 2 5 2 2" xfId="44319"/>
    <cellStyle name="Normal 3 2 7 3 2 5 3" xfId="34955"/>
    <cellStyle name="Normal 3 2 7 3 2 6" xfId="18736"/>
    <cellStyle name="Normal 3 2 7 3 2 6 2" xfId="41576"/>
    <cellStyle name="Normal 3 2 7 3 2 7" xfId="25878"/>
    <cellStyle name="Normal 3 2 7 3 2 7 2" xfId="48123"/>
    <cellStyle name="Normal 3 2 7 3 2 8" xfId="28323"/>
    <cellStyle name="Normal 3 2 7 3 3" xfId="2780"/>
    <cellStyle name="Normal 3 2 7 3 3 2" xfId="5872"/>
    <cellStyle name="Normal 3 2 7 3 3 2 2" xfId="7654"/>
    <cellStyle name="Normal 3 2 7 3 3 2 2 2" xfId="10983"/>
    <cellStyle name="Normal 3 2 7 3 3 2 2 2 2" xfId="17687"/>
    <cellStyle name="Normal 3 2 7 3 3 2 2 2 2 2" xfId="41108"/>
    <cellStyle name="Normal 3 2 7 3 3 2 2 2 3" xfId="34476"/>
    <cellStyle name="Normal 3 2 7 3 3 2 2 3" xfId="14371"/>
    <cellStyle name="Normal 3 2 7 3 3 2 2 3 2" xfId="37792"/>
    <cellStyle name="Normal 3 2 7 3 3 2 2 4" xfId="22920"/>
    <cellStyle name="Normal 3 2 7 3 3 2 2 4 2" xfId="45342"/>
    <cellStyle name="Normal 3 2 7 3 3 2 2 5" xfId="31160"/>
    <cellStyle name="Normal 3 2 7 3 3 2 3" xfId="9325"/>
    <cellStyle name="Normal 3 2 7 3 3 2 3 2" xfId="16029"/>
    <cellStyle name="Normal 3 2 7 3 3 2 3 2 2" xfId="39450"/>
    <cellStyle name="Normal 3 2 7 3 3 2 3 3" xfId="32818"/>
    <cellStyle name="Normal 3 2 7 3 3 2 4" xfId="12713"/>
    <cellStyle name="Normal 3 2 7 3 3 2 4 2" xfId="36134"/>
    <cellStyle name="Normal 3 2 7 3 3 2 5" xfId="20090"/>
    <cellStyle name="Normal 3 2 7 3 3 2 5 2" xfId="42625"/>
    <cellStyle name="Normal 3 2 7 3 3 2 6" xfId="29502"/>
    <cellStyle name="Normal 3 2 7 3 3 3" xfId="6755"/>
    <cellStyle name="Normal 3 2 7 3 3 3 2" xfId="10087"/>
    <cellStyle name="Normal 3 2 7 3 3 3 2 2" xfId="16791"/>
    <cellStyle name="Normal 3 2 7 3 3 3 2 2 2" xfId="40212"/>
    <cellStyle name="Normal 3 2 7 3 3 3 2 3" xfId="33580"/>
    <cellStyle name="Normal 3 2 7 3 3 3 3" xfId="13475"/>
    <cellStyle name="Normal 3 2 7 3 3 3 3 2" xfId="36896"/>
    <cellStyle name="Normal 3 2 7 3 3 3 4" xfId="21335"/>
    <cellStyle name="Normal 3 2 7 3 3 3 4 2" xfId="43786"/>
    <cellStyle name="Normal 3 2 7 3 3 3 5" xfId="30264"/>
    <cellStyle name="Normal 3 2 7 3 3 4" xfId="8421"/>
    <cellStyle name="Normal 3 2 7 3 3 4 2" xfId="15133"/>
    <cellStyle name="Normal 3 2 7 3 3 4 2 2" xfId="38554"/>
    <cellStyle name="Normal 3 2 7 3 3 4 3" xfId="22101"/>
    <cellStyle name="Normal 3 2 7 3 3 4 3 2" xfId="44525"/>
    <cellStyle name="Normal 3 2 7 3 3 4 4" xfId="31922"/>
    <cellStyle name="Normal 3 2 7 3 3 5" xfId="11815"/>
    <cellStyle name="Normal 3 2 7 3 3 5 2" xfId="35238"/>
    <cellStyle name="Normal 3 2 7 3 3 6" xfId="19240"/>
    <cellStyle name="Normal 3 2 7 3 3 6 2" xfId="41793"/>
    <cellStyle name="Normal 3 2 7 3 3 7" xfId="28606"/>
    <cellStyle name="Normal 3 2 7 3 4" xfId="3997"/>
    <cellStyle name="Normal 3 2 7 3 4 2" xfId="7027"/>
    <cellStyle name="Normal 3 2 7 3 4 2 2" xfId="10359"/>
    <cellStyle name="Normal 3 2 7 3 4 2 2 2" xfId="17063"/>
    <cellStyle name="Normal 3 2 7 3 4 2 2 2 2" xfId="40484"/>
    <cellStyle name="Normal 3 2 7 3 4 2 2 3" xfId="33852"/>
    <cellStyle name="Normal 3 2 7 3 4 2 3" xfId="13747"/>
    <cellStyle name="Normal 3 2 7 3 4 2 3 2" xfId="37168"/>
    <cellStyle name="Normal 3 2 7 3 4 2 4" xfId="22514"/>
    <cellStyle name="Normal 3 2 7 3 4 2 4 2" xfId="44936"/>
    <cellStyle name="Normal 3 2 7 3 4 2 5" xfId="30536"/>
    <cellStyle name="Normal 3 2 7 3 4 3" xfId="8694"/>
    <cellStyle name="Normal 3 2 7 3 4 3 2" xfId="15405"/>
    <cellStyle name="Normal 3 2 7 3 4 3 2 2" xfId="38826"/>
    <cellStyle name="Normal 3 2 7 3 4 3 3" xfId="32194"/>
    <cellStyle name="Normal 3 2 7 3 4 4" xfId="12087"/>
    <cellStyle name="Normal 3 2 7 3 4 4 2" xfId="35510"/>
    <cellStyle name="Normal 3 2 7 3 4 5" xfId="19672"/>
    <cellStyle name="Normal 3 2 7 3 4 5 2" xfId="42209"/>
    <cellStyle name="Normal 3 2 7 3 4 6" xfId="28878"/>
    <cellStyle name="Normal 3 2 7 3 5" xfId="6282"/>
    <cellStyle name="Normal 3 2 7 3 5 2" xfId="9616"/>
    <cellStyle name="Normal 3 2 7 3 5 2 2" xfId="16320"/>
    <cellStyle name="Normal 3 2 7 3 5 2 2 2" xfId="39741"/>
    <cellStyle name="Normal 3 2 7 3 5 2 3" xfId="33109"/>
    <cellStyle name="Normal 3 2 7 3 5 3" xfId="13004"/>
    <cellStyle name="Normal 3 2 7 3 5 3 2" xfId="36425"/>
    <cellStyle name="Normal 3 2 7 3 5 4" xfId="20876"/>
    <cellStyle name="Normal 3 2 7 3 5 4 2" xfId="43327"/>
    <cellStyle name="Normal 3 2 7 3 5 5" xfId="29793"/>
    <cellStyle name="Normal 3 2 7 3 6" xfId="7948"/>
    <cellStyle name="Normal 3 2 7 3 6 2" xfId="14662"/>
    <cellStyle name="Normal 3 2 7 3 6 2 2" xfId="38083"/>
    <cellStyle name="Normal 3 2 7 3 6 3" xfId="21664"/>
    <cellStyle name="Normal 3 2 7 3 6 3 2" xfId="44113"/>
    <cellStyle name="Normal 3 2 7 3 6 4" xfId="31451"/>
    <cellStyle name="Normal 3 2 7 3 7" xfId="11344"/>
    <cellStyle name="Normal 3 2 7 3 7 2" xfId="34767"/>
    <cellStyle name="Normal 3 2 7 3 8" xfId="18050"/>
    <cellStyle name="Normal 3 2 7 3 8 2" xfId="41340"/>
    <cellStyle name="Normal 3 2 7 3 9" xfId="23642"/>
    <cellStyle name="Normal 3 2 7 3 9 2" xfId="45932"/>
    <cellStyle name="Normal 3 2 7 4" xfId="2303"/>
    <cellStyle name="Normal 3 2 7 4 2" xfId="5550"/>
    <cellStyle name="Normal 3 2 7 4 2 2" xfId="7374"/>
    <cellStyle name="Normal 3 2 7 4 2 2 2" xfId="10705"/>
    <cellStyle name="Normal 3 2 7 4 2 2 2 2" xfId="17409"/>
    <cellStyle name="Normal 3 2 7 4 2 2 2 2 2" xfId="40830"/>
    <cellStyle name="Normal 3 2 7 4 2 2 2 3" xfId="20299"/>
    <cellStyle name="Normal 3 2 7 4 2 2 2 3 2" xfId="42834"/>
    <cellStyle name="Normal 3 2 7 4 2 2 2 4" xfId="34198"/>
    <cellStyle name="Normal 3 2 7 4 2 2 3" xfId="14093"/>
    <cellStyle name="Normal 3 2 7 4 2 2 3 2" xfId="22312"/>
    <cellStyle name="Normal 3 2 7 4 2 2 3 2 2" xfId="44734"/>
    <cellStyle name="Normal 3 2 7 4 2 2 3 3" xfId="37514"/>
    <cellStyle name="Normal 3 2 7 4 2 2 4" xfId="19460"/>
    <cellStyle name="Normal 3 2 7 4 2 2 4 2" xfId="42002"/>
    <cellStyle name="Normal 3 2 7 4 2 2 5" xfId="30882"/>
    <cellStyle name="Normal 3 2 7 4 2 3" xfId="9047"/>
    <cellStyle name="Normal 3 2 7 4 2 3 2" xfId="15751"/>
    <cellStyle name="Normal 3 2 7 4 2 3 2 2" xfId="22719"/>
    <cellStyle name="Normal 3 2 7 4 2 3 2 2 2" xfId="45141"/>
    <cellStyle name="Normal 3 2 7 4 2 3 2 3" xfId="39172"/>
    <cellStyle name="Normal 3 2 7 4 2 3 3" xfId="19883"/>
    <cellStyle name="Normal 3 2 7 4 2 3 3 2" xfId="42418"/>
    <cellStyle name="Normal 3 2 7 4 2 3 4" xfId="32540"/>
    <cellStyle name="Normal 3 2 7 4 2 4" xfId="12435"/>
    <cellStyle name="Normal 3 2 7 4 2 4 2" xfId="21888"/>
    <cellStyle name="Normal 3 2 7 4 2 4 2 2" xfId="44320"/>
    <cellStyle name="Normal 3 2 7 4 2 4 3" xfId="35856"/>
    <cellStyle name="Normal 3 2 7 4 2 5" xfId="18737"/>
    <cellStyle name="Normal 3 2 7 4 2 5 2" xfId="41577"/>
    <cellStyle name="Normal 3 2 7 4 2 6" xfId="29224"/>
    <cellStyle name="Normal 3 2 7 4 3" xfId="6471"/>
    <cellStyle name="Normal 3 2 7 4 3 2" xfId="9805"/>
    <cellStyle name="Normal 3 2 7 4 3 2 2" xfId="16509"/>
    <cellStyle name="Normal 3 2 7 4 3 2 2 2" xfId="39930"/>
    <cellStyle name="Normal 3 2 7 4 3 2 3" xfId="20091"/>
    <cellStyle name="Normal 3 2 7 4 3 2 3 2" xfId="42626"/>
    <cellStyle name="Normal 3 2 7 4 3 2 4" xfId="33298"/>
    <cellStyle name="Normal 3 2 7 4 3 3" xfId="13193"/>
    <cellStyle name="Normal 3 2 7 4 3 3 2" xfId="22102"/>
    <cellStyle name="Normal 3 2 7 4 3 3 2 2" xfId="44526"/>
    <cellStyle name="Normal 3 2 7 4 3 3 3" xfId="36614"/>
    <cellStyle name="Normal 3 2 7 4 3 4" xfId="19241"/>
    <cellStyle name="Normal 3 2 7 4 3 4 2" xfId="41794"/>
    <cellStyle name="Normal 3 2 7 4 3 5" xfId="29982"/>
    <cellStyle name="Normal 3 2 7 4 4" xfId="8138"/>
    <cellStyle name="Normal 3 2 7 4 4 2" xfId="14851"/>
    <cellStyle name="Normal 3 2 7 4 4 2 2" xfId="22515"/>
    <cellStyle name="Normal 3 2 7 4 4 2 2 2" xfId="44937"/>
    <cellStyle name="Normal 3 2 7 4 4 2 3" xfId="38272"/>
    <cellStyle name="Normal 3 2 7 4 4 3" xfId="19673"/>
    <cellStyle name="Normal 3 2 7 4 4 3 2" xfId="42210"/>
    <cellStyle name="Normal 3 2 7 4 4 4" xfId="31640"/>
    <cellStyle name="Normal 3 2 7 4 5" xfId="11533"/>
    <cellStyle name="Normal 3 2 7 4 5 2" xfId="21665"/>
    <cellStyle name="Normal 3 2 7 4 5 2 2" xfId="44114"/>
    <cellStyle name="Normal 3 2 7 4 5 3" xfId="34956"/>
    <cellStyle name="Normal 3 2 7 4 6" xfId="18051"/>
    <cellStyle name="Normal 3 2 7 4 6 2" xfId="41341"/>
    <cellStyle name="Normal 3 2 7 4 7" xfId="25877"/>
    <cellStyle name="Normal 3 2 7 4 7 2" xfId="48122"/>
    <cellStyle name="Normal 3 2 7 4 8" xfId="28324"/>
    <cellStyle name="Normal 3 2 7 5" xfId="2648"/>
    <cellStyle name="Normal 3 2 7 5 2" xfId="5741"/>
    <cellStyle name="Normal 3 2 7 5 2 2" xfId="7523"/>
    <cellStyle name="Normal 3 2 7 5 2 2 2" xfId="10852"/>
    <cellStyle name="Normal 3 2 7 5 2 2 2 2" xfId="17556"/>
    <cellStyle name="Normal 3 2 7 5 2 2 2 2 2" xfId="40977"/>
    <cellStyle name="Normal 3 2 7 5 2 2 2 3" xfId="34345"/>
    <cellStyle name="Normal 3 2 7 5 2 2 3" xfId="14240"/>
    <cellStyle name="Normal 3 2 7 5 2 2 3 2" xfId="37661"/>
    <cellStyle name="Normal 3 2 7 5 2 2 4" xfId="20551"/>
    <cellStyle name="Normal 3 2 7 5 2 2 4 2" xfId="43002"/>
    <cellStyle name="Normal 3 2 7 5 2 2 5" xfId="31029"/>
    <cellStyle name="Normal 3 2 7 5 2 3" xfId="9194"/>
    <cellStyle name="Normal 3 2 7 5 2 3 2" xfId="15898"/>
    <cellStyle name="Normal 3 2 7 5 2 3 2 2" xfId="39319"/>
    <cellStyle name="Normal 3 2 7 5 2 3 3" xfId="21337"/>
    <cellStyle name="Normal 3 2 7 5 2 3 3 2" xfId="43788"/>
    <cellStyle name="Normal 3 2 7 5 2 3 4" xfId="32687"/>
    <cellStyle name="Normal 3 2 7 5 2 4" xfId="12582"/>
    <cellStyle name="Normal 3 2 7 5 2 4 2" xfId="36003"/>
    <cellStyle name="Normal 3 2 7 5 2 5" xfId="18242"/>
    <cellStyle name="Normal 3 2 7 5 2 5 2" xfId="41420"/>
    <cellStyle name="Normal 3 2 7 5 2 6" xfId="29371"/>
    <cellStyle name="Normal 3 2 7 5 3" xfId="6624"/>
    <cellStyle name="Normal 3 2 7 5 3 2" xfId="9956"/>
    <cellStyle name="Normal 3 2 7 5 3 2 2" xfId="16660"/>
    <cellStyle name="Normal 3 2 7 5 3 2 2 2" xfId="40081"/>
    <cellStyle name="Normal 3 2 7 5 3 2 3" xfId="33449"/>
    <cellStyle name="Normal 3 2 7 5 3 3" xfId="13344"/>
    <cellStyle name="Normal 3 2 7 5 3 3 2" xfId="36765"/>
    <cellStyle name="Normal 3 2 7 5 3 4" xfId="18302"/>
    <cellStyle name="Normal 3 2 7 5 3 4 2" xfId="41435"/>
    <cellStyle name="Normal 3 2 7 5 3 5" xfId="30133"/>
    <cellStyle name="Normal 3 2 7 5 4" xfId="8290"/>
    <cellStyle name="Normal 3 2 7 5 4 2" xfId="15002"/>
    <cellStyle name="Normal 3 2 7 5 4 2 2" xfId="38423"/>
    <cellStyle name="Normal 3 2 7 5 4 3" xfId="20878"/>
    <cellStyle name="Normal 3 2 7 5 4 3 2" xfId="43329"/>
    <cellStyle name="Normal 3 2 7 5 4 4" xfId="31791"/>
    <cellStyle name="Normal 3 2 7 5 5" xfId="11684"/>
    <cellStyle name="Normal 3 2 7 5 5 2" xfId="21886"/>
    <cellStyle name="Normal 3 2 7 5 5 3" xfId="35107"/>
    <cellStyle name="Normal 3 2 7 5 6" xfId="18734"/>
    <cellStyle name="Normal 3 2 7 5 7" xfId="20439"/>
    <cellStyle name="Normal 3 2 7 5 7 2" xfId="42911"/>
    <cellStyle name="Normal 3 2 7 5 8" xfId="28475"/>
    <cellStyle name="Normal 3 2 7 6" xfId="3996"/>
    <cellStyle name="Normal 3 2 7 6 2" xfId="7026"/>
    <cellStyle name="Normal 3 2 7 6 2 2" xfId="10358"/>
    <cellStyle name="Normal 3 2 7 6 2 2 2" xfId="17062"/>
    <cellStyle name="Normal 3 2 7 6 2 2 2 2" xfId="40483"/>
    <cellStyle name="Normal 3 2 7 6 2 2 3" xfId="33851"/>
    <cellStyle name="Normal 3 2 7 6 2 3" xfId="13746"/>
    <cellStyle name="Normal 3 2 7 6 2 3 2" xfId="37167"/>
    <cellStyle name="Normal 3 2 7 6 2 4" xfId="30535"/>
    <cellStyle name="Normal 3 2 7 6 3" xfId="8693"/>
    <cellStyle name="Normal 3 2 7 6 3 2" xfId="15404"/>
    <cellStyle name="Normal 3 2 7 6 3 2 2" xfId="38825"/>
    <cellStyle name="Normal 3 2 7 6 3 3" xfId="32193"/>
    <cellStyle name="Normal 3 2 7 6 4" xfId="12086"/>
    <cellStyle name="Normal 3 2 7 6 4 2" xfId="35509"/>
    <cellStyle name="Normal 3 2 7 6 5" xfId="20420"/>
    <cellStyle name="Normal 3 2 7 6 6" xfId="28877"/>
    <cellStyle name="Normal 3 2 7 7" xfId="6151"/>
    <cellStyle name="Normal 3 2 7 7 2" xfId="9485"/>
    <cellStyle name="Normal 3 2 7 7 2 2" xfId="16189"/>
    <cellStyle name="Normal 3 2 7 7 2 2 2" xfId="39610"/>
    <cellStyle name="Normal 3 2 7 7 2 3" xfId="32978"/>
    <cellStyle name="Normal 3 2 7 7 3" xfId="12873"/>
    <cellStyle name="Normal 3 2 7 7 3 2" xfId="36294"/>
    <cellStyle name="Normal 3 2 7 7 4" xfId="29662"/>
    <cellStyle name="Normal 3 2 7 8" xfId="7817"/>
    <cellStyle name="Normal 3 2 7 8 2" xfId="14531"/>
    <cellStyle name="Normal 3 2 7 8 2 2" xfId="37952"/>
    <cellStyle name="Normal 3 2 7 8 3" xfId="31320"/>
    <cellStyle name="Normal 3 2 7 9" xfId="11213"/>
    <cellStyle name="Normal 3 2 7 9 2" xfId="34636"/>
    <cellStyle name="Normal 3 2 8" xfId="1613"/>
    <cellStyle name="Normal 3 3" xfId="499"/>
    <cellStyle name="Normal 3 3 2" xfId="500"/>
    <cellStyle name="Normal 3 3 2 2" xfId="3998"/>
    <cellStyle name="Normal 3 3 3" xfId="866"/>
    <cellStyle name="Normal 3 3 3 2" xfId="18739"/>
    <cellStyle name="Normal 3 3 4" xfId="867"/>
    <cellStyle name="Normal 3 3 5" xfId="18738"/>
    <cellStyle name="Normal 3 4" xfId="501"/>
    <cellStyle name="Normal 3 4 2" xfId="3999"/>
    <cellStyle name="Normal 3 4 2 2" xfId="4000"/>
    <cellStyle name="Normal 3 5" xfId="4001"/>
    <cellStyle name="Normal 3 5 10" xfId="18054"/>
    <cellStyle name="Normal 3 5 10 2" xfId="25879"/>
    <cellStyle name="Normal 3 5 10 2 2" xfId="48124"/>
    <cellStyle name="Normal 3 5 10 3" xfId="41342"/>
    <cellStyle name="Normal 3 5 11" xfId="23643"/>
    <cellStyle name="Normal 3 5 11 2" xfId="45933"/>
    <cellStyle name="Normal 3 5 12" xfId="28879"/>
    <cellStyle name="Normal 3 5 2" xfId="4002"/>
    <cellStyle name="Normal 3 5 2 10" xfId="28880"/>
    <cellStyle name="Normal 3 5 2 2" xfId="4003"/>
    <cellStyle name="Normal 3 5 2 2 2" xfId="7030"/>
    <cellStyle name="Normal 3 5 2 2 2 2" xfId="10362"/>
    <cellStyle name="Normal 3 5 2 2 2 2 2" xfId="17066"/>
    <cellStyle name="Normal 3 5 2 2 2 2 2 2" xfId="27167"/>
    <cellStyle name="Normal 3 5 2 2 2 2 2 2 2" xfId="49412"/>
    <cellStyle name="Normal 3 5 2 2 2 2 2 3" xfId="24954"/>
    <cellStyle name="Normal 3 5 2 2 2 2 2 3 2" xfId="47199"/>
    <cellStyle name="Normal 3 5 2 2 2 2 2 4" xfId="40487"/>
    <cellStyle name="Normal 3 5 2 2 2 2 3" xfId="25534"/>
    <cellStyle name="Normal 3 5 2 2 2 2 3 2" xfId="27839"/>
    <cellStyle name="Normal 3 5 2 2 2 2 3 2 2" xfId="50084"/>
    <cellStyle name="Normal 3 5 2 2 2 2 3 3" xfId="47779"/>
    <cellStyle name="Normal 3 5 2 2 2 2 4" xfId="26493"/>
    <cellStyle name="Normal 3 5 2 2 2 2 4 2" xfId="48738"/>
    <cellStyle name="Normal 3 5 2 2 2 2 5" xfId="24289"/>
    <cellStyle name="Normal 3 5 2 2 2 2 5 2" xfId="46535"/>
    <cellStyle name="Normal 3 5 2 2 2 2 6" xfId="33855"/>
    <cellStyle name="Normal 3 5 2 2 2 3" xfId="13750"/>
    <cellStyle name="Normal 3 5 2 2 2 3 2" xfId="26835"/>
    <cellStyle name="Normal 3 5 2 2 2 3 2 2" xfId="49080"/>
    <cellStyle name="Normal 3 5 2 2 2 3 3" xfId="24622"/>
    <cellStyle name="Normal 3 5 2 2 2 3 3 2" xfId="46867"/>
    <cellStyle name="Normal 3 5 2 2 2 3 4" xfId="37171"/>
    <cellStyle name="Normal 3 5 2 2 2 4" xfId="25198"/>
    <cellStyle name="Normal 3 5 2 2 2 4 2" xfId="27503"/>
    <cellStyle name="Normal 3 5 2 2 2 4 2 2" xfId="49748"/>
    <cellStyle name="Normal 3 5 2 2 2 4 3" xfId="47443"/>
    <cellStyle name="Normal 3 5 2 2 2 5" xfId="26164"/>
    <cellStyle name="Normal 3 5 2 2 2 5 2" xfId="48409"/>
    <cellStyle name="Normal 3 5 2 2 2 6" xfId="23973"/>
    <cellStyle name="Normal 3 5 2 2 2 6 2" xfId="46219"/>
    <cellStyle name="Normal 3 5 2 2 2 7" xfId="30539"/>
    <cellStyle name="Normal 3 5 2 2 3" xfId="8697"/>
    <cellStyle name="Normal 3 5 2 2 3 2" xfId="15408"/>
    <cellStyle name="Normal 3 5 2 2 3 2 2" xfId="27001"/>
    <cellStyle name="Normal 3 5 2 2 3 2 2 2" xfId="49246"/>
    <cellStyle name="Normal 3 5 2 2 3 2 3" xfId="24788"/>
    <cellStyle name="Normal 3 5 2 2 3 2 3 2" xfId="47033"/>
    <cellStyle name="Normal 3 5 2 2 3 2 4" xfId="38829"/>
    <cellStyle name="Normal 3 5 2 2 3 3" xfId="25366"/>
    <cellStyle name="Normal 3 5 2 2 3 3 2" xfId="27671"/>
    <cellStyle name="Normal 3 5 2 2 3 3 2 2" xfId="49916"/>
    <cellStyle name="Normal 3 5 2 2 3 3 3" xfId="47611"/>
    <cellStyle name="Normal 3 5 2 2 3 4" xfId="26328"/>
    <cellStyle name="Normal 3 5 2 2 3 4 2" xfId="48573"/>
    <cellStyle name="Normal 3 5 2 2 3 5" xfId="24124"/>
    <cellStyle name="Normal 3 5 2 2 3 5 2" xfId="46370"/>
    <cellStyle name="Normal 3 5 2 2 3 6" xfId="32197"/>
    <cellStyle name="Normal 3 5 2 2 4" xfId="12090"/>
    <cellStyle name="Normal 3 5 2 2 4 2" xfId="26669"/>
    <cellStyle name="Normal 3 5 2 2 4 2 2" xfId="48914"/>
    <cellStyle name="Normal 3 5 2 2 4 3" xfId="24456"/>
    <cellStyle name="Normal 3 5 2 2 4 3 2" xfId="46701"/>
    <cellStyle name="Normal 3 5 2 2 4 4" xfId="35513"/>
    <cellStyle name="Normal 3 5 2 2 5" xfId="20592"/>
    <cellStyle name="Normal 3 5 2 2 5 2" xfId="27335"/>
    <cellStyle name="Normal 3 5 2 2 5 2 2" xfId="49580"/>
    <cellStyle name="Normal 3 5 2 2 5 3" xfId="25045"/>
    <cellStyle name="Normal 3 5 2 2 5 3 2" xfId="47290"/>
    <cellStyle name="Normal 3 5 2 2 5 4" xfId="43043"/>
    <cellStyle name="Normal 3 5 2 2 6" xfId="23645"/>
    <cellStyle name="Normal 3 5 2 2 6 2" xfId="45935"/>
    <cellStyle name="Normal 3 5 2 2 7" xfId="28881"/>
    <cellStyle name="Normal 3 5 2 3" xfId="4004"/>
    <cellStyle name="Normal 3 5 2 3 2" xfId="7031"/>
    <cellStyle name="Normal 3 5 2 3 2 2" xfId="10363"/>
    <cellStyle name="Normal 3 5 2 3 2 2 2" xfId="17067"/>
    <cellStyle name="Normal 3 5 2 3 2 2 2 2" xfId="27127"/>
    <cellStyle name="Normal 3 5 2 3 2 2 2 2 2" xfId="49372"/>
    <cellStyle name="Normal 3 5 2 3 2 2 2 3" xfId="24914"/>
    <cellStyle name="Normal 3 5 2 3 2 2 2 3 2" xfId="47159"/>
    <cellStyle name="Normal 3 5 2 3 2 2 2 4" xfId="40488"/>
    <cellStyle name="Normal 3 5 2 3 2 2 3" xfId="25492"/>
    <cellStyle name="Normal 3 5 2 3 2 2 3 2" xfId="27797"/>
    <cellStyle name="Normal 3 5 2 3 2 2 3 2 2" xfId="50042"/>
    <cellStyle name="Normal 3 5 2 3 2 2 3 3" xfId="47737"/>
    <cellStyle name="Normal 3 5 2 3 2 2 4" xfId="26453"/>
    <cellStyle name="Normal 3 5 2 3 2 2 4 2" xfId="48698"/>
    <cellStyle name="Normal 3 5 2 3 2 2 5" xfId="24249"/>
    <cellStyle name="Normal 3 5 2 3 2 2 5 2" xfId="46495"/>
    <cellStyle name="Normal 3 5 2 3 2 2 6" xfId="33856"/>
    <cellStyle name="Normal 3 5 2 3 2 3" xfId="13751"/>
    <cellStyle name="Normal 3 5 2 3 2 3 2" xfId="26795"/>
    <cellStyle name="Normal 3 5 2 3 2 3 2 2" xfId="49040"/>
    <cellStyle name="Normal 3 5 2 3 2 3 3" xfId="24582"/>
    <cellStyle name="Normal 3 5 2 3 2 3 3 2" xfId="46827"/>
    <cellStyle name="Normal 3 5 2 3 2 3 4" xfId="37172"/>
    <cellStyle name="Normal 3 5 2 3 2 4" xfId="25156"/>
    <cellStyle name="Normal 3 5 2 3 2 4 2" xfId="27461"/>
    <cellStyle name="Normal 3 5 2 3 2 4 2 2" xfId="49706"/>
    <cellStyle name="Normal 3 5 2 3 2 4 3" xfId="47401"/>
    <cellStyle name="Normal 3 5 2 3 2 5" xfId="26124"/>
    <cellStyle name="Normal 3 5 2 3 2 5 2" xfId="48369"/>
    <cellStyle name="Normal 3 5 2 3 2 6" xfId="23933"/>
    <cellStyle name="Normal 3 5 2 3 2 6 2" xfId="46179"/>
    <cellStyle name="Normal 3 5 2 3 2 7" xfId="30540"/>
    <cellStyle name="Normal 3 5 2 3 3" xfId="8698"/>
    <cellStyle name="Normal 3 5 2 3 3 2" xfId="15409"/>
    <cellStyle name="Normal 3 5 2 3 3 2 2" xfId="26961"/>
    <cellStyle name="Normal 3 5 2 3 3 2 2 2" xfId="49206"/>
    <cellStyle name="Normal 3 5 2 3 3 2 3" xfId="24748"/>
    <cellStyle name="Normal 3 5 2 3 3 2 3 2" xfId="46993"/>
    <cellStyle name="Normal 3 5 2 3 3 2 4" xfId="38830"/>
    <cellStyle name="Normal 3 5 2 3 3 3" xfId="25324"/>
    <cellStyle name="Normal 3 5 2 3 3 3 2" xfId="27629"/>
    <cellStyle name="Normal 3 5 2 3 3 3 2 2" xfId="49874"/>
    <cellStyle name="Normal 3 5 2 3 3 3 3" xfId="47569"/>
    <cellStyle name="Normal 3 5 2 3 3 4" xfId="26288"/>
    <cellStyle name="Normal 3 5 2 3 3 4 2" xfId="48533"/>
    <cellStyle name="Normal 3 5 2 3 3 5" xfId="24084"/>
    <cellStyle name="Normal 3 5 2 3 3 5 2" xfId="46330"/>
    <cellStyle name="Normal 3 5 2 3 3 6" xfId="32198"/>
    <cellStyle name="Normal 3 5 2 3 4" xfId="12091"/>
    <cellStyle name="Normal 3 5 2 3 4 2" xfId="26629"/>
    <cellStyle name="Normal 3 5 2 3 4 2 2" xfId="48874"/>
    <cellStyle name="Normal 3 5 2 3 4 3" xfId="24416"/>
    <cellStyle name="Normal 3 5 2 3 4 3 2" xfId="46661"/>
    <cellStyle name="Normal 3 5 2 3 4 4" xfId="35514"/>
    <cellStyle name="Normal 3 5 2 3 5" xfId="21510"/>
    <cellStyle name="Normal 3 5 2 3 5 2" xfId="27293"/>
    <cellStyle name="Normal 3 5 2 3 5 2 2" xfId="49538"/>
    <cellStyle name="Normal 3 5 2 3 5 3" xfId="25041"/>
    <cellStyle name="Normal 3 5 2 3 5 3 2" xfId="47286"/>
    <cellStyle name="Normal 3 5 2 3 5 4" xfId="43961"/>
    <cellStyle name="Normal 3 5 2 3 6" xfId="23646"/>
    <cellStyle name="Normal 3 5 2 3 6 2" xfId="45936"/>
    <cellStyle name="Normal 3 5 2 3 7" xfId="28882"/>
    <cellStyle name="Normal 3 5 2 4" xfId="7029"/>
    <cellStyle name="Normal 3 5 2 4 2" xfId="10361"/>
    <cellStyle name="Normal 3 5 2 4 2 2" xfId="17065"/>
    <cellStyle name="Normal 3 5 2 4 2 2 2" xfId="24996"/>
    <cellStyle name="Normal 3 5 2 4 2 2 2 2" xfId="27209"/>
    <cellStyle name="Normal 3 5 2 4 2 2 2 2 2" xfId="49454"/>
    <cellStyle name="Normal 3 5 2 4 2 2 2 3" xfId="47241"/>
    <cellStyle name="Normal 3 5 2 4 2 2 3" xfId="25576"/>
    <cellStyle name="Normal 3 5 2 4 2 2 3 2" xfId="27881"/>
    <cellStyle name="Normal 3 5 2 4 2 2 3 2 2" xfId="50126"/>
    <cellStyle name="Normal 3 5 2 4 2 2 3 3" xfId="47821"/>
    <cellStyle name="Normal 3 5 2 4 2 2 4" xfId="26535"/>
    <cellStyle name="Normal 3 5 2 4 2 2 4 2" xfId="48780"/>
    <cellStyle name="Normal 3 5 2 4 2 2 5" xfId="24331"/>
    <cellStyle name="Normal 3 5 2 4 2 2 5 2" xfId="46577"/>
    <cellStyle name="Normal 3 5 2 4 2 2 6" xfId="40486"/>
    <cellStyle name="Normal 3 5 2 4 2 3" xfId="24664"/>
    <cellStyle name="Normal 3 5 2 4 2 3 2" xfId="26877"/>
    <cellStyle name="Normal 3 5 2 4 2 3 2 2" xfId="49122"/>
    <cellStyle name="Normal 3 5 2 4 2 3 3" xfId="46909"/>
    <cellStyle name="Normal 3 5 2 4 2 4" xfId="25240"/>
    <cellStyle name="Normal 3 5 2 4 2 4 2" xfId="27545"/>
    <cellStyle name="Normal 3 5 2 4 2 4 2 2" xfId="49790"/>
    <cellStyle name="Normal 3 5 2 4 2 4 3" xfId="47485"/>
    <cellStyle name="Normal 3 5 2 4 2 5" xfId="26205"/>
    <cellStyle name="Normal 3 5 2 4 2 5 2" xfId="48450"/>
    <cellStyle name="Normal 3 5 2 4 2 6" xfId="24014"/>
    <cellStyle name="Normal 3 5 2 4 2 6 2" xfId="46260"/>
    <cellStyle name="Normal 3 5 2 4 2 7" xfId="33854"/>
    <cellStyle name="Normal 3 5 2 4 3" xfId="13749"/>
    <cellStyle name="Normal 3 5 2 4 3 2" xfId="24830"/>
    <cellStyle name="Normal 3 5 2 4 3 2 2" xfId="27043"/>
    <cellStyle name="Normal 3 5 2 4 3 2 2 2" xfId="49288"/>
    <cellStyle name="Normal 3 5 2 4 3 2 3" xfId="47075"/>
    <cellStyle name="Normal 3 5 2 4 3 3" xfId="25408"/>
    <cellStyle name="Normal 3 5 2 4 3 3 2" xfId="27713"/>
    <cellStyle name="Normal 3 5 2 4 3 3 2 2" xfId="49958"/>
    <cellStyle name="Normal 3 5 2 4 3 3 3" xfId="47653"/>
    <cellStyle name="Normal 3 5 2 4 3 4" xfId="26370"/>
    <cellStyle name="Normal 3 5 2 4 3 4 2" xfId="48615"/>
    <cellStyle name="Normal 3 5 2 4 3 5" xfId="24166"/>
    <cellStyle name="Normal 3 5 2 4 3 5 2" xfId="46412"/>
    <cellStyle name="Normal 3 5 2 4 3 6" xfId="37170"/>
    <cellStyle name="Normal 3 5 2 4 4" xfId="24498"/>
    <cellStyle name="Normal 3 5 2 4 4 2" xfId="26711"/>
    <cellStyle name="Normal 3 5 2 4 4 2 2" xfId="48956"/>
    <cellStyle name="Normal 3 5 2 4 4 3" xfId="46743"/>
    <cellStyle name="Normal 3 5 2 4 5" xfId="25072"/>
    <cellStyle name="Normal 3 5 2 4 5 2" xfId="27377"/>
    <cellStyle name="Normal 3 5 2 4 5 2 2" xfId="49622"/>
    <cellStyle name="Normal 3 5 2 4 5 3" xfId="47317"/>
    <cellStyle name="Normal 3 5 2 4 6" xfId="26052"/>
    <cellStyle name="Normal 3 5 2 4 6 2" xfId="48297"/>
    <cellStyle name="Normal 3 5 2 4 7" xfId="23861"/>
    <cellStyle name="Normal 3 5 2 4 7 2" xfId="46107"/>
    <cellStyle name="Normal 3 5 2 4 8" xfId="30538"/>
    <cellStyle name="Normal 3 5 2 5" xfId="8696"/>
    <cellStyle name="Normal 3 5 2 5 2" xfId="15407"/>
    <cellStyle name="Normal 3 5 2 5 2 2" xfId="24872"/>
    <cellStyle name="Normal 3 5 2 5 2 2 2" xfId="27085"/>
    <cellStyle name="Normal 3 5 2 5 2 2 2 2" xfId="49330"/>
    <cellStyle name="Normal 3 5 2 5 2 2 3" xfId="47117"/>
    <cellStyle name="Normal 3 5 2 5 2 3" xfId="25450"/>
    <cellStyle name="Normal 3 5 2 5 2 3 2" xfId="27755"/>
    <cellStyle name="Normal 3 5 2 5 2 3 2 2" xfId="50000"/>
    <cellStyle name="Normal 3 5 2 5 2 3 3" xfId="47695"/>
    <cellStyle name="Normal 3 5 2 5 2 4" xfId="26412"/>
    <cellStyle name="Normal 3 5 2 5 2 4 2" xfId="48657"/>
    <cellStyle name="Normal 3 5 2 5 2 5" xfId="24208"/>
    <cellStyle name="Normal 3 5 2 5 2 5 2" xfId="46454"/>
    <cellStyle name="Normal 3 5 2 5 2 6" xfId="38828"/>
    <cellStyle name="Normal 3 5 2 5 3" xfId="24540"/>
    <cellStyle name="Normal 3 5 2 5 3 2" xfId="26753"/>
    <cellStyle name="Normal 3 5 2 5 3 2 2" xfId="48998"/>
    <cellStyle name="Normal 3 5 2 5 3 3" xfId="46785"/>
    <cellStyle name="Normal 3 5 2 5 4" xfId="25114"/>
    <cellStyle name="Normal 3 5 2 5 4 2" xfId="27419"/>
    <cellStyle name="Normal 3 5 2 5 4 2 2" xfId="49664"/>
    <cellStyle name="Normal 3 5 2 5 4 3" xfId="47359"/>
    <cellStyle name="Normal 3 5 2 5 5" xfId="26084"/>
    <cellStyle name="Normal 3 5 2 5 5 2" xfId="48329"/>
    <cellStyle name="Normal 3 5 2 5 6" xfId="23893"/>
    <cellStyle name="Normal 3 5 2 5 6 2" xfId="46139"/>
    <cellStyle name="Normal 3 5 2 5 7" xfId="32196"/>
    <cellStyle name="Normal 3 5 2 6" xfId="12089"/>
    <cellStyle name="Normal 3 5 2 6 2" xfId="24706"/>
    <cellStyle name="Normal 3 5 2 6 2 2" xfId="26919"/>
    <cellStyle name="Normal 3 5 2 6 2 2 2" xfId="49164"/>
    <cellStyle name="Normal 3 5 2 6 2 3" xfId="46951"/>
    <cellStyle name="Normal 3 5 2 6 3" xfId="25282"/>
    <cellStyle name="Normal 3 5 2 6 3 2" xfId="27587"/>
    <cellStyle name="Normal 3 5 2 6 3 2 2" xfId="49832"/>
    <cellStyle name="Normal 3 5 2 6 3 3" xfId="47527"/>
    <cellStyle name="Normal 3 5 2 6 4" xfId="26247"/>
    <cellStyle name="Normal 3 5 2 6 4 2" xfId="48492"/>
    <cellStyle name="Normal 3 5 2 6 5" xfId="24043"/>
    <cellStyle name="Normal 3 5 2 6 5 2" xfId="46289"/>
    <cellStyle name="Normal 3 5 2 6 6" xfId="35512"/>
    <cellStyle name="Normal 3 5 2 7" xfId="17844"/>
    <cellStyle name="Normal 3 5 2 7 2" xfId="26587"/>
    <cellStyle name="Normal 3 5 2 7 2 2" xfId="48832"/>
    <cellStyle name="Normal 3 5 2 7 3" xfId="24374"/>
    <cellStyle name="Normal 3 5 2 7 3 2" xfId="46619"/>
    <cellStyle name="Normal 3 5 2 7 4" xfId="41194"/>
    <cellStyle name="Normal 3 5 2 8" xfId="23644"/>
    <cellStyle name="Normal 3 5 2 8 2" xfId="27251"/>
    <cellStyle name="Normal 3 5 2 8 2 2" xfId="49496"/>
    <cellStyle name="Normal 3 5 2 8 3" xfId="45934"/>
    <cellStyle name="Normal 3 5 2 9" xfId="25880"/>
    <cellStyle name="Normal 3 5 2 9 2" xfId="48125"/>
    <cellStyle name="Normal 3 5 3" xfId="4005"/>
    <cellStyle name="Normal 3 5 3 2" xfId="7032"/>
    <cellStyle name="Normal 3 5 3 2 2" xfId="10364"/>
    <cellStyle name="Normal 3 5 3 2 2 2" xfId="17068"/>
    <cellStyle name="Normal 3 5 3 2 2 2 2" xfId="27147"/>
    <cellStyle name="Normal 3 5 3 2 2 2 2 2" xfId="49392"/>
    <cellStyle name="Normal 3 5 3 2 2 2 3" xfId="24934"/>
    <cellStyle name="Normal 3 5 3 2 2 2 3 2" xfId="47179"/>
    <cellStyle name="Normal 3 5 3 2 2 2 4" xfId="40489"/>
    <cellStyle name="Normal 3 5 3 2 2 3" xfId="25513"/>
    <cellStyle name="Normal 3 5 3 2 2 3 2" xfId="27818"/>
    <cellStyle name="Normal 3 5 3 2 2 3 2 2" xfId="50063"/>
    <cellStyle name="Normal 3 5 3 2 2 3 3" xfId="47758"/>
    <cellStyle name="Normal 3 5 3 2 2 4" xfId="26473"/>
    <cellStyle name="Normal 3 5 3 2 2 4 2" xfId="48718"/>
    <cellStyle name="Normal 3 5 3 2 2 5" xfId="24269"/>
    <cellStyle name="Normal 3 5 3 2 2 5 2" xfId="46515"/>
    <cellStyle name="Normal 3 5 3 2 2 6" xfId="33857"/>
    <cellStyle name="Normal 3 5 3 2 3" xfId="13752"/>
    <cellStyle name="Normal 3 5 3 2 3 2" xfId="26815"/>
    <cellStyle name="Normal 3 5 3 2 3 2 2" xfId="49060"/>
    <cellStyle name="Normal 3 5 3 2 3 3" xfId="24602"/>
    <cellStyle name="Normal 3 5 3 2 3 3 2" xfId="46847"/>
    <cellStyle name="Normal 3 5 3 2 3 4" xfId="37173"/>
    <cellStyle name="Normal 3 5 3 2 4" xfId="25177"/>
    <cellStyle name="Normal 3 5 3 2 4 2" xfId="27482"/>
    <cellStyle name="Normal 3 5 3 2 4 2 2" xfId="49727"/>
    <cellStyle name="Normal 3 5 3 2 4 3" xfId="47422"/>
    <cellStyle name="Normal 3 5 3 2 5" xfId="26144"/>
    <cellStyle name="Normal 3 5 3 2 5 2" xfId="48389"/>
    <cellStyle name="Normal 3 5 3 2 6" xfId="23953"/>
    <cellStyle name="Normal 3 5 3 2 6 2" xfId="46199"/>
    <cellStyle name="Normal 3 5 3 2 7" xfId="30541"/>
    <cellStyle name="Normal 3 5 3 3" xfId="8699"/>
    <cellStyle name="Normal 3 5 3 3 2" xfId="15410"/>
    <cellStyle name="Normal 3 5 3 3 2 2" xfId="26981"/>
    <cellStyle name="Normal 3 5 3 3 2 2 2" xfId="49226"/>
    <cellStyle name="Normal 3 5 3 3 2 3" xfId="24768"/>
    <cellStyle name="Normal 3 5 3 3 2 3 2" xfId="47013"/>
    <cellStyle name="Normal 3 5 3 3 2 4" xfId="38831"/>
    <cellStyle name="Normal 3 5 3 3 3" xfId="25345"/>
    <cellStyle name="Normal 3 5 3 3 3 2" xfId="27650"/>
    <cellStyle name="Normal 3 5 3 3 3 2 2" xfId="49895"/>
    <cellStyle name="Normal 3 5 3 3 3 3" xfId="47590"/>
    <cellStyle name="Normal 3 5 3 3 4" xfId="26308"/>
    <cellStyle name="Normal 3 5 3 3 4 2" xfId="48553"/>
    <cellStyle name="Normal 3 5 3 3 5" xfId="24104"/>
    <cellStyle name="Normal 3 5 3 3 5 2" xfId="46350"/>
    <cellStyle name="Normal 3 5 3 3 6" xfId="32199"/>
    <cellStyle name="Normal 3 5 3 4" xfId="12092"/>
    <cellStyle name="Normal 3 5 3 4 2" xfId="26649"/>
    <cellStyle name="Normal 3 5 3 4 2 2" xfId="48894"/>
    <cellStyle name="Normal 3 5 3 4 3" xfId="24436"/>
    <cellStyle name="Normal 3 5 3 4 3 2" xfId="46681"/>
    <cellStyle name="Normal 3 5 3 4 4" xfId="35515"/>
    <cellStyle name="Normal 3 5 3 5" xfId="20494"/>
    <cellStyle name="Normal 3 5 3 5 2" xfId="27314"/>
    <cellStyle name="Normal 3 5 3 5 2 2" xfId="49559"/>
    <cellStyle name="Normal 3 5 3 5 3" xfId="25043"/>
    <cellStyle name="Normal 3 5 3 5 3 2" xfId="47288"/>
    <cellStyle name="Normal 3 5 3 5 4" xfId="42947"/>
    <cellStyle name="Normal 3 5 3 6" xfId="23647"/>
    <cellStyle name="Normal 3 5 3 6 2" xfId="45937"/>
    <cellStyle name="Normal 3 5 3 7" xfId="28883"/>
    <cellStyle name="Normal 3 5 4" xfId="4006"/>
    <cellStyle name="Normal 3 5 4 2" xfId="7033"/>
    <cellStyle name="Normal 3 5 4 2 2" xfId="10365"/>
    <cellStyle name="Normal 3 5 4 2 2 2" xfId="17069"/>
    <cellStyle name="Normal 3 5 4 2 2 2 2" xfId="27106"/>
    <cellStyle name="Normal 3 5 4 2 2 2 2 2" xfId="49351"/>
    <cellStyle name="Normal 3 5 4 2 2 2 3" xfId="24893"/>
    <cellStyle name="Normal 3 5 4 2 2 2 3 2" xfId="47138"/>
    <cellStyle name="Normal 3 5 4 2 2 2 4" xfId="40490"/>
    <cellStyle name="Normal 3 5 4 2 2 3" xfId="25471"/>
    <cellStyle name="Normal 3 5 4 2 2 3 2" xfId="27776"/>
    <cellStyle name="Normal 3 5 4 2 2 3 2 2" xfId="50021"/>
    <cellStyle name="Normal 3 5 4 2 2 3 3" xfId="47716"/>
    <cellStyle name="Normal 3 5 4 2 2 4" xfId="26433"/>
    <cellStyle name="Normal 3 5 4 2 2 4 2" xfId="48678"/>
    <cellStyle name="Normal 3 5 4 2 2 5" xfId="24229"/>
    <cellStyle name="Normal 3 5 4 2 2 5 2" xfId="46475"/>
    <cellStyle name="Normal 3 5 4 2 2 6" xfId="33858"/>
    <cellStyle name="Normal 3 5 4 2 3" xfId="13753"/>
    <cellStyle name="Normal 3 5 4 2 3 2" xfId="26774"/>
    <cellStyle name="Normal 3 5 4 2 3 2 2" xfId="49019"/>
    <cellStyle name="Normal 3 5 4 2 3 3" xfId="24561"/>
    <cellStyle name="Normal 3 5 4 2 3 3 2" xfId="46806"/>
    <cellStyle name="Normal 3 5 4 2 3 4" xfId="37174"/>
    <cellStyle name="Normal 3 5 4 2 4" xfId="25135"/>
    <cellStyle name="Normal 3 5 4 2 4 2" xfId="27440"/>
    <cellStyle name="Normal 3 5 4 2 4 2 2" xfId="49685"/>
    <cellStyle name="Normal 3 5 4 2 4 3" xfId="47380"/>
    <cellStyle name="Normal 3 5 4 2 5" xfId="26104"/>
    <cellStyle name="Normal 3 5 4 2 5 2" xfId="48349"/>
    <cellStyle name="Normal 3 5 4 2 6" xfId="23913"/>
    <cellStyle name="Normal 3 5 4 2 6 2" xfId="46159"/>
    <cellStyle name="Normal 3 5 4 2 7" xfId="30542"/>
    <cellStyle name="Normal 3 5 4 3" xfId="8700"/>
    <cellStyle name="Normal 3 5 4 3 2" xfId="15411"/>
    <cellStyle name="Normal 3 5 4 3 2 2" xfId="26940"/>
    <cellStyle name="Normal 3 5 4 3 2 2 2" xfId="49185"/>
    <cellStyle name="Normal 3 5 4 3 2 3" xfId="24727"/>
    <cellStyle name="Normal 3 5 4 3 2 3 2" xfId="46972"/>
    <cellStyle name="Normal 3 5 4 3 2 4" xfId="38832"/>
    <cellStyle name="Normal 3 5 4 3 3" xfId="25303"/>
    <cellStyle name="Normal 3 5 4 3 3 2" xfId="27608"/>
    <cellStyle name="Normal 3 5 4 3 3 2 2" xfId="49853"/>
    <cellStyle name="Normal 3 5 4 3 3 3" xfId="47548"/>
    <cellStyle name="Normal 3 5 4 3 4" xfId="26268"/>
    <cellStyle name="Normal 3 5 4 3 4 2" xfId="48513"/>
    <cellStyle name="Normal 3 5 4 3 5" xfId="24064"/>
    <cellStyle name="Normal 3 5 4 3 5 2" xfId="46310"/>
    <cellStyle name="Normal 3 5 4 3 6" xfId="32200"/>
    <cellStyle name="Normal 3 5 4 4" xfId="12093"/>
    <cellStyle name="Normal 3 5 4 4 2" xfId="26608"/>
    <cellStyle name="Normal 3 5 4 4 2 2" xfId="48853"/>
    <cellStyle name="Normal 3 5 4 4 3" xfId="24395"/>
    <cellStyle name="Normal 3 5 4 4 3 2" xfId="46640"/>
    <cellStyle name="Normal 3 5 4 4 4" xfId="35516"/>
    <cellStyle name="Normal 3 5 4 5" xfId="21051"/>
    <cellStyle name="Normal 3 5 4 5 2" xfId="27272"/>
    <cellStyle name="Normal 3 5 4 5 2 2" xfId="49517"/>
    <cellStyle name="Normal 3 5 4 5 3" xfId="25039"/>
    <cellStyle name="Normal 3 5 4 5 3 2" xfId="47284"/>
    <cellStyle name="Normal 3 5 4 5 4" xfId="43502"/>
    <cellStyle name="Normal 3 5 4 6" xfId="23648"/>
    <cellStyle name="Normal 3 5 4 6 2" xfId="45938"/>
    <cellStyle name="Normal 3 5 4 7" xfId="28884"/>
    <cellStyle name="Normal 3 5 5" xfId="5003"/>
    <cellStyle name="Normal 3 5 5 2" xfId="21861"/>
    <cellStyle name="Normal 3 5 5 2 2" xfId="24310"/>
    <cellStyle name="Normal 3 5 5 2 2 2" xfId="24975"/>
    <cellStyle name="Normal 3 5 5 2 2 2 2" xfId="27188"/>
    <cellStyle name="Normal 3 5 5 2 2 2 2 2" xfId="49433"/>
    <cellStyle name="Normal 3 5 5 2 2 2 3" xfId="47220"/>
    <cellStyle name="Normal 3 5 5 2 2 3" xfId="25555"/>
    <cellStyle name="Normal 3 5 5 2 2 3 2" xfId="27860"/>
    <cellStyle name="Normal 3 5 5 2 2 3 2 2" xfId="50105"/>
    <cellStyle name="Normal 3 5 5 2 2 3 3" xfId="47800"/>
    <cellStyle name="Normal 3 5 5 2 2 4" xfId="26514"/>
    <cellStyle name="Normal 3 5 5 2 2 4 2" xfId="48759"/>
    <cellStyle name="Normal 3 5 5 2 2 5" xfId="46556"/>
    <cellStyle name="Normal 3 5 5 2 3" xfId="24643"/>
    <cellStyle name="Normal 3 5 5 2 3 2" xfId="26856"/>
    <cellStyle name="Normal 3 5 5 2 3 2 2" xfId="49101"/>
    <cellStyle name="Normal 3 5 5 2 3 3" xfId="46888"/>
    <cellStyle name="Normal 3 5 5 2 4" xfId="25219"/>
    <cellStyle name="Normal 3 5 5 2 4 2" xfId="27524"/>
    <cellStyle name="Normal 3 5 5 2 4 2 2" xfId="49769"/>
    <cellStyle name="Normal 3 5 5 2 4 3" xfId="47464"/>
    <cellStyle name="Normal 3 5 5 2 5" xfId="26185"/>
    <cellStyle name="Normal 3 5 5 2 5 2" xfId="48430"/>
    <cellStyle name="Normal 3 5 5 2 6" xfId="23994"/>
    <cellStyle name="Normal 3 5 5 2 6 2" xfId="46240"/>
    <cellStyle name="Normal 3 5 5 3" xfId="24145"/>
    <cellStyle name="Normal 3 5 5 3 2" xfId="24809"/>
    <cellStyle name="Normal 3 5 5 3 2 2" xfId="27022"/>
    <cellStyle name="Normal 3 5 5 3 2 2 2" xfId="49267"/>
    <cellStyle name="Normal 3 5 5 3 2 3" xfId="47054"/>
    <cellStyle name="Normal 3 5 5 3 3" xfId="25387"/>
    <cellStyle name="Normal 3 5 5 3 3 2" xfId="27692"/>
    <cellStyle name="Normal 3 5 5 3 3 2 2" xfId="49937"/>
    <cellStyle name="Normal 3 5 5 3 3 3" xfId="47632"/>
    <cellStyle name="Normal 3 5 5 3 4" xfId="26349"/>
    <cellStyle name="Normal 3 5 5 3 4 2" xfId="48594"/>
    <cellStyle name="Normal 3 5 5 3 5" xfId="46391"/>
    <cellStyle name="Normal 3 5 5 4" xfId="24477"/>
    <cellStyle name="Normal 3 5 5 4 2" xfId="26690"/>
    <cellStyle name="Normal 3 5 5 4 2 2" xfId="48935"/>
    <cellStyle name="Normal 3 5 5 4 3" xfId="46722"/>
    <cellStyle name="Normal 3 5 5 5" xfId="25057"/>
    <cellStyle name="Normal 3 5 5 5 2" xfId="27356"/>
    <cellStyle name="Normal 3 5 5 5 2 2" xfId="49601"/>
    <cellStyle name="Normal 3 5 5 5 3" xfId="47302"/>
    <cellStyle name="Normal 3 5 5 6" xfId="23847"/>
    <cellStyle name="Normal 3 5 5 6 2" xfId="26038"/>
    <cellStyle name="Normal 3 5 5 6 2 2" xfId="48283"/>
    <cellStyle name="Normal 3 5 5 6 3" xfId="46093"/>
    <cellStyle name="Normal 3 5 6" xfId="7028"/>
    <cellStyle name="Normal 3 5 6 2" xfId="10360"/>
    <cellStyle name="Normal 3 5 6 2 2" xfId="17064"/>
    <cellStyle name="Normal 3 5 6 2 2 2" xfId="27064"/>
    <cellStyle name="Normal 3 5 6 2 2 2 2" xfId="49309"/>
    <cellStyle name="Normal 3 5 6 2 2 3" xfId="24851"/>
    <cellStyle name="Normal 3 5 6 2 2 3 2" xfId="47096"/>
    <cellStyle name="Normal 3 5 6 2 2 4" xfId="40485"/>
    <cellStyle name="Normal 3 5 6 2 3" xfId="25429"/>
    <cellStyle name="Normal 3 5 6 2 3 2" xfId="27734"/>
    <cellStyle name="Normal 3 5 6 2 3 2 2" xfId="49979"/>
    <cellStyle name="Normal 3 5 6 2 3 3" xfId="47674"/>
    <cellStyle name="Normal 3 5 6 2 4" xfId="26391"/>
    <cellStyle name="Normal 3 5 6 2 4 2" xfId="48636"/>
    <cellStyle name="Normal 3 5 6 2 5" xfId="24187"/>
    <cellStyle name="Normal 3 5 6 2 5 2" xfId="46433"/>
    <cellStyle name="Normal 3 5 6 2 6" xfId="33853"/>
    <cellStyle name="Normal 3 5 6 3" xfId="13748"/>
    <cellStyle name="Normal 3 5 6 3 2" xfId="26732"/>
    <cellStyle name="Normal 3 5 6 3 2 2" xfId="48977"/>
    <cellStyle name="Normal 3 5 6 3 3" xfId="24519"/>
    <cellStyle name="Normal 3 5 6 3 3 2" xfId="46764"/>
    <cellStyle name="Normal 3 5 6 3 4" xfId="37169"/>
    <cellStyle name="Normal 3 5 6 4" xfId="25093"/>
    <cellStyle name="Normal 3 5 6 4 2" xfId="27398"/>
    <cellStyle name="Normal 3 5 6 4 2 2" xfId="49643"/>
    <cellStyle name="Normal 3 5 6 4 3" xfId="47338"/>
    <cellStyle name="Normal 3 5 6 5" xfId="26066"/>
    <cellStyle name="Normal 3 5 6 5 2" xfId="48311"/>
    <cellStyle name="Normal 3 5 6 6" xfId="23875"/>
    <cellStyle name="Normal 3 5 6 6 2" xfId="46121"/>
    <cellStyle name="Normal 3 5 6 7" xfId="30537"/>
    <cellStyle name="Normal 3 5 7" xfId="8695"/>
    <cellStyle name="Normal 3 5 7 2" xfId="15406"/>
    <cellStyle name="Normal 3 5 7 2 2" xfId="26898"/>
    <cellStyle name="Normal 3 5 7 2 2 2" xfId="49143"/>
    <cellStyle name="Normal 3 5 7 2 3" xfId="24685"/>
    <cellStyle name="Normal 3 5 7 2 3 2" xfId="46930"/>
    <cellStyle name="Normal 3 5 7 2 4" xfId="38827"/>
    <cellStyle name="Normal 3 5 7 3" xfId="25261"/>
    <cellStyle name="Normal 3 5 7 3 2" xfId="27566"/>
    <cellStyle name="Normal 3 5 7 3 2 2" xfId="49811"/>
    <cellStyle name="Normal 3 5 7 3 3" xfId="47506"/>
    <cellStyle name="Normal 3 5 7 4" xfId="26226"/>
    <cellStyle name="Normal 3 5 7 4 2" xfId="48471"/>
    <cellStyle name="Normal 3 5 7 5" xfId="24025"/>
    <cellStyle name="Normal 3 5 7 5 2" xfId="46271"/>
    <cellStyle name="Normal 3 5 7 6" xfId="32195"/>
    <cellStyle name="Normal 3 5 8" xfId="12088"/>
    <cellStyle name="Normal 3 5 8 2" xfId="26566"/>
    <cellStyle name="Normal 3 5 8 2 2" xfId="48811"/>
    <cellStyle name="Normal 3 5 8 3" xfId="24363"/>
    <cellStyle name="Normal 3 5 8 3 2" xfId="46608"/>
    <cellStyle name="Normal 3 5 8 4" xfId="35511"/>
    <cellStyle name="Normal 3 5 9" xfId="18706"/>
    <cellStyle name="Normal 3 5 9 2" xfId="27230"/>
    <cellStyle name="Normal 3 5 9 2 2" xfId="49475"/>
    <cellStyle name="Normal 3 5 9 3" xfId="25017"/>
    <cellStyle name="Normal 3 5 9 3 2" xfId="47262"/>
    <cellStyle name="Normal 3 6" xfId="4007"/>
    <cellStyle name="Normal 3 6 2" xfId="20543"/>
    <cellStyle name="Normal 3 6 2 2" xfId="42995"/>
    <cellStyle name="Normal 3 6 3" xfId="21286"/>
    <cellStyle name="Normal 3 6 3 2" xfId="43737"/>
    <cellStyle name="Normal 3 6 4" xfId="18241"/>
    <cellStyle name="Normal 3 6 4 2" xfId="41419"/>
    <cellStyle name="Normal 3 7" xfId="6069"/>
    <cellStyle name="Normal 3 7 2" xfId="7734"/>
    <cellStyle name="Normal 3 7 2 2" xfId="11063"/>
    <cellStyle name="Normal 3 7 2 2 2" xfId="17767"/>
    <cellStyle name="Normal 3 7 2 2 2 2" xfId="41188"/>
    <cellStyle name="Normal 3 7 2 2 3" xfId="34556"/>
    <cellStyle name="Normal 3 7 2 3" xfId="14451"/>
    <cellStyle name="Normal 3 7 2 3 2" xfId="37872"/>
    <cellStyle name="Normal 3 7 2 4" xfId="26543"/>
    <cellStyle name="Normal 3 7 2 4 2" xfId="48788"/>
    <cellStyle name="Normal 3 7 2 5" xfId="31240"/>
    <cellStyle name="Normal 3 7 3" xfId="9405"/>
    <cellStyle name="Normal 3 7 3 2" xfId="16109"/>
    <cellStyle name="Normal 3 7 3 2 2" xfId="39530"/>
    <cellStyle name="Normal 3 7 3 3" xfId="32898"/>
    <cellStyle name="Normal 3 7 4" xfId="12793"/>
    <cellStyle name="Normal 3 7 4 2" xfId="36214"/>
    <cellStyle name="Normal 3 7 5" xfId="18299"/>
    <cellStyle name="Normal 3 7 5 2" xfId="41432"/>
    <cellStyle name="Normal 3 7 6" xfId="24339"/>
    <cellStyle name="Normal 3 7 6 2" xfId="46585"/>
    <cellStyle name="Normal 3 7 7" xfId="29582"/>
    <cellStyle name="Normal 3 8" xfId="20827"/>
    <cellStyle name="Normal 3 8 2" xfId="43278"/>
    <cellStyle name="Normal 30" xfId="502"/>
    <cellStyle name="Normal 30 2" xfId="4008"/>
    <cellStyle name="Normal 30 3" xfId="4781"/>
    <cellStyle name="Normal 31" xfId="503"/>
    <cellStyle name="Normal 31 2" xfId="4009"/>
    <cellStyle name="Normal 31 3" xfId="5045"/>
    <cellStyle name="Normal 32" xfId="504"/>
    <cellStyle name="Normal 32 2" xfId="4010"/>
    <cellStyle name="Normal 32 3" xfId="5065"/>
    <cellStyle name="Normal 33" xfId="505"/>
    <cellStyle name="Normal 33 2" xfId="4011"/>
    <cellStyle name="Normal 33 3" xfId="5066"/>
    <cellStyle name="Normal 34" xfId="506"/>
    <cellStyle name="Normal 34 2" xfId="755"/>
    <cellStyle name="Normal 34 2 2" xfId="4012"/>
    <cellStyle name="Normal 34 2 3" xfId="5115"/>
    <cellStyle name="Normal 34 2 4" xfId="23775"/>
    <cellStyle name="Normal 34 3" xfId="868"/>
    <cellStyle name="Normal 34 3 2" xfId="18742"/>
    <cellStyle name="Normal 34 3 3" xfId="23471"/>
    <cellStyle name="Normal 34 3 3 2" xfId="45805"/>
    <cellStyle name="Normal 34 4" xfId="5058"/>
    <cellStyle name="Normal 34 4 2" xfId="7170"/>
    <cellStyle name="Normal 34 4 2 2" xfId="10501"/>
    <cellStyle name="Normal 34 4 2 2 2" xfId="17205"/>
    <cellStyle name="Normal 34 4 2 2 2 2" xfId="40626"/>
    <cellStyle name="Normal 34 4 2 2 3" xfId="33994"/>
    <cellStyle name="Normal 34 4 2 3" xfId="13889"/>
    <cellStyle name="Normal 34 4 2 3 2" xfId="37310"/>
    <cellStyle name="Normal 34 4 2 4" xfId="26012"/>
    <cellStyle name="Normal 34 4 2 4 2" xfId="48257"/>
    <cellStyle name="Normal 34 4 2 5" xfId="30678"/>
    <cellStyle name="Normal 34 4 3" xfId="8840"/>
    <cellStyle name="Normal 34 4 3 2" xfId="15547"/>
    <cellStyle name="Normal 34 4 3 2 2" xfId="38968"/>
    <cellStyle name="Normal 34 4 3 3" xfId="32336"/>
    <cellStyle name="Normal 34 4 4" xfId="12230"/>
    <cellStyle name="Normal 34 4 4 2" xfId="35652"/>
    <cellStyle name="Normal 34 4 5" xfId="18741"/>
    <cellStyle name="Normal 34 4 6" xfId="23801"/>
    <cellStyle name="Normal 34 4 6 2" xfId="46066"/>
    <cellStyle name="Normal 34 4 7" xfId="29020"/>
    <cellStyle name="Normal 34 5" xfId="23307"/>
    <cellStyle name="Normal 34 5 2" xfId="45673"/>
    <cellStyle name="Normal 35" xfId="729"/>
    <cellStyle name="Normal 35 2" xfId="4013"/>
    <cellStyle name="Normal 35 2 2" xfId="4014"/>
    <cellStyle name="Normal 35 2 3" xfId="5116"/>
    <cellStyle name="Normal 35 2 4" xfId="23296"/>
    <cellStyle name="Normal 35 3" xfId="4015"/>
    <cellStyle name="Normal 35 3 2" xfId="23470"/>
    <cellStyle name="Normal 35 3 2 2" xfId="45804"/>
    <cellStyle name="Normal 35 4" xfId="5057"/>
    <cellStyle name="Normal 35 4 2" xfId="7169"/>
    <cellStyle name="Normal 35 4 2 2" xfId="10500"/>
    <cellStyle name="Normal 35 4 2 2 2" xfId="17204"/>
    <cellStyle name="Normal 35 4 2 2 2 2" xfId="40625"/>
    <cellStyle name="Normal 35 4 2 2 3" xfId="33993"/>
    <cellStyle name="Normal 35 4 2 3" xfId="13888"/>
    <cellStyle name="Normal 35 4 2 3 2" xfId="37309"/>
    <cellStyle name="Normal 35 4 2 4" xfId="26011"/>
    <cellStyle name="Normal 35 4 2 4 2" xfId="48256"/>
    <cellStyle name="Normal 35 4 2 5" xfId="30677"/>
    <cellStyle name="Normal 35 4 3" xfId="8839"/>
    <cellStyle name="Normal 35 4 3 2" xfId="15546"/>
    <cellStyle name="Normal 35 4 3 2 2" xfId="38967"/>
    <cellStyle name="Normal 35 4 3 3" xfId="32335"/>
    <cellStyle name="Normal 35 4 4" xfId="12229"/>
    <cellStyle name="Normal 35 4 4 2" xfId="35651"/>
    <cellStyle name="Normal 35 4 5" xfId="23800"/>
    <cellStyle name="Normal 35 4 5 2" xfId="46065"/>
    <cellStyle name="Normal 35 4 6" xfId="29019"/>
    <cellStyle name="Normal 35 5" xfId="23306"/>
    <cellStyle name="Normal 35 5 2" xfId="45672"/>
    <cellStyle name="Normal 36" xfId="731"/>
    <cellStyle name="Normal 36 2" xfId="1327"/>
    <cellStyle name="Normal 36 2 2" xfId="4017"/>
    <cellStyle name="Normal 36 2 2 2" xfId="23242"/>
    <cellStyle name="Normal 36 2 2 3" xfId="23269"/>
    <cellStyle name="Normal 36 2 3" xfId="4018"/>
    <cellStyle name="Normal 36 2 4" xfId="4016"/>
    <cellStyle name="Normal 36 3" xfId="4019"/>
    <cellStyle name="Normal 36 3 2" xfId="4020"/>
    <cellStyle name="Normal 36 3 3" xfId="5117"/>
    <cellStyle name="Normal 36 4" xfId="4021"/>
    <cellStyle name="Normal 36 4 2" xfId="23468"/>
    <cellStyle name="Normal 36 4 2 2" xfId="45802"/>
    <cellStyle name="Normal 36 5" xfId="5054"/>
    <cellStyle name="Normal 36 5 2" xfId="7167"/>
    <cellStyle name="Normal 36 5 2 2" xfId="10498"/>
    <cellStyle name="Normal 36 5 2 2 2" xfId="17202"/>
    <cellStyle name="Normal 36 5 2 2 2 2" xfId="40623"/>
    <cellStyle name="Normal 36 5 2 2 3" xfId="33991"/>
    <cellStyle name="Normal 36 5 2 3" xfId="13886"/>
    <cellStyle name="Normal 36 5 2 3 2" xfId="37307"/>
    <cellStyle name="Normal 36 5 2 4" xfId="26009"/>
    <cellStyle name="Normal 36 5 2 4 2" xfId="48254"/>
    <cellStyle name="Normal 36 5 2 5" xfId="30675"/>
    <cellStyle name="Normal 36 5 3" xfId="8837"/>
    <cellStyle name="Normal 36 5 3 2" xfId="15544"/>
    <cellStyle name="Normal 36 5 3 2 2" xfId="38965"/>
    <cellStyle name="Normal 36 5 3 3" xfId="32333"/>
    <cellStyle name="Normal 36 5 4" xfId="12227"/>
    <cellStyle name="Normal 36 5 4 2" xfId="35649"/>
    <cellStyle name="Normal 36 5 5" xfId="23799"/>
    <cellStyle name="Normal 36 5 5 2" xfId="46064"/>
    <cellStyle name="Normal 36 5 6" xfId="29017"/>
    <cellStyle name="Normal 36 6" xfId="23304"/>
    <cellStyle name="Normal 36 6 2" xfId="45670"/>
    <cellStyle name="Normal 37" xfId="733"/>
    <cellStyle name="Normal 37 2" xfId="1328"/>
    <cellStyle name="Normal 37 2 2" xfId="4022"/>
    <cellStyle name="Normal 37 2 3" xfId="4023"/>
    <cellStyle name="Normal 37 3" xfId="5981"/>
    <cellStyle name="Normal 37 3 2" xfId="18743"/>
    <cellStyle name="Normal 37 4" xfId="23270"/>
    <cellStyle name="Normal 38" xfId="734"/>
    <cellStyle name="Normal 38 2" xfId="1404"/>
    <cellStyle name="Normal 38 2 2" xfId="4025"/>
    <cellStyle name="Normal 38 2 3" xfId="4024"/>
    <cellStyle name="Normal 38 3" xfId="18744"/>
    <cellStyle name="Normal 39" xfId="730"/>
    <cellStyle name="Normal 39 2" xfId="812"/>
    <cellStyle name="Normal 39 2 2" xfId="4027"/>
    <cellStyle name="Normal 39 2 3" xfId="4026"/>
    <cellStyle name="Normal 39 3" xfId="4028"/>
    <cellStyle name="Normal 4" xfId="507"/>
    <cellStyle name="Normal 4 10" xfId="1621"/>
    <cellStyle name="Normal 4 10 10" xfId="23650"/>
    <cellStyle name="Normal 4 10 10 2" xfId="45939"/>
    <cellStyle name="Normal 4 10 11" xfId="28040"/>
    <cellStyle name="Normal 4 10 2" xfId="1819"/>
    <cellStyle name="Normal 4 10 2 10" xfId="28171"/>
    <cellStyle name="Normal 4 10 2 2" xfId="2314"/>
    <cellStyle name="Normal 4 10 2 2 2" xfId="5554"/>
    <cellStyle name="Normal 4 10 2 2 2 2" xfId="7377"/>
    <cellStyle name="Normal 4 10 2 2 2 2 2" xfId="10708"/>
    <cellStyle name="Normal 4 10 2 2 2 2 2 2" xfId="17412"/>
    <cellStyle name="Normal 4 10 2 2 2 2 2 2 2" xfId="40833"/>
    <cellStyle name="Normal 4 10 2 2 2 2 2 3" xfId="23127"/>
    <cellStyle name="Normal 4 10 2 2 2 2 2 3 2" xfId="45549"/>
    <cellStyle name="Normal 4 10 2 2 2 2 2 4" xfId="34201"/>
    <cellStyle name="Normal 4 10 2 2 2 2 3" xfId="14096"/>
    <cellStyle name="Normal 4 10 2 2 2 2 3 2" xfId="37517"/>
    <cellStyle name="Normal 4 10 2 2 2 2 4" xfId="20302"/>
    <cellStyle name="Normal 4 10 2 2 2 2 4 2" xfId="42837"/>
    <cellStyle name="Normal 4 10 2 2 2 2 5" xfId="30885"/>
    <cellStyle name="Normal 4 10 2 2 2 3" xfId="9050"/>
    <cellStyle name="Normal 4 10 2 2 2 3 2" xfId="15754"/>
    <cellStyle name="Normal 4 10 2 2 2 3 2 2" xfId="39175"/>
    <cellStyle name="Normal 4 10 2 2 2 3 3" xfId="21340"/>
    <cellStyle name="Normal 4 10 2 2 2 3 3 2" xfId="43791"/>
    <cellStyle name="Normal 4 10 2 2 2 3 4" xfId="32543"/>
    <cellStyle name="Normal 4 10 2 2 2 4" xfId="12438"/>
    <cellStyle name="Normal 4 10 2 2 2 4 2" xfId="22315"/>
    <cellStyle name="Normal 4 10 2 2 2 4 2 2" xfId="44737"/>
    <cellStyle name="Normal 4 10 2 2 2 4 3" xfId="35859"/>
    <cellStyle name="Normal 4 10 2 2 2 5" xfId="19463"/>
    <cellStyle name="Normal 4 10 2 2 2 5 2" xfId="42005"/>
    <cellStyle name="Normal 4 10 2 2 2 6" xfId="29227"/>
    <cellStyle name="Normal 4 10 2 2 3" xfId="6474"/>
    <cellStyle name="Normal 4 10 2 2 3 2" xfId="9808"/>
    <cellStyle name="Normal 4 10 2 2 3 2 2" xfId="16512"/>
    <cellStyle name="Normal 4 10 2 2 3 2 2 2" xfId="39933"/>
    <cellStyle name="Normal 4 10 2 2 3 2 3" xfId="22722"/>
    <cellStyle name="Normal 4 10 2 2 3 2 3 2" xfId="45144"/>
    <cellStyle name="Normal 4 10 2 2 3 2 4" xfId="33301"/>
    <cellStyle name="Normal 4 10 2 2 3 3" xfId="13196"/>
    <cellStyle name="Normal 4 10 2 2 3 3 2" xfId="36617"/>
    <cellStyle name="Normal 4 10 2 2 3 4" xfId="19886"/>
    <cellStyle name="Normal 4 10 2 2 3 4 2" xfId="42421"/>
    <cellStyle name="Normal 4 10 2 2 3 5" xfId="29985"/>
    <cellStyle name="Normal 4 10 2 2 4" xfId="8141"/>
    <cellStyle name="Normal 4 10 2 2 4 2" xfId="14854"/>
    <cellStyle name="Normal 4 10 2 2 4 2 2" xfId="38275"/>
    <cellStyle name="Normal 4 10 2 2 4 3" xfId="20881"/>
    <cellStyle name="Normal 4 10 2 2 4 3 2" xfId="43332"/>
    <cellStyle name="Normal 4 10 2 2 4 4" xfId="31643"/>
    <cellStyle name="Normal 4 10 2 2 5" xfId="11536"/>
    <cellStyle name="Normal 4 10 2 2 5 2" xfId="21891"/>
    <cellStyle name="Normal 4 10 2 2 5 2 2" xfId="44323"/>
    <cellStyle name="Normal 4 10 2 2 5 3" xfId="34959"/>
    <cellStyle name="Normal 4 10 2 2 6" xfId="18747"/>
    <cellStyle name="Normal 4 10 2 2 6 2" xfId="41580"/>
    <cellStyle name="Normal 4 10 2 2 7" xfId="25882"/>
    <cellStyle name="Normal 4 10 2 2 7 2" xfId="48127"/>
    <cellStyle name="Normal 4 10 2 2 8" xfId="28327"/>
    <cellStyle name="Normal 4 10 2 3" xfId="2816"/>
    <cellStyle name="Normal 4 10 2 3 2" xfId="5908"/>
    <cellStyle name="Normal 4 10 2 3 2 2" xfId="7690"/>
    <cellStyle name="Normal 4 10 2 3 2 2 2" xfId="11019"/>
    <cellStyle name="Normal 4 10 2 3 2 2 2 2" xfId="17723"/>
    <cellStyle name="Normal 4 10 2 3 2 2 2 2 2" xfId="41144"/>
    <cellStyle name="Normal 4 10 2 3 2 2 2 3" xfId="34512"/>
    <cellStyle name="Normal 4 10 2 3 2 2 3" xfId="14407"/>
    <cellStyle name="Normal 4 10 2 3 2 2 3 2" xfId="37828"/>
    <cellStyle name="Normal 4 10 2 3 2 2 4" xfId="22922"/>
    <cellStyle name="Normal 4 10 2 3 2 2 4 2" xfId="45344"/>
    <cellStyle name="Normal 4 10 2 3 2 2 5" xfId="31196"/>
    <cellStyle name="Normal 4 10 2 3 2 3" xfId="9361"/>
    <cellStyle name="Normal 4 10 2 3 2 3 2" xfId="16065"/>
    <cellStyle name="Normal 4 10 2 3 2 3 2 2" xfId="39486"/>
    <cellStyle name="Normal 4 10 2 3 2 3 3" xfId="32854"/>
    <cellStyle name="Normal 4 10 2 3 2 4" xfId="12749"/>
    <cellStyle name="Normal 4 10 2 3 2 4 2" xfId="36170"/>
    <cellStyle name="Normal 4 10 2 3 2 5" xfId="20094"/>
    <cellStyle name="Normal 4 10 2 3 2 5 2" xfId="42629"/>
    <cellStyle name="Normal 4 10 2 3 2 6" xfId="29538"/>
    <cellStyle name="Normal 4 10 2 3 3" xfId="6791"/>
    <cellStyle name="Normal 4 10 2 3 3 2" xfId="10123"/>
    <cellStyle name="Normal 4 10 2 3 3 2 2" xfId="16827"/>
    <cellStyle name="Normal 4 10 2 3 3 2 2 2" xfId="40248"/>
    <cellStyle name="Normal 4 10 2 3 3 2 3" xfId="33616"/>
    <cellStyle name="Normal 4 10 2 3 3 3" xfId="13511"/>
    <cellStyle name="Normal 4 10 2 3 3 3 2" xfId="36932"/>
    <cellStyle name="Normal 4 10 2 3 3 4" xfId="21339"/>
    <cellStyle name="Normal 4 10 2 3 3 4 2" xfId="43790"/>
    <cellStyle name="Normal 4 10 2 3 3 5" xfId="30300"/>
    <cellStyle name="Normal 4 10 2 3 4" xfId="8457"/>
    <cellStyle name="Normal 4 10 2 3 4 2" xfId="15169"/>
    <cellStyle name="Normal 4 10 2 3 4 2 2" xfId="38590"/>
    <cellStyle name="Normal 4 10 2 3 4 3" xfId="22105"/>
    <cellStyle name="Normal 4 10 2 3 4 3 2" xfId="44529"/>
    <cellStyle name="Normal 4 10 2 3 4 4" xfId="31958"/>
    <cellStyle name="Normal 4 10 2 3 5" xfId="11851"/>
    <cellStyle name="Normal 4 10 2 3 5 2" xfId="35274"/>
    <cellStyle name="Normal 4 10 2 3 6" xfId="19244"/>
    <cellStyle name="Normal 4 10 2 3 6 2" xfId="41797"/>
    <cellStyle name="Normal 4 10 2 3 7" xfId="28642"/>
    <cellStyle name="Normal 4 10 2 4" xfId="4030"/>
    <cellStyle name="Normal 4 10 2 4 2" xfId="7035"/>
    <cellStyle name="Normal 4 10 2 4 2 2" xfId="10367"/>
    <cellStyle name="Normal 4 10 2 4 2 2 2" xfId="17071"/>
    <cellStyle name="Normal 4 10 2 4 2 2 2 2" xfId="40492"/>
    <cellStyle name="Normal 4 10 2 4 2 2 3" xfId="33860"/>
    <cellStyle name="Normal 4 10 2 4 2 3" xfId="13755"/>
    <cellStyle name="Normal 4 10 2 4 2 3 2" xfId="37176"/>
    <cellStyle name="Normal 4 10 2 4 2 4" xfId="22517"/>
    <cellStyle name="Normal 4 10 2 4 2 4 2" xfId="44939"/>
    <cellStyle name="Normal 4 10 2 4 2 5" xfId="30544"/>
    <cellStyle name="Normal 4 10 2 4 3" xfId="8702"/>
    <cellStyle name="Normal 4 10 2 4 3 2" xfId="15413"/>
    <cellStyle name="Normal 4 10 2 4 3 2 2" xfId="38834"/>
    <cellStyle name="Normal 4 10 2 4 3 3" xfId="32202"/>
    <cellStyle name="Normal 4 10 2 4 4" xfId="12095"/>
    <cellStyle name="Normal 4 10 2 4 4 2" xfId="35518"/>
    <cellStyle name="Normal 4 10 2 4 5" xfId="19676"/>
    <cellStyle name="Normal 4 10 2 4 5 2" xfId="42213"/>
    <cellStyle name="Normal 4 10 2 4 6" xfId="28886"/>
    <cellStyle name="Normal 4 10 2 5" xfId="6318"/>
    <cellStyle name="Normal 4 10 2 5 2" xfId="9652"/>
    <cellStyle name="Normal 4 10 2 5 2 2" xfId="16356"/>
    <cellStyle name="Normal 4 10 2 5 2 2 2" xfId="39777"/>
    <cellStyle name="Normal 4 10 2 5 2 3" xfId="33145"/>
    <cellStyle name="Normal 4 10 2 5 3" xfId="13040"/>
    <cellStyle name="Normal 4 10 2 5 3 2" xfId="36461"/>
    <cellStyle name="Normal 4 10 2 5 4" xfId="20880"/>
    <cellStyle name="Normal 4 10 2 5 4 2" xfId="43331"/>
    <cellStyle name="Normal 4 10 2 5 5" xfId="29829"/>
    <cellStyle name="Normal 4 10 2 6" xfId="7984"/>
    <cellStyle name="Normal 4 10 2 6 2" xfId="14698"/>
    <cellStyle name="Normal 4 10 2 6 2 2" xfId="38119"/>
    <cellStyle name="Normal 4 10 2 6 3" xfId="21667"/>
    <cellStyle name="Normal 4 10 2 6 3 2" xfId="44116"/>
    <cellStyle name="Normal 4 10 2 6 4" xfId="31487"/>
    <cellStyle name="Normal 4 10 2 7" xfId="11380"/>
    <cellStyle name="Normal 4 10 2 7 2" xfId="34803"/>
    <cellStyle name="Normal 4 10 2 8" xfId="18057"/>
    <cellStyle name="Normal 4 10 2 8 2" xfId="41345"/>
    <cellStyle name="Normal 4 10 2 9" xfId="23651"/>
    <cellStyle name="Normal 4 10 2 9 2" xfId="45940"/>
    <cellStyle name="Normal 4 10 3" xfId="2313"/>
    <cellStyle name="Normal 4 10 3 2" xfId="5553"/>
    <cellStyle name="Normal 4 10 3 2 2" xfId="7376"/>
    <cellStyle name="Normal 4 10 3 2 2 2" xfId="10707"/>
    <cellStyle name="Normal 4 10 3 2 2 2 2" xfId="17411"/>
    <cellStyle name="Normal 4 10 3 2 2 2 2 2" xfId="40832"/>
    <cellStyle name="Normal 4 10 3 2 2 2 3" xfId="23126"/>
    <cellStyle name="Normal 4 10 3 2 2 2 3 2" xfId="45548"/>
    <cellStyle name="Normal 4 10 3 2 2 2 4" xfId="34200"/>
    <cellStyle name="Normal 4 10 3 2 2 3" xfId="14095"/>
    <cellStyle name="Normal 4 10 3 2 2 3 2" xfId="37516"/>
    <cellStyle name="Normal 4 10 3 2 2 4" xfId="20301"/>
    <cellStyle name="Normal 4 10 3 2 2 4 2" xfId="42836"/>
    <cellStyle name="Normal 4 10 3 2 2 5" xfId="30884"/>
    <cellStyle name="Normal 4 10 3 2 3" xfId="9049"/>
    <cellStyle name="Normal 4 10 3 2 3 2" xfId="15753"/>
    <cellStyle name="Normal 4 10 3 2 3 2 2" xfId="39174"/>
    <cellStyle name="Normal 4 10 3 2 3 3" xfId="21341"/>
    <cellStyle name="Normal 4 10 3 2 3 3 2" xfId="43792"/>
    <cellStyle name="Normal 4 10 3 2 3 4" xfId="32542"/>
    <cellStyle name="Normal 4 10 3 2 4" xfId="12437"/>
    <cellStyle name="Normal 4 10 3 2 4 2" xfId="22314"/>
    <cellStyle name="Normal 4 10 3 2 4 2 2" xfId="44736"/>
    <cellStyle name="Normal 4 10 3 2 4 3" xfId="35858"/>
    <cellStyle name="Normal 4 10 3 2 5" xfId="19462"/>
    <cellStyle name="Normal 4 10 3 2 5 2" xfId="42004"/>
    <cellStyle name="Normal 4 10 3 2 6" xfId="29226"/>
    <cellStyle name="Normal 4 10 3 3" xfId="6473"/>
    <cellStyle name="Normal 4 10 3 3 2" xfId="9807"/>
    <cellStyle name="Normal 4 10 3 3 2 2" xfId="16511"/>
    <cellStyle name="Normal 4 10 3 3 2 2 2" xfId="39932"/>
    <cellStyle name="Normal 4 10 3 3 2 3" xfId="22721"/>
    <cellStyle name="Normal 4 10 3 3 2 3 2" xfId="45143"/>
    <cellStyle name="Normal 4 10 3 3 2 4" xfId="33300"/>
    <cellStyle name="Normal 4 10 3 3 3" xfId="13195"/>
    <cellStyle name="Normal 4 10 3 3 3 2" xfId="36616"/>
    <cellStyle name="Normal 4 10 3 3 4" xfId="19885"/>
    <cellStyle name="Normal 4 10 3 3 4 2" xfId="42420"/>
    <cellStyle name="Normal 4 10 3 3 5" xfId="29984"/>
    <cellStyle name="Normal 4 10 3 4" xfId="8140"/>
    <cellStyle name="Normal 4 10 3 4 2" xfId="14853"/>
    <cellStyle name="Normal 4 10 3 4 2 2" xfId="38274"/>
    <cellStyle name="Normal 4 10 3 4 3" xfId="20882"/>
    <cellStyle name="Normal 4 10 3 4 3 2" xfId="43333"/>
    <cellStyle name="Normal 4 10 3 4 4" xfId="31642"/>
    <cellStyle name="Normal 4 10 3 5" xfId="11535"/>
    <cellStyle name="Normal 4 10 3 5 2" xfId="21890"/>
    <cellStyle name="Normal 4 10 3 5 2 2" xfId="44322"/>
    <cellStyle name="Normal 4 10 3 5 3" xfId="34958"/>
    <cellStyle name="Normal 4 10 3 6" xfId="18746"/>
    <cellStyle name="Normal 4 10 3 6 2" xfId="41579"/>
    <cellStyle name="Normal 4 10 3 7" xfId="25881"/>
    <cellStyle name="Normal 4 10 3 7 2" xfId="48126"/>
    <cellStyle name="Normal 4 10 3 8" xfId="28326"/>
    <cellStyle name="Normal 4 10 4" xfId="2684"/>
    <cellStyle name="Normal 4 10 4 2" xfId="5777"/>
    <cellStyle name="Normal 4 10 4 2 2" xfId="7559"/>
    <cellStyle name="Normal 4 10 4 2 2 2" xfId="10888"/>
    <cellStyle name="Normal 4 10 4 2 2 2 2" xfId="17592"/>
    <cellStyle name="Normal 4 10 4 2 2 2 2 2" xfId="41013"/>
    <cellStyle name="Normal 4 10 4 2 2 2 3" xfId="34381"/>
    <cellStyle name="Normal 4 10 4 2 2 3" xfId="14276"/>
    <cellStyle name="Normal 4 10 4 2 2 3 2" xfId="37697"/>
    <cellStyle name="Normal 4 10 4 2 2 4" xfId="22921"/>
    <cellStyle name="Normal 4 10 4 2 2 4 2" xfId="45343"/>
    <cellStyle name="Normal 4 10 4 2 2 5" xfId="31065"/>
    <cellStyle name="Normal 4 10 4 2 3" xfId="9230"/>
    <cellStyle name="Normal 4 10 4 2 3 2" xfId="15934"/>
    <cellStyle name="Normal 4 10 4 2 3 2 2" xfId="39355"/>
    <cellStyle name="Normal 4 10 4 2 3 3" xfId="32723"/>
    <cellStyle name="Normal 4 10 4 2 4" xfId="12618"/>
    <cellStyle name="Normal 4 10 4 2 4 2" xfId="36039"/>
    <cellStyle name="Normal 4 10 4 2 5" xfId="20093"/>
    <cellStyle name="Normal 4 10 4 2 5 2" xfId="42628"/>
    <cellStyle name="Normal 4 10 4 2 6" xfId="29407"/>
    <cellStyle name="Normal 4 10 4 3" xfId="6660"/>
    <cellStyle name="Normal 4 10 4 3 2" xfId="9992"/>
    <cellStyle name="Normal 4 10 4 3 2 2" xfId="16696"/>
    <cellStyle name="Normal 4 10 4 3 2 2 2" xfId="40117"/>
    <cellStyle name="Normal 4 10 4 3 2 3" xfId="33485"/>
    <cellStyle name="Normal 4 10 4 3 3" xfId="13380"/>
    <cellStyle name="Normal 4 10 4 3 3 2" xfId="36801"/>
    <cellStyle name="Normal 4 10 4 3 4" xfId="21338"/>
    <cellStyle name="Normal 4 10 4 3 4 2" xfId="43789"/>
    <cellStyle name="Normal 4 10 4 3 5" xfId="30169"/>
    <cellStyle name="Normal 4 10 4 4" xfId="8326"/>
    <cellStyle name="Normal 4 10 4 4 2" xfId="15038"/>
    <cellStyle name="Normal 4 10 4 4 2 2" xfId="38459"/>
    <cellStyle name="Normal 4 10 4 4 3" xfId="22104"/>
    <cellStyle name="Normal 4 10 4 4 3 2" xfId="44528"/>
    <cellStyle name="Normal 4 10 4 4 4" xfId="31827"/>
    <cellStyle name="Normal 4 10 4 5" xfId="11720"/>
    <cellStyle name="Normal 4 10 4 5 2" xfId="35143"/>
    <cellStyle name="Normal 4 10 4 6" xfId="19243"/>
    <cellStyle name="Normal 4 10 4 6 2" xfId="41796"/>
    <cellStyle name="Normal 4 10 4 7" xfId="28511"/>
    <cellStyle name="Normal 4 10 5" xfId="4029"/>
    <cellStyle name="Normal 4 10 5 2" xfId="7034"/>
    <cellStyle name="Normal 4 10 5 2 2" xfId="10366"/>
    <cellStyle name="Normal 4 10 5 2 2 2" xfId="17070"/>
    <cellStyle name="Normal 4 10 5 2 2 2 2" xfId="40491"/>
    <cellStyle name="Normal 4 10 5 2 2 3" xfId="33859"/>
    <cellStyle name="Normal 4 10 5 2 3" xfId="13754"/>
    <cellStyle name="Normal 4 10 5 2 3 2" xfId="37175"/>
    <cellStyle name="Normal 4 10 5 2 4" xfId="22516"/>
    <cellStyle name="Normal 4 10 5 2 4 2" xfId="44938"/>
    <cellStyle name="Normal 4 10 5 2 5" xfId="30543"/>
    <cellStyle name="Normal 4 10 5 3" xfId="8701"/>
    <cellStyle name="Normal 4 10 5 3 2" xfId="15412"/>
    <cellStyle name="Normal 4 10 5 3 2 2" xfId="38833"/>
    <cellStyle name="Normal 4 10 5 3 3" xfId="32201"/>
    <cellStyle name="Normal 4 10 5 4" xfId="12094"/>
    <cellStyle name="Normal 4 10 5 4 2" xfId="35517"/>
    <cellStyle name="Normal 4 10 5 5" xfId="19675"/>
    <cellStyle name="Normal 4 10 5 5 2" xfId="42212"/>
    <cellStyle name="Normal 4 10 5 6" xfId="28885"/>
    <cellStyle name="Normal 4 10 6" xfId="6187"/>
    <cellStyle name="Normal 4 10 6 2" xfId="9521"/>
    <cellStyle name="Normal 4 10 6 2 2" xfId="16225"/>
    <cellStyle name="Normal 4 10 6 2 2 2" xfId="39646"/>
    <cellStyle name="Normal 4 10 6 2 3" xfId="33014"/>
    <cellStyle name="Normal 4 10 6 3" xfId="12909"/>
    <cellStyle name="Normal 4 10 6 3 2" xfId="36330"/>
    <cellStyle name="Normal 4 10 6 4" xfId="20879"/>
    <cellStyle name="Normal 4 10 6 4 2" xfId="43330"/>
    <cellStyle name="Normal 4 10 6 5" xfId="29698"/>
    <cellStyle name="Normal 4 10 7" xfId="7853"/>
    <cellStyle name="Normal 4 10 7 2" xfId="14567"/>
    <cellStyle name="Normal 4 10 7 2 2" xfId="37988"/>
    <cellStyle name="Normal 4 10 7 3" xfId="21666"/>
    <cellStyle name="Normal 4 10 7 3 2" xfId="44115"/>
    <cellStyle name="Normal 4 10 7 4" xfId="31356"/>
    <cellStyle name="Normal 4 10 8" xfId="11249"/>
    <cellStyle name="Normal 4 10 8 2" xfId="34672"/>
    <cellStyle name="Normal 4 10 9" xfId="18056"/>
    <cellStyle name="Normal 4 10 9 2" xfId="41344"/>
    <cellStyle name="Normal 4 11" xfId="2312"/>
    <cellStyle name="Normal 4 11 2" xfId="5552"/>
    <cellStyle name="Normal 4 11 2 2" xfId="7375"/>
    <cellStyle name="Normal 4 11 2 2 2" xfId="10706"/>
    <cellStyle name="Normal 4 11 2 2 2 2" xfId="17410"/>
    <cellStyle name="Normal 4 11 2 2 2 2 2" xfId="40831"/>
    <cellStyle name="Normal 4 11 2 2 2 3" xfId="23125"/>
    <cellStyle name="Normal 4 11 2 2 2 3 2" xfId="45547"/>
    <cellStyle name="Normal 4 11 2 2 2 4" xfId="34199"/>
    <cellStyle name="Normal 4 11 2 2 3" xfId="14094"/>
    <cellStyle name="Normal 4 11 2 2 3 2" xfId="37515"/>
    <cellStyle name="Normal 4 11 2 2 4" xfId="20300"/>
    <cellStyle name="Normal 4 11 2 2 4 2" xfId="42835"/>
    <cellStyle name="Normal 4 11 2 2 5" xfId="30883"/>
    <cellStyle name="Normal 4 11 2 3" xfId="9048"/>
    <cellStyle name="Normal 4 11 2 3 2" xfId="15752"/>
    <cellStyle name="Normal 4 11 2 3 2 2" xfId="39173"/>
    <cellStyle name="Normal 4 11 2 3 3" xfId="21342"/>
    <cellStyle name="Normal 4 11 2 3 3 2" xfId="43793"/>
    <cellStyle name="Normal 4 11 2 3 4" xfId="32541"/>
    <cellStyle name="Normal 4 11 2 4" xfId="12436"/>
    <cellStyle name="Normal 4 11 2 4 2" xfId="22313"/>
    <cellStyle name="Normal 4 11 2 4 2 2" xfId="44735"/>
    <cellStyle name="Normal 4 11 2 4 3" xfId="35857"/>
    <cellStyle name="Normal 4 11 2 5" xfId="19461"/>
    <cellStyle name="Normal 4 11 2 5 2" xfId="42003"/>
    <cellStyle name="Normal 4 11 2 6" xfId="29225"/>
    <cellStyle name="Normal 4 11 3" xfId="6472"/>
    <cellStyle name="Normal 4 11 3 2" xfId="9806"/>
    <cellStyle name="Normal 4 11 3 2 2" xfId="16510"/>
    <cellStyle name="Normal 4 11 3 2 2 2" xfId="39931"/>
    <cellStyle name="Normal 4 11 3 2 3" xfId="22720"/>
    <cellStyle name="Normal 4 11 3 2 3 2" xfId="45142"/>
    <cellStyle name="Normal 4 11 3 2 4" xfId="33299"/>
    <cellStyle name="Normal 4 11 3 3" xfId="13194"/>
    <cellStyle name="Normal 4 11 3 3 2" xfId="36615"/>
    <cellStyle name="Normal 4 11 3 4" xfId="19884"/>
    <cellStyle name="Normal 4 11 3 4 2" xfId="42419"/>
    <cellStyle name="Normal 4 11 3 5" xfId="29983"/>
    <cellStyle name="Normal 4 11 4" xfId="8139"/>
    <cellStyle name="Normal 4 11 4 2" xfId="14852"/>
    <cellStyle name="Normal 4 11 4 2 2" xfId="38273"/>
    <cellStyle name="Normal 4 11 4 3" xfId="20883"/>
    <cellStyle name="Normal 4 11 4 3 2" xfId="43334"/>
    <cellStyle name="Normal 4 11 4 4" xfId="31641"/>
    <cellStyle name="Normal 4 11 5" xfId="11534"/>
    <cellStyle name="Normal 4 11 5 2" xfId="21889"/>
    <cellStyle name="Normal 4 11 5 2 2" xfId="44321"/>
    <cellStyle name="Normal 4 11 5 3" xfId="34957"/>
    <cellStyle name="Normal 4 11 6" xfId="18745"/>
    <cellStyle name="Normal 4 11 6 2" xfId="41578"/>
    <cellStyle name="Normal 4 11 7" xfId="28325"/>
    <cellStyle name="Normal 4 12" xfId="6070"/>
    <cellStyle name="Normal 4 12 2" xfId="7735"/>
    <cellStyle name="Normal 4 12 2 2" xfId="11064"/>
    <cellStyle name="Normal 4 12 2 2 2" xfId="17768"/>
    <cellStyle name="Normal 4 12 2 2 2 2" xfId="41189"/>
    <cellStyle name="Normal 4 12 2 2 3" xfId="34557"/>
    <cellStyle name="Normal 4 12 2 3" xfId="14452"/>
    <cellStyle name="Normal 4 12 2 3 2" xfId="37873"/>
    <cellStyle name="Normal 4 12 2 4" xfId="20092"/>
    <cellStyle name="Normal 4 12 2 4 2" xfId="42627"/>
    <cellStyle name="Normal 4 12 2 5" xfId="31241"/>
    <cellStyle name="Normal 4 12 3" xfId="9406"/>
    <cellStyle name="Normal 4 12 3 2" xfId="16110"/>
    <cellStyle name="Normal 4 12 3 2 2" xfId="39531"/>
    <cellStyle name="Normal 4 12 3 3" xfId="22103"/>
    <cellStyle name="Normal 4 12 3 3 2" xfId="44527"/>
    <cellStyle name="Normal 4 12 3 4" xfId="32899"/>
    <cellStyle name="Normal 4 12 4" xfId="12794"/>
    <cellStyle name="Normal 4 12 4 2" xfId="36215"/>
    <cellStyle name="Normal 4 12 5" xfId="19242"/>
    <cellStyle name="Normal 4 12 5 2" xfId="41795"/>
    <cellStyle name="Normal 4 12 6" xfId="20431"/>
    <cellStyle name="Normal 4 12 7" xfId="29583"/>
    <cellStyle name="Normal 4 13" xfId="19674"/>
    <cellStyle name="Normal 4 13 2" xfId="42211"/>
    <cellStyle name="Normal 4 14" xfId="18055"/>
    <cellStyle name="Normal 4 14 2" xfId="41343"/>
    <cellStyle name="Normal 4 2" xfId="508"/>
    <cellStyle name="Normal 4 2 2" xfId="1152"/>
    <cellStyle name="Normal 4 2 2 2" xfId="4032"/>
    <cellStyle name="Normal 4 2 2 3" xfId="4031"/>
    <cellStyle name="Normal 4 2 2 3 2" xfId="7036"/>
    <cellStyle name="Normal 4 2 2 3 2 2" xfId="10368"/>
    <cellStyle name="Normal 4 2 2 3 2 2 2" xfId="17072"/>
    <cellStyle name="Normal 4 2 2 3 2 2 2 2" xfId="40493"/>
    <cellStyle name="Normal 4 2 2 3 2 2 3" xfId="33861"/>
    <cellStyle name="Normal 4 2 2 3 2 3" xfId="13756"/>
    <cellStyle name="Normal 4 2 2 3 2 3 2" xfId="37177"/>
    <cellStyle name="Normal 4 2 2 3 2 4" xfId="25883"/>
    <cellStyle name="Normal 4 2 2 3 2 4 2" xfId="48128"/>
    <cellStyle name="Normal 4 2 2 3 2 5" xfId="30545"/>
    <cellStyle name="Normal 4 2 2 3 3" xfId="8703"/>
    <cellStyle name="Normal 4 2 2 3 3 2" xfId="15414"/>
    <cellStyle name="Normal 4 2 2 3 3 2 2" xfId="38835"/>
    <cellStyle name="Normal 4 2 2 3 3 3" xfId="32203"/>
    <cellStyle name="Normal 4 2 2 3 4" xfId="12096"/>
    <cellStyle name="Normal 4 2 2 3 4 2" xfId="35519"/>
    <cellStyle name="Normal 4 2 2 3 5" xfId="23774"/>
    <cellStyle name="Normal 4 2 2 3 5 2" xfId="46055"/>
    <cellStyle name="Normal 4 2 2 3 6" xfId="28887"/>
    <cellStyle name="Normal 4 2 2 4" xfId="23652"/>
    <cellStyle name="Normal 4 2 2 4 2" xfId="45941"/>
    <cellStyle name="Normal 4 2 3" xfId="1089"/>
    <cellStyle name="Normal 4 2 3 2" xfId="18749"/>
    <cellStyle name="Normal 4 2 3 3" xfId="23453"/>
    <cellStyle name="Normal 4 2 3 3 2" xfId="45790"/>
    <cellStyle name="Normal 4 2 4" xfId="4771"/>
    <cellStyle name="Normal 4 2 4 2" xfId="7154"/>
    <cellStyle name="Normal 4 2 4 2 2" xfId="10486"/>
    <cellStyle name="Normal 4 2 4 2 2 2" xfId="17190"/>
    <cellStyle name="Normal 4 2 4 2 2 2 2" xfId="40611"/>
    <cellStyle name="Normal 4 2 4 2 2 3" xfId="33979"/>
    <cellStyle name="Normal 4 2 4 2 3" xfId="13874"/>
    <cellStyle name="Normal 4 2 4 2 3 2" xfId="37295"/>
    <cellStyle name="Normal 4 2 4 2 4" xfId="25997"/>
    <cellStyle name="Normal 4 2 4 2 4 2" xfId="48242"/>
    <cellStyle name="Normal 4 2 4 2 5" xfId="30663"/>
    <cellStyle name="Normal 4 2 4 3" xfId="8823"/>
    <cellStyle name="Normal 4 2 4 3 2" xfId="15532"/>
    <cellStyle name="Normal 4 2 4 3 2 2" xfId="38953"/>
    <cellStyle name="Normal 4 2 4 3 3" xfId="32321"/>
    <cellStyle name="Normal 4 2 4 4" xfId="12214"/>
    <cellStyle name="Normal 4 2 4 4 2" xfId="35637"/>
    <cellStyle name="Normal 4 2 4 5" xfId="18748"/>
    <cellStyle name="Normal 4 2 4 6" xfId="23768"/>
    <cellStyle name="Normal 4 2 4 6 2" xfId="46054"/>
    <cellStyle name="Normal 4 2 4 7" xfId="29005"/>
    <cellStyle name="Normal 4 2 5" xfId="23236"/>
    <cellStyle name="Normal 4 2 5 2" xfId="45636"/>
    <cellStyle name="Normal 4 3" xfId="509"/>
    <cellStyle name="Normal 4 3 2" xfId="869"/>
    <cellStyle name="Normal 4 3 2 2" xfId="4033"/>
    <cellStyle name="Normal 4 3 2 2 2" xfId="18750"/>
    <cellStyle name="Normal 4 3 3" xfId="5118"/>
    <cellStyle name="Normal 4 3 4" xfId="5004"/>
    <cellStyle name="Normal 4 3 4 2" xfId="7161"/>
    <cellStyle name="Normal 4 3 4 2 2" xfId="10493"/>
    <cellStyle name="Normal 4 3 4 2 2 2" xfId="17197"/>
    <cellStyle name="Normal 4 3 4 2 2 2 2" xfId="40618"/>
    <cellStyle name="Normal 4 3 4 2 2 3" xfId="33986"/>
    <cellStyle name="Normal 4 3 4 2 3" xfId="13881"/>
    <cellStyle name="Normal 4 3 4 2 3 2" xfId="37302"/>
    <cellStyle name="Normal 4 3 4 2 4" xfId="26004"/>
    <cellStyle name="Normal 4 3 4 2 4 2" xfId="48249"/>
    <cellStyle name="Normal 4 3 4 2 5" xfId="30670"/>
    <cellStyle name="Normal 4 3 4 3" xfId="8831"/>
    <cellStyle name="Normal 4 3 4 3 2" xfId="15539"/>
    <cellStyle name="Normal 4 3 4 3 2 2" xfId="38960"/>
    <cellStyle name="Normal 4 3 4 3 3" xfId="32328"/>
    <cellStyle name="Normal 4 3 4 4" xfId="12221"/>
    <cellStyle name="Normal 4 3 4 4 2" xfId="35644"/>
    <cellStyle name="Normal 4 3 4 5" xfId="23461"/>
    <cellStyle name="Normal 4 3 4 5 2" xfId="45797"/>
    <cellStyle name="Normal 4 3 4 6" xfId="29012"/>
    <cellStyle name="Normal 4 3 5" xfId="23294"/>
    <cellStyle name="Normal 4 3 5 2" xfId="45665"/>
    <cellStyle name="Normal 4 4" xfId="870"/>
    <cellStyle name="Normal 4 4 2" xfId="4034"/>
    <cellStyle name="Normal 4 4 2 2" xfId="5119"/>
    <cellStyle name="Normal 4 4 3" xfId="4035"/>
    <cellStyle name="Normal 4 4 3 2" xfId="23472"/>
    <cellStyle name="Normal 4 4 3 2 2" xfId="45806"/>
    <cellStyle name="Normal 4 4 4" xfId="5060"/>
    <cellStyle name="Normal 4 4 4 2" xfId="7171"/>
    <cellStyle name="Normal 4 4 4 2 2" xfId="10502"/>
    <cellStyle name="Normal 4 4 4 2 2 2" xfId="17206"/>
    <cellStyle name="Normal 4 4 4 2 2 2 2" xfId="40627"/>
    <cellStyle name="Normal 4 4 4 2 2 3" xfId="33995"/>
    <cellStyle name="Normal 4 4 4 2 3" xfId="13890"/>
    <cellStyle name="Normal 4 4 4 2 3 2" xfId="37311"/>
    <cellStyle name="Normal 4 4 4 2 4" xfId="26013"/>
    <cellStyle name="Normal 4 4 4 2 4 2" xfId="48258"/>
    <cellStyle name="Normal 4 4 4 2 5" xfId="30679"/>
    <cellStyle name="Normal 4 4 4 3" xfId="8841"/>
    <cellStyle name="Normal 4 4 4 3 2" xfId="15548"/>
    <cellStyle name="Normal 4 4 4 3 2 2" xfId="38969"/>
    <cellStyle name="Normal 4 4 4 3 3" xfId="32337"/>
    <cellStyle name="Normal 4 4 4 4" xfId="12231"/>
    <cellStyle name="Normal 4 4 4 4 2" xfId="35653"/>
    <cellStyle name="Normal 4 4 4 5" xfId="23802"/>
    <cellStyle name="Normal 4 4 4 5 2" xfId="46067"/>
    <cellStyle name="Normal 4 4 4 6" xfId="29021"/>
    <cellStyle name="Normal 4 4 5" xfId="23308"/>
    <cellStyle name="Normal 4 4 5 2" xfId="45674"/>
    <cellStyle name="Normal 4 5" xfId="1151"/>
    <cellStyle name="Normal 4 5 10" xfId="25884"/>
    <cellStyle name="Normal 4 5 10 2" xfId="48129"/>
    <cellStyle name="Normal 4 5 2" xfId="4037"/>
    <cellStyle name="Normal 4 5 2 10" xfId="28889"/>
    <cellStyle name="Normal 4 5 2 2" xfId="4038"/>
    <cellStyle name="Normal 4 5 2 2 2" xfId="7039"/>
    <cellStyle name="Normal 4 5 2 2 2 2" xfId="10371"/>
    <cellStyle name="Normal 4 5 2 2 2 2 2" xfId="17075"/>
    <cellStyle name="Normal 4 5 2 2 2 2 2 2" xfId="27168"/>
    <cellStyle name="Normal 4 5 2 2 2 2 2 2 2" xfId="49413"/>
    <cellStyle name="Normal 4 5 2 2 2 2 2 3" xfId="24955"/>
    <cellStyle name="Normal 4 5 2 2 2 2 2 3 2" xfId="47200"/>
    <cellStyle name="Normal 4 5 2 2 2 2 2 4" xfId="40496"/>
    <cellStyle name="Normal 4 5 2 2 2 2 3" xfId="25535"/>
    <cellStyle name="Normal 4 5 2 2 2 2 3 2" xfId="27840"/>
    <cellStyle name="Normal 4 5 2 2 2 2 3 2 2" xfId="50085"/>
    <cellStyle name="Normal 4 5 2 2 2 2 3 3" xfId="47780"/>
    <cellStyle name="Normal 4 5 2 2 2 2 4" xfId="26494"/>
    <cellStyle name="Normal 4 5 2 2 2 2 4 2" xfId="48739"/>
    <cellStyle name="Normal 4 5 2 2 2 2 5" xfId="24290"/>
    <cellStyle name="Normal 4 5 2 2 2 2 5 2" xfId="46536"/>
    <cellStyle name="Normal 4 5 2 2 2 2 6" xfId="33864"/>
    <cellStyle name="Normal 4 5 2 2 2 3" xfId="13759"/>
    <cellStyle name="Normal 4 5 2 2 2 3 2" xfId="26836"/>
    <cellStyle name="Normal 4 5 2 2 2 3 2 2" xfId="49081"/>
    <cellStyle name="Normal 4 5 2 2 2 3 3" xfId="24623"/>
    <cellStyle name="Normal 4 5 2 2 2 3 3 2" xfId="46868"/>
    <cellStyle name="Normal 4 5 2 2 2 3 4" xfId="37180"/>
    <cellStyle name="Normal 4 5 2 2 2 4" xfId="25199"/>
    <cellStyle name="Normal 4 5 2 2 2 4 2" xfId="27504"/>
    <cellStyle name="Normal 4 5 2 2 2 4 2 2" xfId="49749"/>
    <cellStyle name="Normal 4 5 2 2 2 4 3" xfId="47444"/>
    <cellStyle name="Normal 4 5 2 2 2 5" xfId="26165"/>
    <cellStyle name="Normal 4 5 2 2 2 5 2" xfId="48410"/>
    <cellStyle name="Normal 4 5 2 2 2 6" xfId="23974"/>
    <cellStyle name="Normal 4 5 2 2 2 6 2" xfId="46220"/>
    <cellStyle name="Normal 4 5 2 2 2 7" xfId="30548"/>
    <cellStyle name="Normal 4 5 2 2 3" xfId="8706"/>
    <cellStyle name="Normal 4 5 2 2 3 2" xfId="15417"/>
    <cellStyle name="Normal 4 5 2 2 3 2 2" xfId="27002"/>
    <cellStyle name="Normal 4 5 2 2 3 2 2 2" xfId="49247"/>
    <cellStyle name="Normal 4 5 2 2 3 2 3" xfId="24789"/>
    <cellStyle name="Normal 4 5 2 2 3 2 3 2" xfId="47034"/>
    <cellStyle name="Normal 4 5 2 2 3 2 4" xfId="38838"/>
    <cellStyle name="Normal 4 5 2 2 3 3" xfId="25367"/>
    <cellStyle name="Normal 4 5 2 2 3 3 2" xfId="27672"/>
    <cellStyle name="Normal 4 5 2 2 3 3 2 2" xfId="49917"/>
    <cellStyle name="Normal 4 5 2 2 3 3 3" xfId="47612"/>
    <cellStyle name="Normal 4 5 2 2 3 4" xfId="26329"/>
    <cellStyle name="Normal 4 5 2 2 3 4 2" xfId="48574"/>
    <cellStyle name="Normal 4 5 2 2 3 5" xfId="24125"/>
    <cellStyle name="Normal 4 5 2 2 3 5 2" xfId="46371"/>
    <cellStyle name="Normal 4 5 2 2 3 6" xfId="32206"/>
    <cellStyle name="Normal 4 5 2 2 4" xfId="12099"/>
    <cellStyle name="Normal 4 5 2 2 4 2" xfId="26670"/>
    <cellStyle name="Normal 4 5 2 2 4 2 2" xfId="48915"/>
    <cellStyle name="Normal 4 5 2 2 4 3" xfId="24457"/>
    <cellStyle name="Normal 4 5 2 2 4 3 2" xfId="46702"/>
    <cellStyle name="Normal 4 5 2 2 4 4" xfId="35522"/>
    <cellStyle name="Normal 4 5 2 2 5" xfId="23655"/>
    <cellStyle name="Normal 4 5 2 2 5 2" xfId="27336"/>
    <cellStyle name="Normal 4 5 2 2 5 2 2" xfId="49581"/>
    <cellStyle name="Normal 4 5 2 2 5 3" xfId="45944"/>
    <cellStyle name="Normal 4 5 2 2 6" xfId="25886"/>
    <cellStyle name="Normal 4 5 2 2 6 2" xfId="48131"/>
    <cellStyle name="Normal 4 5 2 2 7" xfId="28890"/>
    <cellStyle name="Normal 4 5 2 3" xfId="4039"/>
    <cellStyle name="Normal 4 5 2 3 2" xfId="7040"/>
    <cellStyle name="Normal 4 5 2 3 2 2" xfId="10372"/>
    <cellStyle name="Normal 4 5 2 3 2 2 2" xfId="17076"/>
    <cellStyle name="Normal 4 5 2 3 2 2 2 2" xfId="27128"/>
    <cellStyle name="Normal 4 5 2 3 2 2 2 2 2" xfId="49373"/>
    <cellStyle name="Normal 4 5 2 3 2 2 2 3" xfId="24915"/>
    <cellStyle name="Normal 4 5 2 3 2 2 2 3 2" xfId="47160"/>
    <cellStyle name="Normal 4 5 2 3 2 2 2 4" xfId="40497"/>
    <cellStyle name="Normal 4 5 2 3 2 2 3" xfId="25493"/>
    <cellStyle name="Normal 4 5 2 3 2 2 3 2" xfId="27798"/>
    <cellStyle name="Normal 4 5 2 3 2 2 3 2 2" xfId="50043"/>
    <cellStyle name="Normal 4 5 2 3 2 2 3 3" xfId="47738"/>
    <cellStyle name="Normal 4 5 2 3 2 2 4" xfId="26454"/>
    <cellStyle name="Normal 4 5 2 3 2 2 4 2" xfId="48699"/>
    <cellStyle name="Normal 4 5 2 3 2 2 5" xfId="24250"/>
    <cellStyle name="Normal 4 5 2 3 2 2 5 2" xfId="46496"/>
    <cellStyle name="Normal 4 5 2 3 2 2 6" xfId="33865"/>
    <cellStyle name="Normal 4 5 2 3 2 3" xfId="13760"/>
    <cellStyle name="Normal 4 5 2 3 2 3 2" xfId="26796"/>
    <cellStyle name="Normal 4 5 2 3 2 3 2 2" xfId="49041"/>
    <cellStyle name="Normal 4 5 2 3 2 3 3" xfId="24583"/>
    <cellStyle name="Normal 4 5 2 3 2 3 3 2" xfId="46828"/>
    <cellStyle name="Normal 4 5 2 3 2 3 4" xfId="37181"/>
    <cellStyle name="Normal 4 5 2 3 2 4" xfId="25157"/>
    <cellStyle name="Normal 4 5 2 3 2 4 2" xfId="27462"/>
    <cellStyle name="Normal 4 5 2 3 2 4 2 2" xfId="49707"/>
    <cellStyle name="Normal 4 5 2 3 2 4 3" xfId="47402"/>
    <cellStyle name="Normal 4 5 2 3 2 5" xfId="26125"/>
    <cellStyle name="Normal 4 5 2 3 2 5 2" xfId="48370"/>
    <cellStyle name="Normal 4 5 2 3 2 6" xfId="23934"/>
    <cellStyle name="Normal 4 5 2 3 2 6 2" xfId="46180"/>
    <cellStyle name="Normal 4 5 2 3 2 7" xfId="30549"/>
    <cellStyle name="Normal 4 5 2 3 3" xfId="8707"/>
    <cellStyle name="Normal 4 5 2 3 3 2" xfId="15418"/>
    <cellStyle name="Normal 4 5 2 3 3 2 2" xfId="26962"/>
    <cellStyle name="Normal 4 5 2 3 3 2 2 2" xfId="49207"/>
    <cellStyle name="Normal 4 5 2 3 3 2 3" xfId="24749"/>
    <cellStyle name="Normal 4 5 2 3 3 2 3 2" xfId="46994"/>
    <cellStyle name="Normal 4 5 2 3 3 2 4" xfId="38839"/>
    <cellStyle name="Normal 4 5 2 3 3 3" xfId="25325"/>
    <cellStyle name="Normal 4 5 2 3 3 3 2" xfId="27630"/>
    <cellStyle name="Normal 4 5 2 3 3 3 2 2" xfId="49875"/>
    <cellStyle name="Normal 4 5 2 3 3 3 3" xfId="47570"/>
    <cellStyle name="Normal 4 5 2 3 3 4" xfId="26289"/>
    <cellStyle name="Normal 4 5 2 3 3 4 2" xfId="48534"/>
    <cellStyle name="Normal 4 5 2 3 3 5" xfId="24085"/>
    <cellStyle name="Normal 4 5 2 3 3 5 2" xfId="46331"/>
    <cellStyle name="Normal 4 5 2 3 3 6" xfId="32207"/>
    <cellStyle name="Normal 4 5 2 3 4" xfId="12100"/>
    <cellStyle name="Normal 4 5 2 3 4 2" xfId="26630"/>
    <cellStyle name="Normal 4 5 2 3 4 2 2" xfId="48875"/>
    <cellStyle name="Normal 4 5 2 3 4 3" xfId="24417"/>
    <cellStyle name="Normal 4 5 2 3 4 3 2" xfId="46662"/>
    <cellStyle name="Normal 4 5 2 3 4 4" xfId="35523"/>
    <cellStyle name="Normal 4 5 2 3 5" xfId="23656"/>
    <cellStyle name="Normal 4 5 2 3 5 2" xfId="27294"/>
    <cellStyle name="Normal 4 5 2 3 5 2 2" xfId="49539"/>
    <cellStyle name="Normal 4 5 2 3 5 3" xfId="45945"/>
    <cellStyle name="Normal 4 5 2 3 6" xfId="25887"/>
    <cellStyle name="Normal 4 5 2 3 6 2" xfId="48132"/>
    <cellStyle name="Normal 4 5 2 3 7" xfId="28891"/>
    <cellStyle name="Normal 4 5 2 4" xfId="7038"/>
    <cellStyle name="Normal 4 5 2 4 2" xfId="10370"/>
    <cellStyle name="Normal 4 5 2 4 2 2" xfId="17074"/>
    <cellStyle name="Normal 4 5 2 4 2 2 2" xfId="24997"/>
    <cellStyle name="Normal 4 5 2 4 2 2 2 2" xfId="27210"/>
    <cellStyle name="Normal 4 5 2 4 2 2 2 2 2" xfId="49455"/>
    <cellStyle name="Normal 4 5 2 4 2 2 2 3" xfId="47242"/>
    <cellStyle name="Normal 4 5 2 4 2 2 3" xfId="25577"/>
    <cellStyle name="Normal 4 5 2 4 2 2 3 2" xfId="27882"/>
    <cellStyle name="Normal 4 5 2 4 2 2 3 2 2" xfId="50127"/>
    <cellStyle name="Normal 4 5 2 4 2 2 3 3" xfId="47822"/>
    <cellStyle name="Normal 4 5 2 4 2 2 4" xfId="26536"/>
    <cellStyle name="Normal 4 5 2 4 2 2 4 2" xfId="48781"/>
    <cellStyle name="Normal 4 5 2 4 2 2 5" xfId="24332"/>
    <cellStyle name="Normal 4 5 2 4 2 2 5 2" xfId="46578"/>
    <cellStyle name="Normal 4 5 2 4 2 2 6" xfId="40495"/>
    <cellStyle name="Normal 4 5 2 4 2 3" xfId="24665"/>
    <cellStyle name="Normal 4 5 2 4 2 3 2" xfId="26878"/>
    <cellStyle name="Normal 4 5 2 4 2 3 2 2" xfId="49123"/>
    <cellStyle name="Normal 4 5 2 4 2 3 3" xfId="46910"/>
    <cellStyle name="Normal 4 5 2 4 2 4" xfId="25241"/>
    <cellStyle name="Normal 4 5 2 4 2 4 2" xfId="27546"/>
    <cellStyle name="Normal 4 5 2 4 2 4 2 2" xfId="49791"/>
    <cellStyle name="Normal 4 5 2 4 2 4 3" xfId="47486"/>
    <cellStyle name="Normal 4 5 2 4 2 5" xfId="26206"/>
    <cellStyle name="Normal 4 5 2 4 2 5 2" xfId="48451"/>
    <cellStyle name="Normal 4 5 2 4 2 6" xfId="24015"/>
    <cellStyle name="Normal 4 5 2 4 2 6 2" xfId="46261"/>
    <cellStyle name="Normal 4 5 2 4 2 7" xfId="33863"/>
    <cellStyle name="Normal 4 5 2 4 3" xfId="13758"/>
    <cellStyle name="Normal 4 5 2 4 3 2" xfId="24831"/>
    <cellStyle name="Normal 4 5 2 4 3 2 2" xfId="27044"/>
    <cellStyle name="Normal 4 5 2 4 3 2 2 2" xfId="49289"/>
    <cellStyle name="Normal 4 5 2 4 3 2 3" xfId="47076"/>
    <cellStyle name="Normal 4 5 2 4 3 3" xfId="25409"/>
    <cellStyle name="Normal 4 5 2 4 3 3 2" xfId="27714"/>
    <cellStyle name="Normal 4 5 2 4 3 3 2 2" xfId="49959"/>
    <cellStyle name="Normal 4 5 2 4 3 3 3" xfId="47654"/>
    <cellStyle name="Normal 4 5 2 4 3 4" xfId="26371"/>
    <cellStyle name="Normal 4 5 2 4 3 4 2" xfId="48616"/>
    <cellStyle name="Normal 4 5 2 4 3 5" xfId="24167"/>
    <cellStyle name="Normal 4 5 2 4 3 5 2" xfId="46413"/>
    <cellStyle name="Normal 4 5 2 4 3 6" xfId="37179"/>
    <cellStyle name="Normal 4 5 2 4 4" xfId="24499"/>
    <cellStyle name="Normal 4 5 2 4 4 2" xfId="26712"/>
    <cellStyle name="Normal 4 5 2 4 4 2 2" xfId="48957"/>
    <cellStyle name="Normal 4 5 2 4 4 3" xfId="46744"/>
    <cellStyle name="Normal 4 5 2 4 5" xfId="25073"/>
    <cellStyle name="Normal 4 5 2 4 5 2" xfId="27378"/>
    <cellStyle name="Normal 4 5 2 4 5 2 2" xfId="49623"/>
    <cellStyle name="Normal 4 5 2 4 5 3" xfId="47318"/>
    <cellStyle name="Normal 4 5 2 4 6" xfId="26053"/>
    <cellStyle name="Normal 4 5 2 4 6 2" xfId="48298"/>
    <cellStyle name="Normal 4 5 2 4 7" xfId="23862"/>
    <cellStyle name="Normal 4 5 2 4 7 2" xfId="46108"/>
    <cellStyle name="Normal 4 5 2 4 8" xfId="30547"/>
    <cellStyle name="Normal 4 5 2 5" xfId="8705"/>
    <cellStyle name="Normal 4 5 2 5 2" xfId="15416"/>
    <cellStyle name="Normal 4 5 2 5 2 2" xfId="24873"/>
    <cellStyle name="Normal 4 5 2 5 2 2 2" xfId="27086"/>
    <cellStyle name="Normal 4 5 2 5 2 2 2 2" xfId="49331"/>
    <cellStyle name="Normal 4 5 2 5 2 2 3" xfId="47118"/>
    <cellStyle name="Normal 4 5 2 5 2 3" xfId="25451"/>
    <cellStyle name="Normal 4 5 2 5 2 3 2" xfId="27756"/>
    <cellStyle name="Normal 4 5 2 5 2 3 2 2" xfId="50001"/>
    <cellStyle name="Normal 4 5 2 5 2 3 3" xfId="47696"/>
    <cellStyle name="Normal 4 5 2 5 2 4" xfId="26413"/>
    <cellStyle name="Normal 4 5 2 5 2 4 2" xfId="48658"/>
    <cellStyle name="Normal 4 5 2 5 2 5" xfId="24209"/>
    <cellStyle name="Normal 4 5 2 5 2 5 2" xfId="46455"/>
    <cellStyle name="Normal 4 5 2 5 2 6" xfId="38837"/>
    <cellStyle name="Normal 4 5 2 5 3" xfId="24541"/>
    <cellStyle name="Normal 4 5 2 5 3 2" xfId="26754"/>
    <cellStyle name="Normal 4 5 2 5 3 2 2" xfId="48999"/>
    <cellStyle name="Normal 4 5 2 5 3 3" xfId="46786"/>
    <cellStyle name="Normal 4 5 2 5 4" xfId="25115"/>
    <cellStyle name="Normal 4 5 2 5 4 2" xfId="27420"/>
    <cellStyle name="Normal 4 5 2 5 4 2 2" xfId="49665"/>
    <cellStyle name="Normal 4 5 2 5 4 3" xfId="47360"/>
    <cellStyle name="Normal 4 5 2 5 5" xfId="26085"/>
    <cellStyle name="Normal 4 5 2 5 5 2" xfId="48330"/>
    <cellStyle name="Normal 4 5 2 5 6" xfId="23894"/>
    <cellStyle name="Normal 4 5 2 5 6 2" xfId="46140"/>
    <cellStyle name="Normal 4 5 2 5 7" xfId="32205"/>
    <cellStyle name="Normal 4 5 2 6" xfId="12098"/>
    <cellStyle name="Normal 4 5 2 6 2" xfId="24707"/>
    <cellStyle name="Normal 4 5 2 6 2 2" xfId="26920"/>
    <cellStyle name="Normal 4 5 2 6 2 2 2" xfId="49165"/>
    <cellStyle name="Normal 4 5 2 6 2 3" xfId="46952"/>
    <cellStyle name="Normal 4 5 2 6 3" xfId="25283"/>
    <cellStyle name="Normal 4 5 2 6 3 2" xfId="27588"/>
    <cellStyle name="Normal 4 5 2 6 3 2 2" xfId="49833"/>
    <cellStyle name="Normal 4 5 2 6 3 3" xfId="47528"/>
    <cellStyle name="Normal 4 5 2 6 4" xfId="26248"/>
    <cellStyle name="Normal 4 5 2 6 4 2" xfId="48493"/>
    <cellStyle name="Normal 4 5 2 6 5" xfId="24044"/>
    <cellStyle name="Normal 4 5 2 6 5 2" xfId="46290"/>
    <cellStyle name="Normal 4 5 2 6 6" xfId="35521"/>
    <cellStyle name="Normal 4 5 2 7" xfId="18751"/>
    <cellStyle name="Normal 4 5 2 7 2" xfId="26588"/>
    <cellStyle name="Normal 4 5 2 7 2 2" xfId="48833"/>
    <cellStyle name="Normal 4 5 2 7 3" xfId="24375"/>
    <cellStyle name="Normal 4 5 2 7 3 2" xfId="46620"/>
    <cellStyle name="Normal 4 5 2 8" xfId="23654"/>
    <cellStyle name="Normal 4 5 2 8 2" xfId="27252"/>
    <cellStyle name="Normal 4 5 2 8 2 2" xfId="49497"/>
    <cellStyle name="Normal 4 5 2 8 3" xfId="45943"/>
    <cellStyle name="Normal 4 5 2 9" xfId="25885"/>
    <cellStyle name="Normal 4 5 2 9 2" xfId="48130"/>
    <cellStyle name="Normal 4 5 3" xfId="4040"/>
    <cellStyle name="Normal 4 5 3 2" xfId="7041"/>
    <cellStyle name="Normal 4 5 3 2 2" xfId="10373"/>
    <cellStyle name="Normal 4 5 3 2 2 2" xfId="17077"/>
    <cellStyle name="Normal 4 5 3 2 2 2 2" xfId="27148"/>
    <cellStyle name="Normal 4 5 3 2 2 2 2 2" xfId="49393"/>
    <cellStyle name="Normal 4 5 3 2 2 2 3" xfId="24935"/>
    <cellStyle name="Normal 4 5 3 2 2 2 3 2" xfId="47180"/>
    <cellStyle name="Normal 4 5 3 2 2 2 4" xfId="40498"/>
    <cellStyle name="Normal 4 5 3 2 2 3" xfId="25514"/>
    <cellStyle name="Normal 4 5 3 2 2 3 2" xfId="27819"/>
    <cellStyle name="Normal 4 5 3 2 2 3 2 2" xfId="50064"/>
    <cellStyle name="Normal 4 5 3 2 2 3 3" xfId="47759"/>
    <cellStyle name="Normal 4 5 3 2 2 4" xfId="26474"/>
    <cellStyle name="Normal 4 5 3 2 2 4 2" xfId="48719"/>
    <cellStyle name="Normal 4 5 3 2 2 5" xfId="24270"/>
    <cellStyle name="Normal 4 5 3 2 2 5 2" xfId="46516"/>
    <cellStyle name="Normal 4 5 3 2 2 6" xfId="33866"/>
    <cellStyle name="Normal 4 5 3 2 3" xfId="13761"/>
    <cellStyle name="Normal 4 5 3 2 3 2" xfId="26816"/>
    <cellStyle name="Normal 4 5 3 2 3 2 2" xfId="49061"/>
    <cellStyle name="Normal 4 5 3 2 3 3" xfId="24603"/>
    <cellStyle name="Normal 4 5 3 2 3 3 2" xfId="46848"/>
    <cellStyle name="Normal 4 5 3 2 3 4" xfId="37182"/>
    <cellStyle name="Normal 4 5 3 2 4" xfId="25178"/>
    <cellStyle name="Normal 4 5 3 2 4 2" xfId="27483"/>
    <cellStyle name="Normal 4 5 3 2 4 2 2" xfId="49728"/>
    <cellStyle name="Normal 4 5 3 2 4 3" xfId="47423"/>
    <cellStyle name="Normal 4 5 3 2 5" xfId="26145"/>
    <cellStyle name="Normal 4 5 3 2 5 2" xfId="48390"/>
    <cellStyle name="Normal 4 5 3 2 6" xfId="23954"/>
    <cellStyle name="Normal 4 5 3 2 6 2" xfId="46200"/>
    <cellStyle name="Normal 4 5 3 2 7" xfId="30550"/>
    <cellStyle name="Normal 4 5 3 3" xfId="8708"/>
    <cellStyle name="Normal 4 5 3 3 2" xfId="15419"/>
    <cellStyle name="Normal 4 5 3 3 2 2" xfId="26982"/>
    <cellStyle name="Normal 4 5 3 3 2 2 2" xfId="49227"/>
    <cellStyle name="Normal 4 5 3 3 2 3" xfId="24769"/>
    <cellStyle name="Normal 4 5 3 3 2 3 2" xfId="47014"/>
    <cellStyle name="Normal 4 5 3 3 2 4" xfId="38840"/>
    <cellStyle name="Normal 4 5 3 3 3" xfId="25346"/>
    <cellStyle name="Normal 4 5 3 3 3 2" xfId="27651"/>
    <cellStyle name="Normal 4 5 3 3 3 2 2" xfId="49896"/>
    <cellStyle name="Normal 4 5 3 3 3 3" xfId="47591"/>
    <cellStyle name="Normal 4 5 3 3 4" xfId="26309"/>
    <cellStyle name="Normal 4 5 3 3 4 2" xfId="48554"/>
    <cellStyle name="Normal 4 5 3 3 5" xfId="24105"/>
    <cellStyle name="Normal 4 5 3 3 5 2" xfId="46351"/>
    <cellStyle name="Normal 4 5 3 3 6" xfId="32208"/>
    <cellStyle name="Normal 4 5 3 4" xfId="12101"/>
    <cellStyle name="Normal 4 5 3 4 2" xfId="26650"/>
    <cellStyle name="Normal 4 5 3 4 2 2" xfId="48895"/>
    <cellStyle name="Normal 4 5 3 4 3" xfId="24437"/>
    <cellStyle name="Normal 4 5 3 4 3 2" xfId="46682"/>
    <cellStyle name="Normal 4 5 3 4 4" xfId="35524"/>
    <cellStyle name="Normal 4 5 3 5" xfId="23657"/>
    <cellStyle name="Normal 4 5 3 5 2" xfId="27315"/>
    <cellStyle name="Normal 4 5 3 5 2 2" xfId="49560"/>
    <cellStyle name="Normal 4 5 3 5 3" xfId="45946"/>
    <cellStyle name="Normal 4 5 3 6" xfId="25888"/>
    <cellStyle name="Normal 4 5 3 6 2" xfId="48133"/>
    <cellStyle name="Normal 4 5 3 7" xfId="28892"/>
    <cellStyle name="Normal 4 5 4" xfId="4041"/>
    <cellStyle name="Normal 4 5 4 2" xfId="7042"/>
    <cellStyle name="Normal 4 5 4 2 2" xfId="10374"/>
    <cellStyle name="Normal 4 5 4 2 2 2" xfId="17078"/>
    <cellStyle name="Normal 4 5 4 2 2 2 2" xfId="27107"/>
    <cellStyle name="Normal 4 5 4 2 2 2 2 2" xfId="49352"/>
    <cellStyle name="Normal 4 5 4 2 2 2 3" xfId="24894"/>
    <cellStyle name="Normal 4 5 4 2 2 2 3 2" xfId="47139"/>
    <cellStyle name="Normal 4 5 4 2 2 2 4" xfId="40499"/>
    <cellStyle name="Normal 4 5 4 2 2 3" xfId="25472"/>
    <cellStyle name="Normal 4 5 4 2 2 3 2" xfId="27777"/>
    <cellStyle name="Normal 4 5 4 2 2 3 2 2" xfId="50022"/>
    <cellStyle name="Normal 4 5 4 2 2 3 3" xfId="47717"/>
    <cellStyle name="Normal 4 5 4 2 2 4" xfId="26434"/>
    <cellStyle name="Normal 4 5 4 2 2 4 2" xfId="48679"/>
    <cellStyle name="Normal 4 5 4 2 2 5" xfId="24230"/>
    <cellStyle name="Normal 4 5 4 2 2 5 2" xfId="46476"/>
    <cellStyle name="Normal 4 5 4 2 2 6" xfId="33867"/>
    <cellStyle name="Normal 4 5 4 2 3" xfId="13762"/>
    <cellStyle name="Normal 4 5 4 2 3 2" xfId="26775"/>
    <cellStyle name="Normal 4 5 4 2 3 2 2" xfId="49020"/>
    <cellStyle name="Normal 4 5 4 2 3 3" xfId="24562"/>
    <cellStyle name="Normal 4 5 4 2 3 3 2" xfId="46807"/>
    <cellStyle name="Normal 4 5 4 2 3 4" xfId="37183"/>
    <cellStyle name="Normal 4 5 4 2 4" xfId="25136"/>
    <cellStyle name="Normal 4 5 4 2 4 2" xfId="27441"/>
    <cellStyle name="Normal 4 5 4 2 4 2 2" xfId="49686"/>
    <cellStyle name="Normal 4 5 4 2 4 3" xfId="47381"/>
    <cellStyle name="Normal 4 5 4 2 5" xfId="26105"/>
    <cellStyle name="Normal 4 5 4 2 5 2" xfId="48350"/>
    <cellStyle name="Normal 4 5 4 2 6" xfId="23914"/>
    <cellStyle name="Normal 4 5 4 2 6 2" xfId="46160"/>
    <cellStyle name="Normal 4 5 4 2 7" xfId="30551"/>
    <cellStyle name="Normal 4 5 4 3" xfId="8709"/>
    <cellStyle name="Normal 4 5 4 3 2" xfId="15420"/>
    <cellStyle name="Normal 4 5 4 3 2 2" xfId="26941"/>
    <cellStyle name="Normal 4 5 4 3 2 2 2" xfId="49186"/>
    <cellStyle name="Normal 4 5 4 3 2 3" xfId="24728"/>
    <cellStyle name="Normal 4 5 4 3 2 3 2" xfId="46973"/>
    <cellStyle name="Normal 4 5 4 3 2 4" xfId="38841"/>
    <cellStyle name="Normal 4 5 4 3 3" xfId="25304"/>
    <cellStyle name="Normal 4 5 4 3 3 2" xfId="27609"/>
    <cellStyle name="Normal 4 5 4 3 3 2 2" xfId="49854"/>
    <cellStyle name="Normal 4 5 4 3 3 3" xfId="47549"/>
    <cellStyle name="Normal 4 5 4 3 4" xfId="26269"/>
    <cellStyle name="Normal 4 5 4 3 4 2" xfId="48514"/>
    <cellStyle name="Normal 4 5 4 3 5" xfId="24065"/>
    <cellStyle name="Normal 4 5 4 3 5 2" xfId="46311"/>
    <cellStyle name="Normal 4 5 4 3 6" xfId="32209"/>
    <cellStyle name="Normal 4 5 4 4" xfId="12102"/>
    <cellStyle name="Normal 4 5 4 4 2" xfId="26609"/>
    <cellStyle name="Normal 4 5 4 4 2 2" xfId="48854"/>
    <cellStyle name="Normal 4 5 4 4 3" xfId="24396"/>
    <cellStyle name="Normal 4 5 4 4 3 2" xfId="46641"/>
    <cellStyle name="Normal 4 5 4 4 4" xfId="35525"/>
    <cellStyle name="Normal 4 5 4 5" xfId="23658"/>
    <cellStyle name="Normal 4 5 4 5 2" xfId="27273"/>
    <cellStyle name="Normal 4 5 4 5 2 2" xfId="49518"/>
    <cellStyle name="Normal 4 5 4 5 3" xfId="45947"/>
    <cellStyle name="Normal 4 5 4 6" xfId="25889"/>
    <cellStyle name="Normal 4 5 4 6 2" xfId="48134"/>
    <cellStyle name="Normal 4 5 4 7" xfId="28893"/>
    <cellStyle name="Normal 4 5 5" xfId="4042"/>
    <cellStyle name="Normal 4 5 5 2" xfId="23995"/>
    <cellStyle name="Normal 4 5 5 2 2" xfId="24311"/>
    <cellStyle name="Normal 4 5 5 2 2 2" xfId="24976"/>
    <cellStyle name="Normal 4 5 5 2 2 2 2" xfId="27189"/>
    <cellStyle name="Normal 4 5 5 2 2 2 2 2" xfId="49434"/>
    <cellStyle name="Normal 4 5 5 2 2 2 3" xfId="47221"/>
    <cellStyle name="Normal 4 5 5 2 2 3" xfId="25556"/>
    <cellStyle name="Normal 4 5 5 2 2 3 2" xfId="27861"/>
    <cellStyle name="Normal 4 5 5 2 2 3 2 2" xfId="50106"/>
    <cellStyle name="Normal 4 5 5 2 2 3 3" xfId="47801"/>
    <cellStyle name="Normal 4 5 5 2 2 4" xfId="26515"/>
    <cellStyle name="Normal 4 5 5 2 2 4 2" xfId="48760"/>
    <cellStyle name="Normal 4 5 5 2 2 5" xfId="46557"/>
    <cellStyle name="Normal 4 5 5 2 3" xfId="24644"/>
    <cellStyle name="Normal 4 5 5 2 3 2" xfId="26857"/>
    <cellStyle name="Normal 4 5 5 2 3 2 2" xfId="49102"/>
    <cellStyle name="Normal 4 5 5 2 3 3" xfId="46889"/>
    <cellStyle name="Normal 4 5 5 2 4" xfId="25220"/>
    <cellStyle name="Normal 4 5 5 2 4 2" xfId="27525"/>
    <cellStyle name="Normal 4 5 5 2 4 2 2" xfId="49770"/>
    <cellStyle name="Normal 4 5 5 2 4 3" xfId="47465"/>
    <cellStyle name="Normal 4 5 5 2 5" xfId="26186"/>
    <cellStyle name="Normal 4 5 5 2 5 2" xfId="48431"/>
    <cellStyle name="Normal 4 5 5 2 6" xfId="46241"/>
    <cellStyle name="Normal 4 5 5 3" xfId="24146"/>
    <cellStyle name="Normal 4 5 5 3 2" xfId="24810"/>
    <cellStyle name="Normal 4 5 5 3 2 2" xfId="27023"/>
    <cellStyle name="Normal 4 5 5 3 2 2 2" xfId="49268"/>
    <cellStyle name="Normal 4 5 5 3 2 3" xfId="47055"/>
    <cellStyle name="Normal 4 5 5 3 3" xfId="25388"/>
    <cellStyle name="Normal 4 5 5 3 3 2" xfId="27693"/>
    <cellStyle name="Normal 4 5 5 3 3 2 2" xfId="49938"/>
    <cellStyle name="Normal 4 5 5 3 3 3" xfId="47633"/>
    <cellStyle name="Normal 4 5 5 3 4" xfId="26350"/>
    <cellStyle name="Normal 4 5 5 3 4 2" xfId="48595"/>
    <cellStyle name="Normal 4 5 5 3 5" xfId="46392"/>
    <cellStyle name="Normal 4 5 5 4" xfId="24478"/>
    <cellStyle name="Normal 4 5 5 4 2" xfId="26691"/>
    <cellStyle name="Normal 4 5 5 4 2 2" xfId="48936"/>
    <cellStyle name="Normal 4 5 5 4 3" xfId="46723"/>
    <cellStyle name="Normal 4 5 5 5" xfId="25058"/>
    <cellStyle name="Normal 4 5 5 5 2" xfId="27357"/>
    <cellStyle name="Normal 4 5 5 5 2 2" xfId="49602"/>
    <cellStyle name="Normal 4 5 5 5 3" xfId="47303"/>
    <cellStyle name="Normal 4 5 5 6" xfId="23848"/>
    <cellStyle name="Normal 4 5 5 6 2" xfId="26039"/>
    <cellStyle name="Normal 4 5 5 6 2 2" xfId="48284"/>
    <cellStyle name="Normal 4 5 5 6 3" xfId="46094"/>
    <cellStyle name="Normal 4 5 6" xfId="4036"/>
    <cellStyle name="Normal 4 5 6 2" xfId="7037"/>
    <cellStyle name="Normal 4 5 6 2 2" xfId="10369"/>
    <cellStyle name="Normal 4 5 6 2 2 2" xfId="17073"/>
    <cellStyle name="Normal 4 5 6 2 2 2 2" xfId="27065"/>
    <cellStyle name="Normal 4 5 6 2 2 2 2 2" xfId="49310"/>
    <cellStyle name="Normal 4 5 6 2 2 2 3" xfId="40494"/>
    <cellStyle name="Normal 4 5 6 2 2 3" xfId="24852"/>
    <cellStyle name="Normal 4 5 6 2 2 3 2" xfId="47097"/>
    <cellStyle name="Normal 4 5 6 2 2 4" xfId="33862"/>
    <cellStyle name="Normal 4 5 6 2 3" xfId="13757"/>
    <cellStyle name="Normal 4 5 6 2 3 2" xfId="27735"/>
    <cellStyle name="Normal 4 5 6 2 3 2 2" xfId="49980"/>
    <cellStyle name="Normal 4 5 6 2 3 3" xfId="25430"/>
    <cellStyle name="Normal 4 5 6 2 3 3 2" xfId="47675"/>
    <cellStyle name="Normal 4 5 6 2 3 4" xfId="37178"/>
    <cellStyle name="Normal 4 5 6 2 4" xfId="26392"/>
    <cellStyle name="Normal 4 5 6 2 4 2" xfId="48637"/>
    <cellStyle name="Normal 4 5 6 2 5" xfId="24188"/>
    <cellStyle name="Normal 4 5 6 2 5 2" xfId="46434"/>
    <cellStyle name="Normal 4 5 6 2 6" xfId="30546"/>
    <cellStyle name="Normal 4 5 6 3" xfId="8704"/>
    <cellStyle name="Normal 4 5 6 3 2" xfId="15415"/>
    <cellStyle name="Normal 4 5 6 3 2 2" xfId="26733"/>
    <cellStyle name="Normal 4 5 6 3 2 2 2" xfId="48978"/>
    <cellStyle name="Normal 4 5 6 3 2 3" xfId="38836"/>
    <cellStyle name="Normal 4 5 6 3 3" xfId="24520"/>
    <cellStyle name="Normal 4 5 6 3 3 2" xfId="46765"/>
    <cellStyle name="Normal 4 5 6 3 4" xfId="32204"/>
    <cellStyle name="Normal 4 5 6 4" xfId="12097"/>
    <cellStyle name="Normal 4 5 6 4 2" xfId="27399"/>
    <cellStyle name="Normal 4 5 6 4 2 2" xfId="49644"/>
    <cellStyle name="Normal 4 5 6 4 3" xfId="25094"/>
    <cellStyle name="Normal 4 5 6 4 3 2" xfId="47339"/>
    <cellStyle name="Normal 4 5 6 4 4" xfId="35520"/>
    <cellStyle name="Normal 4 5 6 5" xfId="26067"/>
    <cellStyle name="Normal 4 5 6 5 2" xfId="48312"/>
    <cellStyle name="Normal 4 5 6 6" xfId="23876"/>
    <cellStyle name="Normal 4 5 6 6 2" xfId="46122"/>
    <cellStyle name="Normal 4 5 6 7" xfId="28888"/>
    <cellStyle name="Normal 4 5 7" xfId="23653"/>
    <cellStyle name="Normal 4 5 7 2" xfId="24686"/>
    <cellStyle name="Normal 4 5 7 2 2" xfId="26899"/>
    <cellStyle name="Normal 4 5 7 2 2 2" xfId="49144"/>
    <cellStyle name="Normal 4 5 7 2 3" xfId="46931"/>
    <cellStyle name="Normal 4 5 7 3" xfId="25262"/>
    <cellStyle name="Normal 4 5 7 3 2" xfId="27567"/>
    <cellStyle name="Normal 4 5 7 3 2 2" xfId="49812"/>
    <cellStyle name="Normal 4 5 7 3 3" xfId="47507"/>
    <cellStyle name="Normal 4 5 7 4" xfId="26227"/>
    <cellStyle name="Normal 4 5 7 4 2" xfId="48472"/>
    <cellStyle name="Normal 4 5 7 5" xfId="45942"/>
    <cellStyle name="Normal 4 5 8" xfId="24364"/>
    <cellStyle name="Normal 4 5 8 2" xfId="26567"/>
    <cellStyle name="Normal 4 5 8 2 2" xfId="48812"/>
    <cellStyle name="Normal 4 5 8 3" xfId="46609"/>
    <cellStyle name="Normal 4 5 9" xfId="25018"/>
    <cellStyle name="Normal 4 5 9 2" xfId="27231"/>
    <cellStyle name="Normal 4 5 9 2 2" xfId="49476"/>
    <cellStyle name="Normal 4 5 9 3" xfId="47263"/>
    <cellStyle name="Normal 4 6" xfId="1088"/>
    <cellStyle name="Normal 4 6 10" xfId="7745"/>
    <cellStyle name="Normal 4 6 10 2" xfId="14460"/>
    <cellStyle name="Normal 4 6 10 2 2" xfId="37881"/>
    <cellStyle name="Normal 4 6 10 3" xfId="20884"/>
    <cellStyle name="Normal 4 6 10 3 2" xfId="43335"/>
    <cellStyle name="Normal 4 6 10 4" xfId="31249"/>
    <cellStyle name="Normal 4 6 11" xfId="11142"/>
    <cellStyle name="Normal 4 6 11 2" xfId="21668"/>
    <cellStyle name="Normal 4 6 11 2 2" xfId="44117"/>
    <cellStyle name="Normal 4 6 11 3" xfId="34565"/>
    <cellStyle name="Normal 4 6 12" xfId="18058"/>
    <cellStyle name="Normal 4 6 12 2" xfId="41346"/>
    <cellStyle name="Normal 4 6 13" xfId="27933"/>
    <cellStyle name="Normal 4 6 2" xfId="1421"/>
    <cellStyle name="Normal 4 6 2 10" xfId="11170"/>
    <cellStyle name="Normal 4 6 2 10 2" xfId="21669"/>
    <cellStyle name="Normal 4 6 2 10 2 2" xfId="44118"/>
    <cellStyle name="Normal 4 6 2 10 3" xfId="34593"/>
    <cellStyle name="Normal 4 6 2 11" xfId="18059"/>
    <cellStyle name="Normal 4 6 2 11 2" xfId="41347"/>
    <cellStyle name="Normal 4 6 2 12" xfId="23659"/>
    <cellStyle name="Normal 4 6 2 12 2" xfId="45948"/>
    <cellStyle name="Normal 4 6 2 13" xfId="27961"/>
    <cellStyle name="Normal 4 6 2 2" xfId="1461"/>
    <cellStyle name="Normal 4 6 2 2 10" xfId="18060"/>
    <cellStyle name="Normal 4 6 2 2 10 2" xfId="41348"/>
    <cellStyle name="Normal 4 6 2 2 11" xfId="23660"/>
    <cellStyle name="Normal 4 6 2 2 11 2" xfId="45949"/>
    <cellStyle name="Normal 4 6 2 2 12" xfId="27997"/>
    <cellStyle name="Normal 4 6 2 2 2" xfId="1624"/>
    <cellStyle name="Normal 4 6 2 2 2 10" xfId="23661"/>
    <cellStyle name="Normal 4 6 2 2 2 10 2" xfId="45950"/>
    <cellStyle name="Normal 4 6 2 2 2 11" xfId="28043"/>
    <cellStyle name="Normal 4 6 2 2 2 2" xfId="1822"/>
    <cellStyle name="Normal 4 6 2 2 2 2 10" xfId="28174"/>
    <cellStyle name="Normal 4 6 2 2 2 2 2" xfId="2319"/>
    <cellStyle name="Normal 4 6 2 2 2 2 2 2" xfId="5558"/>
    <cellStyle name="Normal 4 6 2 2 2 2 2 2 2" xfId="7381"/>
    <cellStyle name="Normal 4 6 2 2 2 2 2 2 2 2" xfId="10712"/>
    <cellStyle name="Normal 4 6 2 2 2 2 2 2 2 2 2" xfId="17416"/>
    <cellStyle name="Normal 4 6 2 2 2 2 2 2 2 2 2 2" xfId="40837"/>
    <cellStyle name="Normal 4 6 2 2 2 2 2 2 2 2 3" xfId="23132"/>
    <cellStyle name="Normal 4 6 2 2 2 2 2 2 2 2 3 2" xfId="45554"/>
    <cellStyle name="Normal 4 6 2 2 2 2 2 2 2 2 4" xfId="34205"/>
    <cellStyle name="Normal 4 6 2 2 2 2 2 2 2 3" xfId="14100"/>
    <cellStyle name="Normal 4 6 2 2 2 2 2 2 2 3 2" xfId="37521"/>
    <cellStyle name="Normal 4 6 2 2 2 2 2 2 2 4" xfId="20307"/>
    <cellStyle name="Normal 4 6 2 2 2 2 2 2 2 4 2" xfId="42842"/>
    <cellStyle name="Normal 4 6 2 2 2 2 2 2 2 5" xfId="30889"/>
    <cellStyle name="Normal 4 6 2 2 2 2 2 2 3" xfId="9054"/>
    <cellStyle name="Normal 4 6 2 2 2 2 2 2 3 2" xfId="15758"/>
    <cellStyle name="Normal 4 6 2 2 2 2 2 2 3 2 2" xfId="39179"/>
    <cellStyle name="Normal 4 6 2 2 2 2 2 2 3 3" xfId="21348"/>
    <cellStyle name="Normal 4 6 2 2 2 2 2 2 3 3 2" xfId="43799"/>
    <cellStyle name="Normal 4 6 2 2 2 2 2 2 3 4" xfId="32547"/>
    <cellStyle name="Normal 4 6 2 2 2 2 2 2 4" xfId="12442"/>
    <cellStyle name="Normal 4 6 2 2 2 2 2 2 4 2" xfId="22320"/>
    <cellStyle name="Normal 4 6 2 2 2 2 2 2 4 2 2" xfId="44742"/>
    <cellStyle name="Normal 4 6 2 2 2 2 2 2 4 3" xfId="35863"/>
    <cellStyle name="Normal 4 6 2 2 2 2 2 2 5" xfId="19468"/>
    <cellStyle name="Normal 4 6 2 2 2 2 2 2 5 2" xfId="42010"/>
    <cellStyle name="Normal 4 6 2 2 2 2 2 2 6" xfId="29231"/>
    <cellStyle name="Normal 4 6 2 2 2 2 2 3" xfId="6479"/>
    <cellStyle name="Normal 4 6 2 2 2 2 2 3 2" xfId="9813"/>
    <cellStyle name="Normal 4 6 2 2 2 2 2 3 2 2" xfId="16517"/>
    <cellStyle name="Normal 4 6 2 2 2 2 2 3 2 2 2" xfId="39938"/>
    <cellStyle name="Normal 4 6 2 2 2 2 2 3 2 3" xfId="22727"/>
    <cellStyle name="Normal 4 6 2 2 2 2 2 3 2 3 2" xfId="45149"/>
    <cellStyle name="Normal 4 6 2 2 2 2 2 3 2 4" xfId="33306"/>
    <cellStyle name="Normal 4 6 2 2 2 2 2 3 3" xfId="13201"/>
    <cellStyle name="Normal 4 6 2 2 2 2 2 3 3 2" xfId="36622"/>
    <cellStyle name="Normal 4 6 2 2 2 2 2 3 4" xfId="19891"/>
    <cellStyle name="Normal 4 6 2 2 2 2 2 3 4 2" xfId="42426"/>
    <cellStyle name="Normal 4 6 2 2 2 2 2 3 5" xfId="29990"/>
    <cellStyle name="Normal 4 6 2 2 2 2 2 4" xfId="8146"/>
    <cellStyle name="Normal 4 6 2 2 2 2 2 4 2" xfId="14859"/>
    <cellStyle name="Normal 4 6 2 2 2 2 2 4 2 2" xfId="38280"/>
    <cellStyle name="Normal 4 6 2 2 2 2 2 4 3" xfId="20889"/>
    <cellStyle name="Normal 4 6 2 2 2 2 2 4 3 2" xfId="43340"/>
    <cellStyle name="Normal 4 6 2 2 2 2 2 4 4" xfId="31648"/>
    <cellStyle name="Normal 4 6 2 2 2 2 2 5" xfId="11541"/>
    <cellStyle name="Normal 4 6 2 2 2 2 2 5 2" xfId="21896"/>
    <cellStyle name="Normal 4 6 2 2 2 2 2 5 2 2" xfId="44328"/>
    <cellStyle name="Normal 4 6 2 2 2 2 2 5 3" xfId="34964"/>
    <cellStyle name="Normal 4 6 2 2 2 2 2 6" xfId="18756"/>
    <cellStyle name="Normal 4 6 2 2 2 2 2 6 2" xfId="41585"/>
    <cellStyle name="Normal 4 6 2 2 2 2 2 7" xfId="25893"/>
    <cellStyle name="Normal 4 6 2 2 2 2 2 7 2" xfId="48138"/>
    <cellStyle name="Normal 4 6 2 2 2 2 2 8" xfId="28332"/>
    <cellStyle name="Normal 4 6 2 2 2 2 3" xfId="2819"/>
    <cellStyle name="Normal 4 6 2 2 2 2 3 2" xfId="5911"/>
    <cellStyle name="Normal 4 6 2 2 2 2 3 2 2" xfId="7693"/>
    <cellStyle name="Normal 4 6 2 2 2 2 3 2 2 2" xfId="11022"/>
    <cellStyle name="Normal 4 6 2 2 2 2 3 2 2 2 2" xfId="17726"/>
    <cellStyle name="Normal 4 6 2 2 2 2 3 2 2 2 2 2" xfId="41147"/>
    <cellStyle name="Normal 4 6 2 2 2 2 3 2 2 2 3" xfId="34515"/>
    <cellStyle name="Normal 4 6 2 2 2 2 3 2 2 3" xfId="14410"/>
    <cellStyle name="Normal 4 6 2 2 2 2 3 2 2 3 2" xfId="37831"/>
    <cellStyle name="Normal 4 6 2 2 2 2 3 2 2 4" xfId="22927"/>
    <cellStyle name="Normal 4 6 2 2 2 2 3 2 2 4 2" xfId="45349"/>
    <cellStyle name="Normal 4 6 2 2 2 2 3 2 2 5" xfId="31199"/>
    <cellStyle name="Normal 4 6 2 2 2 2 3 2 3" xfId="9364"/>
    <cellStyle name="Normal 4 6 2 2 2 2 3 2 3 2" xfId="16068"/>
    <cellStyle name="Normal 4 6 2 2 2 2 3 2 3 2 2" xfId="39489"/>
    <cellStyle name="Normal 4 6 2 2 2 2 3 2 3 3" xfId="32857"/>
    <cellStyle name="Normal 4 6 2 2 2 2 3 2 4" xfId="12752"/>
    <cellStyle name="Normal 4 6 2 2 2 2 3 2 4 2" xfId="36173"/>
    <cellStyle name="Normal 4 6 2 2 2 2 3 2 5" xfId="20099"/>
    <cellStyle name="Normal 4 6 2 2 2 2 3 2 5 2" xfId="42634"/>
    <cellStyle name="Normal 4 6 2 2 2 2 3 2 6" xfId="29541"/>
    <cellStyle name="Normal 4 6 2 2 2 2 3 3" xfId="6794"/>
    <cellStyle name="Normal 4 6 2 2 2 2 3 3 2" xfId="10126"/>
    <cellStyle name="Normal 4 6 2 2 2 2 3 3 2 2" xfId="16830"/>
    <cellStyle name="Normal 4 6 2 2 2 2 3 3 2 2 2" xfId="40251"/>
    <cellStyle name="Normal 4 6 2 2 2 2 3 3 2 3" xfId="33619"/>
    <cellStyle name="Normal 4 6 2 2 2 2 3 3 3" xfId="13514"/>
    <cellStyle name="Normal 4 6 2 2 2 2 3 3 3 2" xfId="36935"/>
    <cellStyle name="Normal 4 6 2 2 2 2 3 3 4" xfId="21347"/>
    <cellStyle name="Normal 4 6 2 2 2 2 3 3 4 2" xfId="43798"/>
    <cellStyle name="Normal 4 6 2 2 2 2 3 3 5" xfId="30303"/>
    <cellStyle name="Normal 4 6 2 2 2 2 3 4" xfId="8460"/>
    <cellStyle name="Normal 4 6 2 2 2 2 3 4 2" xfId="15172"/>
    <cellStyle name="Normal 4 6 2 2 2 2 3 4 2 2" xfId="38593"/>
    <cellStyle name="Normal 4 6 2 2 2 2 3 4 3" xfId="22110"/>
    <cellStyle name="Normal 4 6 2 2 2 2 3 4 3 2" xfId="44534"/>
    <cellStyle name="Normal 4 6 2 2 2 2 3 4 4" xfId="31961"/>
    <cellStyle name="Normal 4 6 2 2 2 2 3 5" xfId="11854"/>
    <cellStyle name="Normal 4 6 2 2 2 2 3 5 2" xfId="35277"/>
    <cellStyle name="Normal 4 6 2 2 2 2 3 6" xfId="19249"/>
    <cellStyle name="Normal 4 6 2 2 2 2 3 6 2" xfId="41802"/>
    <cellStyle name="Normal 4 6 2 2 2 2 3 7" xfId="28645"/>
    <cellStyle name="Normal 4 6 2 2 2 2 4" xfId="4047"/>
    <cellStyle name="Normal 4 6 2 2 2 2 4 2" xfId="7046"/>
    <cellStyle name="Normal 4 6 2 2 2 2 4 2 2" xfId="10378"/>
    <cellStyle name="Normal 4 6 2 2 2 2 4 2 2 2" xfId="17082"/>
    <cellStyle name="Normal 4 6 2 2 2 2 4 2 2 2 2" xfId="40503"/>
    <cellStyle name="Normal 4 6 2 2 2 2 4 2 2 3" xfId="33871"/>
    <cellStyle name="Normal 4 6 2 2 2 2 4 2 3" xfId="13766"/>
    <cellStyle name="Normal 4 6 2 2 2 2 4 2 3 2" xfId="37187"/>
    <cellStyle name="Normal 4 6 2 2 2 2 4 2 4" xfId="22522"/>
    <cellStyle name="Normal 4 6 2 2 2 2 4 2 4 2" xfId="44944"/>
    <cellStyle name="Normal 4 6 2 2 2 2 4 2 5" xfId="30555"/>
    <cellStyle name="Normal 4 6 2 2 2 2 4 3" xfId="8713"/>
    <cellStyle name="Normal 4 6 2 2 2 2 4 3 2" xfId="15424"/>
    <cellStyle name="Normal 4 6 2 2 2 2 4 3 2 2" xfId="38845"/>
    <cellStyle name="Normal 4 6 2 2 2 2 4 3 3" xfId="32213"/>
    <cellStyle name="Normal 4 6 2 2 2 2 4 4" xfId="12106"/>
    <cellStyle name="Normal 4 6 2 2 2 2 4 4 2" xfId="35529"/>
    <cellStyle name="Normal 4 6 2 2 2 2 4 5" xfId="19681"/>
    <cellStyle name="Normal 4 6 2 2 2 2 4 5 2" xfId="42218"/>
    <cellStyle name="Normal 4 6 2 2 2 2 4 6" xfId="28897"/>
    <cellStyle name="Normal 4 6 2 2 2 2 5" xfId="6321"/>
    <cellStyle name="Normal 4 6 2 2 2 2 5 2" xfId="9655"/>
    <cellStyle name="Normal 4 6 2 2 2 2 5 2 2" xfId="16359"/>
    <cellStyle name="Normal 4 6 2 2 2 2 5 2 2 2" xfId="39780"/>
    <cellStyle name="Normal 4 6 2 2 2 2 5 2 3" xfId="33148"/>
    <cellStyle name="Normal 4 6 2 2 2 2 5 3" xfId="13043"/>
    <cellStyle name="Normal 4 6 2 2 2 2 5 3 2" xfId="36464"/>
    <cellStyle name="Normal 4 6 2 2 2 2 5 4" xfId="20888"/>
    <cellStyle name="Normal 4 6 2 2 2 2 5 4 2" xfId="43339"/>
    <cellStyle name="Normal 4 6 2 2 2 2 5 5" xfId="29832"/>
    <cellStyle name="Normal 4 6 2 2 2 2 6" xfId="7987"/>
    <cellStyle name="Normal 4 6 2 2 2 2 6 2" xfId="14701"/>
    <cellStyle name="Normal 4 6 2 2 2 2 6 2 2" xfId="38122"/>
    <cellStyle name="Normal 4 6 2 2 2 2 6 3" xfId="21672"/>
    <cellStyle name="Normal 4 6 2 2 2 2 6 3 2" xfId="44121"/>
    <cellStyle name="Normal 4 6 2 2 2 2 6 4" xfId="31490"/>
    <cellStyle name="Normal 4 6 2 2 2 2 7" xfId="11383"/>
    <cellStyle name="Normal 4 6 2 2 2 2 7 2" xfId="34806"/>
    <cellStyle name="Normal 4 6 2 2 2 2 8" xfId="18062"/>
    <cellStyle name="Normal 4 6 2 2 2 2 8 2" xfId="41350"/>
    <cellStyle name="Normal 4 6 2 2 2 2 9" xfId="23662"/>
    <cellStyle name="Normal 4 6 2 2 2 2 9 2" xfId="45951"/>
    <cellStyle name="Normal 4 6 2 2 2 3" xfId="2318"/>
    <cellStyle name="Normal 4 6 2 2 2 3 2" xfId="5557"/>
    <cellStyle name="Normal 4 6 2 2 2 3 2 2" xfId="7380"/>
    <cellStyle name="Normal 4 6 2 2 2 3 2 2 2" xfId="10711"/>
    <cellStyle name="Normal 4 6 2 2 2 3 2 2 2 2" xfId="17415"/>
    <cellStyle name="Normal 4 6 2 2 2 3 2 2 2 2 2" xfId="40836"/>
    <cellStyle name="Normal 4 6 2 2 2 3 2 2 2 3" xfId="23131"/>
    <cellStyle name="Normal 4 6 2 2 2 3 2 2 2 3 2" xfId="45553"/>
    <cellStyle name="Normal 4 6 2 2 2 3 2 2 2 4" xfId="34204"/>
    <cellStyle name="Normal 4 6 2 2 2 3 2 2 3" xfId="14099"/>
    <cellStyle name="Normal 4 6 2 2 2 3 2 2 3 2" xfId="37520"/>
    <cellStyle name="Normal 4 6 2 2 2 3 2 2 4" xfId="20306"/>
    <cellStyle name="Normal 4 6 2 2 2 3 2 2 4 2" xfId="42841"/>
    <cellStyle name="Normal 4 6 2 2 2 3 2 2 5" xfId="30888"/>
    <cellStyle name="Normal 4 6 2 2 2 3 2 3" xfId="9053"/>
    <cellStyle name="Normal 4 6 2 2 2 3 2 3 2" xfId="15757"/>
    <cellStyle name="Normal 4 6 2 2 2 3 2 3 2 2" xfId="39178"/>
    <cellStyle name="Normal 4 6 2 2 2 3 2 3 3" xfId="21349"/>
    <cellStyle name="Normal 4 6 2 2 2 3 2 3 3 2" xfId="43800"/>
    <cellStyle name="Normal 4 6 2 2 2 3 2 3 4" xfId="32546"/>
    <cellStyle name="Normal 4 6 2 2 2 3 2 4" xfId="12441"/>
    <cellStyle name="Normal 4 6 2 2 2 3 2 4 2" xfId="22319"/>
    <cellStyle name="Normal 4 6 2 2 2 3 2 4 2 2" xfId="44741"/>
    <cellStyle name="Normal 4 6 2 2 2 3 2 4 3" xfId="35862"/>
    <cellStyle name="Normal 4 6 2 2 2 3 2 5" xfId="19467"/>
    <cellStyle name="Normal 4 6 2 2 2 3 2 5 2" xfId="42009"/>
    <cellStyle name="Normal 4 6 2 2 2 3 2 6" xfId="29230"/>
    <cellStyle name="Normal 4 6 2 2 2 3 3" xfId="6478"/>
    <cellStyle name="Normal 4 6 2 2 2 3 3 2" xfId="9812"/>
    <cellStyle name="Normal 4 6 2 2 2 3 3 2 2" xfId="16516"/>
    <cellStyle name="Normal 4 6 2 2 2 3 3 2 2 2" xfId="39937"/>
    <cellStyle name="Normal 4 6 2 2 2 3 3 2 3" xfId="22726"/>
    <cellStyle name="Normal 4 6 2 2 2 3 3 2 3 2" xfId="45148"/>
    <cellStyle name="Normal 4 6 2 2 2 3 3 2 4" xfId="33305"/>
    <cellStyle name="Normal 4 6 2 2 2 3 3 3" xfId="13200"/>
    <cellStyle name="Normal 4 6 2 2 2 3 3 3 2" xfId="36621"/>
    <cellStyle name="Normal 4 6 2 2 2 3 3 4" xfId="19890"/>
    <cellStyle name="Normal 4 6 2 2 2 3 3 4 2" xfId="42425"/>
    <cellStyle name="Normal 4 6 2 2 2 3 3 5" xfId="29989"/>
    <cellStyle name="Normal 4 6 2 2 2 3 4" xfId="8145"/>
    <cellStyle name="Normal 4 6 2 2 2 3 4 2" xfId="14858"/>
    <cellStyle name="Normal 4 6 2 2 2 3 4 2 2" xfId="38279"/>
    <cellStyle name="Normal 4 6 2 2 2 3 4 3" xfId="20890"/>
    <cellStyle name="Normal 4 6 2 2 2 3 4 3 2" xfId="43341"/>
    <cellStyle name="Normal 4 6 2 2 2 3 4 4" xfId="31647"/>
    <cellStyle name="Normal 4 6 2 2 2 3 5" xfId="11540"/>
    <cellStyle name="Normal 4 6 2 2 2 3 5 2" xfId="21895"/>
    <cellStyle name="Normal 4 6 2 2 2 3 5 2 2" xfId="44327"/>
    <cellStyle name="Normal 4 6 2 2 2 3 5 3" xfId="34963"/>
    <cellStyle name="Normal 4 6 2 2 2 3 6" xfId="18755"/>
    <cellStyle name="Normal 4 6 2 2 2 3 6 2" xfId="41584"/>
    <cellStyle name="Normal 4 6 2 2 2 3 7" xfId="25892"/>
    <cellStyle name="Normal 4 6 2 2 2 3 7 2" xfId="48137"/>
    <cellStyle name="Normal 4 6 2 2 2 3 8" xfId="28331"/>
    <cellStyle name="Normal 4 6 2 2 2 4" xfId="2687"/>
    <cellStyle name="Normal 4 6 2 2 2 4 2" xfId="5780"/>
    <cellStyle name="Normal 4 6 2 2 2 4 2 2" xfId="7562"/>
    <cellStyle name="Normal 4 6 2 2 2 4 2 2 2" xfId="10891"/>
    <cellStyle name="Normal 4 6 2 2 2 4 2 2 2 2" xfId="17595"/>
    <cellStyle name="Normal 4 6 2 2 2 4 2 2 2 2 2" xfId="41016"/>
    <cellStyle name="Normal 4 6 2 2 2 4 2 2 2 3" xfId="34384"/>
    <cellStyle name="Normal 4 6 2 2 2 4 2 2 3" xfId="14279"/>
    <cellStyle name="Normal 4 6 2 2 2 4 2 2 3 2" xfId="37700"/>
    <cellStyle name="Normal 4 6 2 2 2 4 2 2 4" xfId="22926"/>
    <cellStyle name="Normal 4 6 2 2 2 4 2 2 4 2" xfId="45348"/>
    <cellStyle name="Normal 4 6 2 2 2 4 2 2 5" xfId="31068"/>
    <cellStyle name="Normal 4 6 2 2 2 4 2 3" xfId="9233"/>
    <cellStyle name="Normal 4 6 2 2 2 4 2 3 2" xfId="15937"/>
    <cellStyle name="Normal 4 6 2 2 2 4 2 3 2 2" xfId="39358"/>
    <cellStyle name="Normal 4 6 2 2 2 4 2 3 3" xfId="32726"/>
    <cellStyle name="Normal 4 6 2 2 2 4 2 4" xfId="12621"/>
    <cellStyle name="Normal 4 6 2 2 2 4 2 4 2" xfId="36042"/>
    <cellStyle name="Normal 4 6 2 2 2 4 2 5" xfId="20098"/>
    <cellStyle name="Normal 4 6 2 2 2 4 2 5 2" xfId="42633"/>
    <cellStyle name="Normal 4 6 2 2 2 4 2 6" xfId="29410"/>
    <cellStyle name="Normal 4 6 2 2 2 4 3" xfId="6663"/>
    <cellStyle name="Normal 4 6 2 2 2 4 3 2" xfId="9995"/>
    <cellStyle name="Normal 4 6 2 2 2 4 3 2 2" xfId="16699"/>
    <cellStyle name="Normal 4 6 2 2 2 4 3 2 2 2" xfId="40120"/>
    <cellStyle name="Normal 4 6 2 2 2 4 3 2 3" xfId="33488"/>
    <cellStyle name="Normal 4 6 2 2 2 4 3 3" xfId="13383"/>
    <cellStyle name="Normal 4 6 2 2 2 4 3 3 2" xfId="36804"/>
    <cellStyle name="Normal 4 6 2 2 2 4 3 4" xfId="21346"/>
    <cellStyle name="Normal 4 6 2 2 2 4 3 4 2" xfId="43797"/>
    <cellStyle name="Normal 4 6 2 2 2 4 3 5" xfId="30172"/>
    <cellStyle name="Normal 4 6 2 2 2 4 4" xfId="8329"/>
    <cellStyle name="Normal 4 6 2 2 2 4 4 2" xfId="15041"/>
    <cellStyle name="Normal 4 6 2 2 2 4 4 2 2" xfId="38462"/>
    <cellStyle name="Normal 4 6 2 2 2 4 4 3" xfId="22109"/>
    <cellStyle name="Normal 4 6 2 2 2 4 4 3 2" xfId="44533"/>
    <cellStyle name="Normal 4 6 2 2 2 4 4 4" xfId="31830"/>
    <cellStyle name="Normal 4 6 2 2 2 4 5" xfId="11723"/>
    <cellStyle name="Normal 4 6 2 2 2 4 5 2" xfId="35146"/>
    <cellStyle name="Normal 4 6 2 2 2 4 6" xfId="19248"/>
    <cellStyle name="Normal 4 6 2 2 2 4 6 2" xfId="41801"/>
    <cellStyle name="Normal 4 6 2 2 2 4 7" xfId="28514"/>
    <cellStyle name="Normal 4 6 2 2 2 5" xfId="4046"/>
    <cellStyle name="Normal 4 6 2 2 2 5 2" xfId="7045"/>
    <cellStyle name="Normal 4 6 2 2 2 5 2 2" xfId="10377"/>
    <cellStyle name="Normal 4 6 2 2 2 5 2 2 2" xfId="17081"/>
    <cellStyle name="Normal 4 6 2 2 2 5 2 2 2 2" xfId="40502"/>
    <cellStyle name="Normal 4 6 2 2 2 5 2 2 3" xfId="33870"/>
    <cellStyle name="Normal 4 6 2 2 2 5 2 3" xfId="13765"/>
    <cellStyle name="Normal 4 6 2 2 2 5 2 3 2" xfId="37186"/>
    <cellStyle name="Normal 4 6 2 2 2 5 2 4" xfId="22521"/>
    <cellStyle name="Normal 4 6 2 2 2 5 2 4 2" xfId="44943"/>
    <cellStyle name="Normal 4 6 2 2 2 5 2 5" xfId="30554"/>
    <cellStyle name="Normal 4 6 2 2 2 5 3" xfId="8712"/>
    <cellStyle name="Normal 4 6 2 2 2 5 3 2" xfId="15423"/>
    <cellStyle name="Normal 4 6 2 2 2 5 3 2 2" xfId="38844"/>
    <cellStyle name="Normal 4 6 2 2 2 5 3 3" xfId="32212"/>
    <cellStyle name="Normal 4 6 2 2 2 5 4" xfId="12105"/>
    <cellStyle name="Normal 4 6 2 2 2 5 4 2" xfId="35528"/>
    <cellStyle name="Normal 4 6 2 2 2 5 5" xfId="19680"/>
    <cellStyle name="Normal 4 6 2 2 2 5 5 2" xfId="42217"/>
    <cellStyle name="Normal 4 6 2 2 2 5 6" xfId="28896"/>
    <cellStyle name="Normal 4 6 2 2 2 6" xfId="6190"/>
    <cellStyle name="Normal 4 6 2 2 2 6 2" xfId="9524"/>
    <cellStyle name="Normal 4 6 2 2 2 6 2 2" xfId="16228"/>
    <cellStyle name="Normal 4 6 2 2 2 6 2 2 2" xfId="39649"/>
    <cellStyle name="Normal 4 6 2 2 2 6 2 3" xfId="33017"/>
    <cellStyle name="Normal 4 6 2 2 2 6 3" xfId="12912"/>
    <cellStyle name="Normal 4 6 2 2 2 6 3 2" xfId="36333"/>
    <cellStyle name="Normal 4 6 2 2 2 6 4" xfId="20887"/>
    <cellStyle name="Normal 4 6 2 2 2 6 4 2" xfId="43338"/>
    <cellStyle name="Normal 4 6 2 2 2 6 5" xfId="29701"/>
    <cellStyle name="Normal 4 6 2 2 2 7" xfId="7856"/>
    <cellStyle name="Normal 4 6 2 2 2 7 2" xfId="14570"/>
    <cellStyle name="Normal 4 6 2 2 2 7 2 2" xfId="37991"/>
    <cellStyle name="Normal 4 6 2 2 2 7 3" xfId="21671"/>
    <cellStyle name="Normal 4 6 2 2 2 7 3 2" xfId="44120"/>
    <cellStyle name="Normal 4 6 2 2 2 7 4" xfId="31359"/>
    <cellStyle name="Normal 4 6 2 2 2 8" xfId="11252"/>
    <cellStyle name="Normal 4 6 2 2 2 8 2" xfId="34675"/>
    <cellStyle name="Normal 4 6 2 2 2 9" xfId="18061"/>
    <cellStyle name="Normal 4 6 2 2 2 9 2" xfId="41349"/>
    <cellStyle name="Normal 4 6 2 2 3" xfId="1776"/>
    <cellStyle name="Normal 4 6 2 2 3 10" xfId="28128"/>
    <cellStyle name="Normal 4 6 2 2 3 2" xfId="2320"/>
    <cellStyle name="Normal 4 6 2 2 3 2 2" xfId="5559"/>
    <cellStyle name="Normal 4 6 2 2 3 2 2 2" xfId="7382"/>
    <cellStyle name="Normal 4 6 2 2 3 2 2 2 2" xfId="10713"/>
    <cellStyle name="Normal 4 6 2 2 3 2 2 2 2 2" xfId="17417"/>
    <cellStyle name="Normal 4 6 2 2 3 2 2 2 2 2 2" xfId="40838"/>
    <cellStyle name="Normal 4 6 2 2 3 2 2 2 2 3" xfId="23133"/>
    <cellStyle name="Normal 4 6 2 2 3 2 2 2 2 3 2" xfId="45555"/>
    <cellStyle name="Normal 4 6 2 2 3 2 2 2 2 4" xfId="34206"/>
    <cellStyle name="Normal 4 6 2 2 3 2 2 2 3" xfId="14101"/>
    <cellStyle name="Normal 4 6 2 2 3 2 2 2 3 2" xfId="37522"/>
    <cellStyle name="Normal 4 6 2 2 3 2 2 2 4" xfId="20308"/>
    <cellStyle name="Normal 4 6 2 2 3 2 2 2 4 2" xfId="42843"/>
    <cellStyle name="Normal 4 6 2 2 3 2 2 2 5" xfId="30890"/>
    <cellStyle name="Normal 4 6 2 2 3 2 2 3" xfId="9055"/>
    <cellStyle name="Normal 4 6 2 2 3 2 2 3 2" xfId="15759"/>
    <cellStyle name="Normal 4 6 2 2 3 2 2 3 2 2" xfId="39180"/>
    <cellStyle name="Normal 4 6 2 2 3 2 2 3 3" xfId="21351"/>
    <cellStyle name="Normal 4 6 2 2 3 2 2 3 3 2" xfId="43802"/>
    <cellStyle name="Normal 4 6 2 2 3 2 2 3 4" xfId="32548"/>
    <cellStyle name="Normal 4 6 2 2 3 2 2 4" xfId="12443"/>
    <cellStyle name="Normal 4 6 2 2 3 2 2 4 2" xfId="22321"/>
    <cellStyle name="Normal 4 6 2 2 3 2 2 4 2 2" xfId="44743"/>
    <cellStyle name="Normal 4 6 2 2 3 2 2 4 3" xfId="35864"/>
    <cellStyle name="Normal 4 6 2 2 3 2 2 5" xfId="19469"/>
    <cellStyle name="Normal 4 6 2 2 3 2 2 5 2" xfId="42011"/>
    <cellStyle name="Normal 4 6 2 2 3 2 2 6" xfId="29232"/>
    <cellStyle name="Normal 4 6 2 2 3 2 3" xfId="6480"/>
    <cellStyle name="Normal 4 6 2 2 3 2 3 2" xfId="9814"/>
    <cellStyle name="Normal 4 6 2 2 3 2 3 2 2" xfId="16518"/>
    <cellStyle name="Normal 4 6 2 2 3 2 3 2 2 2" xfId="39939"/>
    <cellStyle name="Normal 4 6 2 2 3 2 3 2 3" xfId="22728"/>
    <cellStyle name="Normal 4 6 2 2 3 2 3 2 3 2" xfId="45150"/>
    <cellStyle name="Normal 4 6 2 2 3 2 3 2 4" xfId="33307"/>
    <cellStyle name="Normal 4 6 2 2 3 2 3 3" xfId="13202"/>
    <cellStyle name="Normal 4 6 2 2 3 2 3 3 2" xfId="36623"/>
    <cellStyle name="Normal 4 6 2 2 3 2 3 4" xfId="19892"/>
    <cellStyle name="Normal 4 6 2 2 3 2 3 4 2" xfId="42427"/>
    <cellStyle name="Normal 4 6 2 2 3 2 3 5" xfId="29991"/>
    <cellStyle name="Normal 4 6 2 2 3 2 4" xfId="8147"/>
    <cellStyle name="Normal 4 6 2 2 3 2 4 2" xfId="14860"/>
    <cellStyle name="Normal 4 6 2 2 3 2 4 2 2" xfId="38281"/>
    <cellStyle name="Normal 4 6 2 2 3 2 4 3" xfId="20892"/>
    <cellStyle name="Normal 4 6 2 2 3 2 4 3 2" xfId="43343"/>
    <cellStyle name="Normal 4 6 2 2 3 2 4 4" xfId="31649"/>
    <cellStyle name="Normal 4 6 2 2 3 2 5" xfId="11542"/>
    <cellStyle name="Normal 4 6 2 2 3 2 5 2" xfId="21897"/>
    <cellStyle name="Normal 4 6 2 2 3 2 5 2 2" xfId="44329"/>
    <cellStyle name="Normal 4 6 2 2 3 2 5 3" xfId="34965"/>
    <cellStyle name="Normal 4 6 2 2 3 2 6" xfId="18757"/>
    <cellStyle name="Normal 4 6 2 2 3 2 6 2" xfId="41586"/>
    <cellStyle name="Normal 4 6 2 2 3 2 7" xfId="25894"/>
    <cellStyle name="Normal 4 6 2 2 3 2 7 2" xfId="48139"/>
    <cellStyle name="Normal 4 6 2 2 3 2 8" xfId="28333"/>
    <cellStyle name="Normal 4 6 2 2 3 3" xfId="2773"/>
    <cellStyle name="Normal 4 6 2 2 3 3 2" xfId="5865"/>
    <cellStyle name="Normal 4 6 2 2 3 3 2 2" xfId="7647"/>
    <cellStyle name="Normal 4 6 2 2 3 3 2 2 2" xfId="10976"/>
    <cellStyle name="Normal 4 6 2 2 3 3 2 2 2 2" xfId="17680"/>
    <cellStyle name="Normal 4 6 2 2 3 3 2 2 2 2 2" xfId="41101"/>
    <cellStyle name="Normal 4 6 2 2 3 3 2 2 2 3" xfId="34469"/>
    <cellStyle name="Normal 4 6 2 2 3 3 2 2 3" xfId="14364"/>
    <cellStyle name="Normal 4 6 2 2 3 3 2 2 3 2" xfId="37785"/>
    <cellStyle name="Normal 4 6 2 2 3 3 2 2 4" xfId="22928"/>
    <cellStyle name="Normal 4 6 2 2 3 3 2 2 4 2" xfId="45350"/>
    <cellStyle name="Normal 4 6 2 2 3 3 2 2 5" xfId="31153"/>
    <cellStyle name="Normal 4 6 2 2 3 3 2 3" xfId="9318"/>
    <cellStyle name="Normal 4 6 2 2 3 3 2 3 2" xfId="16022"/>
    <cellStyle name="Normal 4 6 2 2 3 3 2 3 2 2" xfId="39443"/>
    <cellStyle name="Normal 4 6 2 2 3 3 2 3 3" xfId="32811"/>
    <cellStyle name="Normal 4 6 2 2 3 3 2 4" xfId="12706"/>
    <cellStyle name="Normal 4 6 2 2 3 3 2 4 2" xfId="36127"/>
    <cellStyle name="Normal 4 6 2 2 3 3 2 5" xfId="20100"/>
    <cellStyle name="Normal 4 6 2 2 3 3 2 5 2" xfId="42635"/>
    <cellStyle name="Normal 4 6 2 2 3 3 2 6" xfId="29495"/>
    <cellStyle name="Normal 4 6 2 2 3 3 3" xfId="6748"/>
    <cellStyle name="Normal 4 6 2 2 3 3 3 2" xfId="10080"/>
    <cellStyle name="Normal 4 6 2 2 3 3 3 2 2" xfId="16784"/>
    <cellStyle name="Normal 4 6 2 2 3 3 3 2 2 2" xfId="40205"/>
    <cellStyle name="Normal 4 6 2 2 3 3 3 2 3" xfId="33573"/>
    <cellStyle name="Normal 4 6 2 2 3 3 3 3" xfId="13468"/>
    <cellStyle name="Normal 4 6 2 2 3 3 3 3 2" xfId="36889"/>
    <cellStyle name="Normal 4 6 2 2 3 3 3 4" xfId="21350"/>
    <cellStyle name="Normal 4 6 2 2 3 3 3 4 2" xfId="43801"/>
    <cellStyle name="Normal 4 6 2 2 3 3 3 5" xfId="30257"/>
    <cellStyle name="Normal 4 6 2 2 3 3 4" xfId="8414"/>
    <cellStyle name="Normal 4 6 2 2 3 3 4 2" xfId="15126"/>
    <cellStyle name="Normal 4 6 2 2 3 3 4 2 2" xfId="38547"/>
    <cellStyle name="Normal 4 6 2 2 3 3 4 3" xfId="22111"/>
    <cellStyle name="Normal 4 6 2 2 3 3 4 3 2" xfId="44535"/>
    <cellStyle name="Normal 4 6 2 2 3 3 4 4" xfId="31915"/>
    <cellStyle name="Normal 4 6 2 2 3 3 5" xfId="11808"/>
    <cellStyle name="Normal 4 6 2 2 3 3 5 2" xfId="35231"/>
    <cellStyle name="Normal 4 6 2 2 3 3 6" xfId="19250"/>
    <cellStyle name="Normal 4 6 2 2 3 3 6 2" xfId="41803"/>
    <cellStyle name="Normal 4 6 2 2 3 3 7" xfId="28599"/>
    <cellStyle name="Normal 4 6 2 2 3 4" xfId="4048"/>
    <cellStyle name="Normal 4 6 2 2 3 4 2" xfId="7047"/>
    <cellStyle name="Normal 4 6 2 2 3 4 2 2" xfId="10379"/>
    <cellStyle name="Normal 4 6 2 2 3 4 2 2 2" xfId="17083"/>
    <cellStyle name="Normal 4 6 2 2 3 4 2 2 2 2" xfId="40504"/>
    <cellStyle name="Normal 4 6 2 2 3 4 2 2 3" xfId="33872"/>
    <cellStyle name="Normal 4 6 2 2 3 4 2 3" xfId="13767"/>
    <cellStyle name="Normal 4 6 2 2 3 4 2 3 2" xfId="37188"/>
    <cellStyle name="Normal 4 6 2 2 3 4 2 4" xfId="22523"/>
    <cellStyle name="Normal 4 6 2 2 3 4 2 4 2" xfId="44945"/>
    <cellStyle name="Normal 4 6 2 2 3 4 2 5" xfId="30556"/>
    <cellStyle name="Normal 4 6 2 2 3 4 3" xfId="8714"/>
    <cellStyle name="Normal 4 6 2 2 3 4 3 2" xfId="15425"/>
    <cellStyle name="Normal 4 6 2 2 3 4 3 2 2" xfId="38846"/>
    <cellStyle name="Normal 4 6 2 2 3 4 3 3" xfId="32214"/>
    <cellStyle name="Normal 4 6 2 2 3 4 4" xfId="12107"/>
    <cellStyle name="Normal 4 6 2 2 3 4 4 2" xfId="35530"/>
    <cellStyle name="Normal 4 6 2 2 3 4 5" xfId="19682"/>
    <cellStyle name="Normal 4 6 2 2 3 4 5 2" xfId="42219"/>
    <cellStyle name="Normal 4 6 2 2 3 4 6" xfId="28898"/>
    <cellStyle name="Normal 4 6 2 2 3 5" xfId="6275"/>
    <cellStyle name="Normal 4 6 2 2 3 5 2" xfId="9609"/>
    <cellStyle name="Normal 4 6 2 2 3 5 2 2" xfId="16313"/>
    <cellStyle name="Normal 4 6 2 2 3 5 2 2 2" xfId="39734"/>
    <cellStyle name="Normal 4 6 2 2 3 5 2 3" xfId="33102"/>
    <cellStyle name="Normal 4 6 2 2 3 5 3" xfId="12997"/>
    <cellStyle name="Normal 4 6 2 2 3 5 3 2" xfId="36418"/>
    <cellStyle name="Normal 4 6 2 2 3 5 4" xfId="20891"/>
    <cellStyle name="Normal 4 6 2 2 3 5 4 2" xfId="43342"/>
    <cellStyle name="Normal 4 6 2 2 3 5 5" xfId="29786"/>
    <cellStyle name="Normal 4 6 2 2 3 6" xfId="7941"/>
    <cellStyle name="Normal 4 6 2 2 3 6 2" xfId="14655"/>
    <cellStyle name="Normal 4 6 2 2 3 6 2 2" xfId="38076"/>
    <cellStyle name="Normal 4 6 2 2 3 6 3" xfId="21673"/>
    <cellStyle name="Normal 4 6 2 2 3 6 3 2" xfId="44122"/>
    <cellStyle name="Normal 4 6 2 2 3 6 4" xfId="31444"/>
    <cellStyle name="Normal 4 6 2 2 3 7" xfId="11337"/>
    <cellStyle name="Normal 4 6 2 2 3 7 2" xfId="34760"/>
    <cellStyle name="Normal 4 6 2 2 3 8" xfId="18063"/>
    <cellStyle name="Normal 4 6 2 2 3 8 2" xfId="41351"/>
    <cellStyle name="Normal 4 6 2 2 3 9" xfId="23663"/>
    <cellStyle name="Normal 4 6 2 2 3 9 2" xfId="45952"/>
    <cellStyle name="Normal 4 6 2 2 4" xfId="2317"/>
    <cellStyle name="Normal 4 6 2 2 4 2" xfId="5556"/>
    <cellStyle name="Normal 4 6 2 2 4 2 2" xfId="7379"/>
    <cellStyle name="Normal 4 6 2 2 4 2 2 2" xfId="10710"/>
    <cellStyle name="Normal 4 6 2 2 4 2 2 2 2" xfId="17414"/>
    <cellStyle name="Normal 4 6 2 2 4 2 2 2 2 2" xfId="40835"/>
    <cellStyle name="Normal 4 6 2 2 4 2 2 2 3" xfId="23130"/>
    <cellStyle name="Normal 4 6 2 2 4 2 2 2 3 2" xfId="45552"/>
    <cellStyle name="Normal 4 6 2 2 4 2 2 2 4" xfId="34203"/>
    <cellStyle name="Normal 4 6 2 2 4 2 2 3" xfId="14098"/>
    <cellStyle name="Normal 4 6 2 2 4 2 2 3 2" xfId="37519"/>
    <cellStyle name="Normal 4 6 2 2 4 2 2 4" xfId="20305"/>
    <cellStyle name="Normal 4 6 2 2 4 2 2 4 2" xfId="42840"/>
    <cellStyle name="Normal 4 6 2 2 4 2 2 5" xfId="30887"/>
    <cellStyle name="Normal 4 6 2 2 4 2 3" xfId="9052"/>
    <cellStyle name="Normal 4 6 2 2 4 2 3 2" xfId="15756"/>
    <cellStyle name="Normal 4 6 2 2 4 2 3 2 2" xfId="39177"/>
    <cellStyle name="Normal 4 6 2 2 4 2 3 3" xfId="21352"/>
    <cellStyle name="Normal 4 6 2 2 4 2 3 3 2" xfId="43803"/>
    <cellStyle name="Normal 4 6 2 2 4 2 3 4" xfId="32545"/>
    <cellStyle name="Normal 4 6 2 2 4 2 4" xfId="12440"/>
    <cellStyle name="Normal 4 6 2 2 4 2 4 2" xfId="22318"/>
    <cellStyle name="Normal 4 6 2 2 4 2 4 2 2" xfId="44740"/>
    <cellStyle name="Normal 4 6 2 2 4 2 4 3" xfId="35861"/>
    <cellStyle name="Normal 4 6 2 2 4 2 5" xfId="19466"/>
    <cellStyle name="Normal 4 6 2 2 4 2 5 2" xfId="42008"/>
    <cellStyle name="Normal 4 6 2 2 4 2 6" xfId="29229"/>
    <cellStyle name="Normal 4 6 2 2 4 3" xfId="6477"/>
    <cellStyle name="Normal 4 6 2 2 4 3 2" xfId="9811"/>
    <cellStyle name="Normal 4 6 2 2 4 3 2 2" xfId="16515"/>
    <cellStyle name="Normal 4 6 2 2 4 3 2 2 2" xfId="39936"/>
    <cellStyle name="Normal 4 6 2 2 4 3 2 3" xfId="22725"/>
    <cellStyle name="Normal 4 6 2 2 4 3 2 3 2" xfId="45147"/>
    <cellStyle name="Normal 4 6 2 2 4 3 2 4" xfId="33304"/>
    <cellStyle name="Normal 4 6 2 2 4 3 3" xfId="13199"/>
    <cellStyle name="Normal 4 6 2 2 4 3 3 2" xfId="36620"/>
    <cellStyle name="Normal 4 6 2 2 4 3 4" xfId="19889"/>
    <cellStyle name="Normal 4 6 2 2 4 3 4 2" xfId="42424"/>
    <cellStyle name="Normal 4 6 2 2 4 3 5" xfId="29988"/>
    <cellStyle name="Normal 4 6 2 2 4 4" xfId="8144"/>
    <cellStyle name="Normal 4 6 2 2 4 4 2" xfId="14857"/>
    <cellStyle name="Normal 4 6 2 2 4 4 2 2" xfId="38278"/>
    <cellStyle name="Normal 4 6 2 2 4 4 3" xfId="20893"/>
    <cellStyle name="Normal 4 6 2 2 4 4 3 2" xfId="43344"/>
    <cellStyle name="Normal 4 6 2 2 4 4 4" xfId="31646"/>
    <cellStyle name="Normal 4 6 2 2 4 5" xfId="11539"/>
    <cellStyle name="Normal 4 6 2 2 4 5 2" xfId="21894"/>
    <cellStyle name="Normal 4 6 2 2 4 5 2 2" xfId="44326"/>
    <cellStyle name="Normal 4 6 2 2 4 5 3" xfId="34962"/>
    <cellStyle name="Normal 4 6 2 2 4 6" xfId="18754"/>
    <cellStyle name="Normal 4 6 2 2 4 6 2" xfId="41583"/>
    <cellStyle name="Normal 4 6 2 2 4 7" xfId="25891"/>
    <cellStyle name="Normal 4 6 2 2 4 7 2" xfId="48136"/>
    <cellStyle name="Normal 4 6 2 2 4 8" xfId="28330"/>
    <cellStyle name="Normal 4 6 2 2 5" xfId="2641"/>
    <cellStyle name="Normal 4 6 2 2 5 2" xfId="5734"/>
    <cellStyle name="Normal 4 6 2 2 5 2 2" xfId="7516"/>
    <cellStyle name="Normal 4 6 2 2 5 2 2 2" xfId="10845"/>
    <cellStyle name="Normal 4 6 2 2 5 2 2 2 2" xfId="17549"/>
    <cellStyle name="Normal 4 6 2 2 5 2 2 2 2 2" xfId="40970"/>
    <cellStyle name="Normal 4 6 2 2 5 2 2 2 3" xfId="34338"/>
    <cellStyle name="Normal 4 6 2 2 5 2 2 3" xfId="14233"/>
    <cellStyle name="Normal 4 6 2 2 5 2 2 3 2" xfId="37654"/>
    <cellStyle name="Normal 4 6 2 2 5 2 2 4" xfId="20601"/>
    <cellStyle name="Normal 4 6 2 2 5 2 2 4 2" xfId="43052"/>
    <cellStyle name="Normal 4 6 2 2 5 2 2 5" xfId="31022"/>
    <cellStyle name="Normal 4 6 2 2 5 2 3" xfId="9187"/>
    <cellStyle name="Normal 4 6 2 2 5 2 3 2" xfId="15891"/>
    <cellStyle name="Normal 4 6 2 2 5 2 3 2 2" xfId="39312"/>
    <cellStyle name="Normal 4 6 2 2 5 2 3 3" xfId="21519"/>
    <cellStyle name="Normal 4 6 2 2 5 2 3 3 2" xfId="43970"/>
    <cellStyle name="Normal 4 6 2 2 5 2 3 4" xfId="32680"/>
    <cellStyle name="Normal 4 6 2 2 5 2 4" xfId="12575"/>
    <cellStyle name="Normal 4 6 2 2 5 2 4 2" xfId="22925"/>
    <cellStyle name="Normal 4 6 2 2 5 2 4 2 2" xfId="45347"/>
    <cellStyle name="Normal 4 6 2 2 5 2 4 3" xfId="35996"/>
    <cellStyle name="Normal 4 6 2 2 5 2 5" xfId="20097"/>
    <cellStyle name="Normal 4 6 2 2 5 2 5 2" xfId="42632"/>
    <cellStyle name="Normal 4 6 2 2 5 2 6" xfId="29364"/>
    <cellStyle name="Normal 4 6 2 2 5 3" xfId="6617"/>
    <cellStyle name="Normal 4 6 2 2 5 3 2" xfId="9949"/>
    <cellStyle name="Normal 4 6 2 2 5 3 2 2" xfId="16653"/>
    <cellStyle name="Normal 4 6 2 2 5 3 2 2 2" xfId="40074"/>
    <cellStyle name="Normal 4 6 2 2 5 3 2 3" xfId="33442"/>
    <cellStyle name="Normal 4 6 2 2 5 3 3" xfId="13337"/>
    <cellStyle name="Normal 4 6 2 2 5 3 3 2" xfId="36758"/>
    <cellStyle name="Normal 4 6 2 2 5 3 4" xfId="20503"/>
    <cellStyle name="Normal 4 6 2 2 5 3 4 2" xfId="42956"/>
    <cellStyle name="Normal 4 6 2 2 5 3 5" xfId="30126"/>
    <cellStyle name="Normal 4 6 2 2 5 4" xfId="8283"/>
    <cellStyle name="Normal 4 6 2 2 5 4 2" xfId="14995"/>
    <cellStyle name="Normal 4 6 2 2 5 4 2 2" xfId="38416"/>
    <cellStyle name="Normal 4 6 2 2 5 4 3" xfId="21060"/>
    <cellStyle name="Normal 4 6 2 2 5 4 3 2" xfId="43511"/>
    <cellStyle name="Normal 4 6 2 2 5 4 4" xfId="31784"/>
    <cellStyle name="Normal 4 6 2 2 5 5" xfId="11677"/>
    <cellStyle name="Normal 4 6 2 2 5 5 2" xfId="22108"/>
    <cellStyle name="Normal 4 6 2 2 5 5 2 2" xfId="44532"/>
    <cellStyle name="Normal 4 6 2 2 5 5 3" xfId="35100"/>
    <cellStyle name="Normal 4 6 2 2 5 6" xfId="19247"/>
    <cellStyle name="Normal 4 6 2 2 5 6 2" xfId="41800"/>
    <cellStyle name="Normal 4 6 2 2 5 7" xfId="28468"/>
    <cellStyle name="Normal 4 6 2 2 6" xfId="4045"/>
    <cellStyle name="Normal 4 6 2 2 6 2" xfId="7044"/>
    <cellStyle name="Normal 4 6 2 2 6 2 2" xfId="10376"/>
    <cellStyle name="Normal 4 6 2 2 6 2 2 2" xfId="17080"/>
    <cellStyle name="Normal 4 6 2 2 6 2 2 2 2" xfId="40501"/>
    <cellStyle name="Normal 4 6 2 2 6 2 2 3" xfId="33869"/>
    <cellStyle name="Normal 4 6 2 2 6 2 3" xfId="13764"/>
    <cellStyle name="Normal 4 6 2 2 6 2 3 2" xfId="37185"/>
    <cellStyle name="Normal 4 6 2 2 6 2 4" xfId="20553"/>
    <cellStyle name="Normal 4 6 2 2 6 2 4 2" xfId="43004"/>
    <cellStyle name="Normal 4 6 2 2 6 2 5" xfId="30553"/>
    <cellStyle name="Normal 4 6 2 2 6 3" xfId="8711"/>
    <cellStyle name="Normal 4 6 2 2 6 3 2" xfId="15422"/>
    <cellStyle name="Normal 4 6 2 2 6 3 2 2" xfId="38843"/>
    <cellStyle name="Normal 4 6 2 2 6 3 3" xfId="21345"/>
    <cellStyle name="Normal 4 6 2 2 6 3 3 2" xfId="43796"/>
    <cellStyle name="Normal 4 6 2 2 6 3 4" xfId="32211"/>
    <cellStyle name="Normal 4 6 2 2 6 4" xfId="12104"/>
    <cellStyle name="Normal 4 6 2 2 6 4 2" xfId="22520"/>
    <cellStyle name="Normal 4 6 2 2 6 4 2 2" xfId="44942"/>
    <cellStyle name="Normal 4 6 2 2 6 4 3" xfId="35527"/>
    <cellStyle name="Normal 4 6 2 2 6 5" xfId="19679"/>
    <cellStyle name="Normal 4 6 2 2 6 5 2" xfId="42216"/>
    <cellStyle name="Normal 4 6 2 2 6 6" xfId="28895"/>
    <cellStyle name="Normal 4 6 2 2 7" xfId="6144"/>
    <cellStyle name="Normal 4 6 2 2 7 2" xfId="9478"/>
    <cellStyle name="Normal 4 6 2 2 7 2 2" xfId="16182"/>
    <cellStyle name="Normal 4 6 2 2 7 2 2 2" xfId="39603"/>
    <cellStyle name="Normal 4 6 2 2 7 2 3" xfId="32971"/>
    <cellStyle name="Normal 4 6 2 2 7 3" xfId="12866"/>
    <cellStyle name="Normal 4 6 2 2 7 3 2" xfId="36287"/>
    <cellStyle name="Normal 4 6 2 2 7 4" xfId="18392"/>
    <cellStyle name="Normal 4 6 2 2 7 4 2" xfId="41443"/>
    <cellStyle name="Normal 4 6 2 2 7 5" xfId="29655"/>
    <cellStyle name="Normal 4 6 2 2 8" xfId="7810"/>
    <cellStyle name="Normal 4 6 2 2 8 2" xfId="14524"/>
    <cellStyle name="Normal 4 6 2 2 8 2 2" xfId="37945"/>
    <cellStyle name="Normal 4 6 2 2 8 3" xfId="20886"/>
    <cellStyle name="Normal 4 6 2 2 8 3 2" xfId="43337"/>
    <cellStyle name="Normal 4 6 2 2 8 4" xfId="31313"/>
    <cellStyle name="Normal 4 6 2 2 9" xfId="11206"/>
    <cellStyle name="Normal 4 6 2 2 9 2" xfId="21670"/>
    <cellStyle name="Normal 4 6 2 2 9 2 2" xfId="44119"/>
    <cellStyle name="Normal 4 6 2 2 9 3" xfId="34629"/>
    <cellStyle name="Normal 4 6 2 3" xfId="1623"/>
    <cellStyle name="Normal 4 6 2 3 10" xfId="23664"/>
    <cellStyle name="Normal 4 6 2 3 10 2" xfId="45953"/>
    <cellStyle name="Normal 4 6 2 3 11" xfId="28042"/>
    <cellStyle name="Normal 4 6 2 3 2" xfId="1821"/>
    <cellStyle name="Normal 4 6 2 3 2 10" xfId="28173"/>
    <cellStyle name="Normal 4 6 2 3 2 2" xfId="2322"/>
    <cellStyle name="Normal 4 6 2 3 2 2 2" xfId="5561"/>
    <cellStyle name="Normal 4 6 2 3 2 2 2 2" xfId="7384"/>
    <cellStyle name="Normal 4 6 2 3 2 2 2 2 2" xfId="10715"/>
    <cellStyle name="Normal 4 6 2 3 2 2 2 2 2 2" xfId="17419"/>
    <cellStyle name="Normal 4 6 2 3 2 2 2 2 2 2 2" xfId="40840"/>
    <cellStyle name="Normal 4 6 2 3 2 2 2 2 2 3" xfId="23135"/>
    <cellStyle name="Normal 4 6 2 3 2 2 2 2 2 3 2" xfId="45557"/>
    <cellStyle name="Normal 4 6 2 3 2 2 2 2 2 4" xfId="34208"/>
    <cellStyle name="Normal 4 6 2 3 2 2 2 2 3" xfId="14103"/>
    <cellStyle name="Normal 4 6 2 3 2 2 2 2 3 2" xfId="37524"/>
    <cellStyle name="Normal 4 6 2 3 2 2 2 2 4" xfId="20310"/>
    <cellStyle name="Normal 4 6 2 3 2 2 2 2 4 2" xfId="42845"/>
    <cellStyle name="Normal 4 6 2 3 2 2 2 2 5" xfId="30892"/>
    <cellStyle name="Normal 4 6 2 3 2 2 2 3" xfId="9057"/>
    <cellStyle name="Normal 4 6 2 3 2 2 2 3 2" xfId="15761"/>
    <cellStyle name="Normal 4 6 2 3 2 2 2 3 2 2" xfId="39182"/>
    <cellStyle name="Normal 4 6 2 3 2 2 2 3 3" xfId="21355"/>
    <cellStyle name="Normal 4 6 2 3 2 2 2 3 3 2" xfId="43806"/>
    <cellStyle name="Normal 4 6 2 3 2 2 2 3 4" xfId="32550"/>
    <cellStyle name="Normal 4 6 2 3 2 2 2 4" xfId="12445"/>
    <cellStyle name="Normal 4 6 2 3 2 2 2 4 2" xfId="22323"/>
    <cellStyle name="Normal 4 6 2 3 2 2 2 4 2 2" xfId="44745"/>
    <cellStyle name="Normal 4 6 2 3 2 2 2 4 3" xfId="35866"/>
    <cellStyle name="Normal 4 6 2 3 2 2 2 5" xfId="19471"/>
    <cellStyle name="Normal 4 6 2 3 2 2 2 5 2" xfId="42013"/>
    <cellStyle name="Normal 4 6 2 3 2 2 2 6" xfId="29234"/>
    <cellStyle name="Normal 4 6 2 3 2 2 3" xfId="6482"/>
    <cellStyle name="Normal 4 6 2 3 2 2 3 2" xfId="9816"/>
    <cellStyle name="Normal 4 6 2 3 2 2 3 2 2" xfId="16520"/>
    <cellStyle name="Normal 4 6 2 3 2 2 3 2 2 2" xfId="39941"/>
    <cellStyle name="Normal 4 6 2 3 2 2 3 2 3" xfId="22730"/>
    <cellStyle name="Normal 4 6 2 3 2 2 3 2 3 2" xfId="45152"/>
    <cellStyle name="Normal 4 6 2 3 2 2 3 2 4" xfId="33309"/>
    <cellStyle name="Normal 4 6 2 3 2 2 3 3" xfId="13204"/>
    <cellStyle name="Normal 4 6 2 3 2 2 3 3 2" xfId="36625"/>
    <cellStyle name="Normal 4 6 2 3 2 2 3 4" xfId="19894"/>
    <cellStyle name="Normal 4 6 2 3 2 2 3 4 2" xfId="42429"/>
    <cellStyle name="Normal 4 6 2 3 2 2 3 5" xfId="29993"/>
    <cellStyle name="Normal 4 6 2 3 2 2 4" xfId="8149"/>
    <cellStyle name="Normal 4 6 2 3 2 2 4 2" xfId="14862"/>
    <cellStyle name="Normal 4 6 2 3 2 2 4 2 2" xfId="38283"/>
    <cellStyle name="Normal 4 6 2 3 2 2 4 3" xfId="20896"/>
    <cellStyle name="Normal 4 6 2 3 2 2 4 3 2" xfId="43347"/>
    <cellStyle name="Normal 4 6 2 3 2 2 4 4" xfId="31651"/>
    <cellStyle name="Normal 4 6 2 3 2 2 5" xfId="11544"/>
    <cellStyle name="Normal 4 6 2 3 2 2 5 2" xfId="21899"/>
    <cellStyle name="Normal 4 6 2 3 2 2 5 2 2" xfId="44331"/>
    <cellStyle name="Normal 4 6 2 3 2 2 5 3" xfId="34967"/>
    <cellStyle name="Normal 4 6 2 3 2 2 6" xfId="18759"/>
    <cellStyle name="Normal 4 6 2 3 2 2 6 2" xfId="41588"/>
    <cellStyle name="Normal 4 6 2 3 2 2 7" xfId="25896"/>
    <cellStyle name="Normal 4 6 2 3 2 2 7 2" xfId="48141"/>
    <cellStyle name="Normal 4 6 2 3 2 2 8" xfId="28335"/>
    <cellStyle name="Normal 4 6 2 3 2 3" xfId="2818"/>
    <cellStyle name="Normal 4 6 2 3 2 3 2" xfId="5910"/>
    <cellStyle name="Normal 4 6 2 3 2 3 2 2" xfId="7692"/>
    <cellStyle name="Normal 4 6 2 3 2 3 2 2 2" xfId="11021"/>
    <cellStyle name="Normal 4 6 2 3 2 3 2 2 2 2" xfId="17725"/>
    <cellStyle name="Normal 4 6 2 3 2 3 2 2 2 2 2" xfId="41146"/>
    <cellStyle name="Normal 4 6 2 3 2 3 2 2 2 3" xfId="34514"/>
    <cellStyle name="Normal 4 6 2 3 2 3 2 2 3" xfId="14409"/>
    <cellStyle name="Normal 4 6 2 3 2 3 2 2 3 2" xfId="37830"/>
    <cellStyle name="Normal 4 6 2 3 2 3 2 2 4" xfId="22930"/>
    <cellStyle name="Normal 4 6 2 3 2 3 2 2 4 2" xfId="45352"/>
    <cellStyle name="Normal 4 6 2 3 2 3 2 2 5" xfId="31198"/>
    <cellStyle name="Normal 4 6 2 3 2 3 2 3" xfId="9363"/>
    <cellStyle name="Normal 4 6 2 3 2 3 2 3 2" xfId="16067"/>
    <cellStyle name="Normal 4 6 2 3 2 3 2 3 2 2" xfId="39488"/>
    <cellStyle name="Normal 4 6 2 3 2 3 2 3 3" xfId="32856"/>
    <cellStyle name="Normal 4 6 2 3 2 3 2 4" xfId="12751"/>
    <cellStyle name="Normal 4 6 2 3 2 3 2 4 2" xfId="36172"/>
    <cellStyle name="Normal 4 6 2 3 2 3 2 5" xfId="20102"/>
    <cellStyle name="Normal 4 6 2 3 2 3 2 5 2" xfId="42637"/>
    <cellStyle name="Normal 4 6 2 3 2 3 2 6" xfId="29540"/>
    <cellStyle name="Normal 4 6 2 3 2 3 3" xfId="6793"/>
    <cellStyle name="Normal 4 6 2 3 2 3 3 2" xfId="10125"/>
    <cellStyle name="Normal 4 6 2 3 2 3 3 2 2" xfId="16829"/>
    <cellStyle name="Normal 4 6 2 3 2 3 3 2 2 2" xfId="40250"/>
    <cellStyle name="Normal 4 6 2 3 2 3 3 2 3" xfId="33618"/>
    <cellStyle name="Normal 4 6 2 3 2 3 3 3" xfId="13513"/>
    <cellStyle name="Normal 4 6 2 3 2 3 3 3 2" xfId="36934"/>
    <cellStyle name="Normal 4 6 2 3 2 3 3 4" xfId="21354"/>
    <cellStyle name="Normal 4 6 2 3 2 3 3 4 2" xfId="43805"/>
    <cellStyle name="Normal 4 6 2 3 2 3 3 5" xfId="30302"/>
    <cellStyle name="Normal 4 6 2 3 2 3 4" xfId="8459"/>
    <cellStyle name="Normal 4 6 2 3 2 3 4 2" xfId="15171"/>
    <cellStyle name="Normal 4 6 2 3 2 3 4 2 2" xfId="38592"/>
    <cellStyle name="Normal 4 6 2 3 2 3 4 3" xfId="22113"/>
    <cellStyle name="Normal 4 6 2 3 2 3 4 3 2" xfId="44537"/>
    <cellStyle name="Normal 4 6 2 3 2 3 4 4" xfId="31960"/>
    <cellStyle name="Normal 4 6 2 3 2 3 5" xfId="11853"/>
    <cellStyle name="Normal 4 6 2 3 2 3 5 2" xfId="35276"/>
    <cellStyle name="Normal 4 6 2 3 2 3 6" xfId="19252"/>
    <cellStyle name="Normal 4 6 2 3 2 3 6 2" xfId="41805"/>
    <cellStyle name="Normal 4 6 2 3 2 3 7" xfId="28644"/>
    <cellStyle name="Normal 4 6 2 3 2 4" xfId="4050"/>
    <cellStyle name="Normal 4 6 2 3 2 4 2" xfId="7049"/>
    <cellStyle name="Normal 4 6 2 3 2 4 2 2" xfId="10381"/>
    <cellStyle name="Normal 4 6 2 3 2 4 2 2 2" xfId="17085"/>
    <cellStyle name="Normal 4 6 2 3 2 4 2 2 2 2" xfId="40506"/>
    <cellStyle name="Normal 4 6 2 3 2 4 2 2 3" xfId="33874"/>
    <cellStyle name="Normal 4 6 2 3 2 4 2 3" xfId="13769"/>
    <cellStyle name="Normal 4 6 2 3 2 4 2 3 2" xfId="37190"/>
    <cellStyle name="Normal 4 6 2 3 2 4 2 4" xfId="22525"/>
    <cellStyle name="Normal 4 6 2 3 2 4 2 4 2" xfId="44947"/>
    <cellStyle name="Normal 4 6 2 3 2 4 2 5" xfId="30558"/>
    <cellStyle name="Normal 4 6 2 3 2 4 3" xfId="8716"/>
    <cellStyle name="Normal 4 6 2 3 2 4 3 2" xfId="15427"/>
    <cellStyle name="Normal 4 6 2 3 2 4 3 2 2" xfId="38848"/>
    <cellStyle name="Normal 4 6 2 3 2 4 3 3" xfId="32216"/>
    <cellStyle name="Normal 4 6 2 3 2 4 4" xfId="12109"/>
    <cellStyle name="Normal 4 6 2 3 2 4 4 2" xfId="35532"/>
    <cellStyle name="Normal 4 6 2 3 2 4 5" xfId="19684"/>
    <cellStyle name="Normal 4 6 2 3 2 4 5 2" xfId="42221"/>
    <cellStyle name="Normal 4 6 2 3 2 4 6" xfId="28900"/>
    <cellStyle name="Normal 4 6 2 3 2 5" xfId="6320"/>
    <cellStyle name="Normal 4 6 2 3 2 5 2" xfId="9654"/>
    <cellStyle name="Normal 4 6 2 3 2 5 2 2" xfId="16358"/>
    <cellStyle name="Normal 4 6 2 3 2 5 2 2 2" xfId="39779"/>
    <cellStyle name="Normal 4 6 2 3 2 5 2 3" xfId="33147"/>
    <cellStyle name="Normal 4 6 2 3 2 5 3" xfId="13042"/>
    <cellStyle name="Normal 4 6 2 3 2 5 3 2" xfId="36463"/>
    <cellStyle name="Normal 4 6 2 3 2 5 4" xfId="20895"/>
    <cellStyle name="Normal 4 6 2 3 2 5 4 2" xfId="43346"/>
    <cellStyle name="Normal 4 6 2 3 2 5 5" xfId="29831"/>
    <cellStyle name="Normal 4 6 2 3 2 6" xfId="7986"/>
    <cellStyle name="Normal 4 6 2 3 2 6 2" xfId="14700"/>
    <cellStyle name="Normal 4 6 2 3 2 6 2 2" xfId="38121"/>
    <cellStyle name="Normal 4 6 2 3 2 6 3" xfId="21675"/>
    <cellStyle name="Normal 4 6 2 3 2 6 3 2" xfId="44124"/>
    <cellStyle name="Normal 4 6 2 3 2 6 4" xfId="31489"/>
    <cellStyle name="Normal 4 6 2 3 2 7" xfId="11382"/>
    <cellStyle name="Normal 4 6 2 3 2 7 2" xfId="34805"/>
    <cellStyle name="Normal 4 6 2 3 2 8" xfId="18065"/>
    <cellStyle name="Normal 4 6 2 3 2 8 2" xfId="41353"/>
    <cellStyle name="Normal 4 6 2 3 2 9" xfId="23665"/>
    <cellStyle name="Normal 4 6 2 3 2 9 2" xfId="45954"/>
    <cellStyle name="Normal 4 6 2 3 3" xfId="2321"/>
    <cellStyle name="Normal 4 6 2 3 3 2" xfId="5560"/>
    <cellStyle name="Normal 4 6 2 3 3 2 2" xfId="7383"/>
    <cellStyle name="Normal 4 6 2 3 3 2 2 2" xfId="10714"/>
    <cellStyle name="Normal 4 6 2 3 3 2 2 2 2" xfId="17418"/>
    <cellStyle name="Normal 4 6 2 3 3 2 2 2 2 2" xfId="40839"/>
    <cellStyle name="Normal 4 6 2 3 3 2 2 2 3" xfId="23134"/>
    <cellStyle name="Normal 4 6 2 3 3 2 2 2 3 2" xfId="45556"/>
    <cellStyle name="Normal 4 6 2 3 3 2 2 2 4" xfId="34207"/>
    <cellStyle name="Normal 4 6 2 3 3 2 2 3" xfId="14102"/>
    <cellStyle name="Normal 4 6 2 3 3 2 2 3 2" xfId="37523"/>
    <cellStyle name="Normal 4 6 2 3 3 2 2 4" xfId="20309"/>
    <cellStyle name="Normal 4 6 2 3 3 2 2 4 2" xfId="42844"/>
    <cellStyle name="Normal 4 6 2 3 3 2 2 5" xfId="30891"/>
    <cellStyle name="Normal 4 6 2 3 3 2 3" xfId="9056"/>
    <cellStyle name="Normal 4 6 2 3 3 2 3 2" xfId="15760"/>
    <cellStyle name="Normal 4 6 2 3 3 2 3 2 2" xfId="39181"/>
    <cellStyle name="Normal 4 6 2 3 3 2 3 3" xfId="21356"/>
    <cellStyle name="Normal 4 6 2 3 3 2 3 3 2" xfId="43807"/>
    <cellStyle name="Normal 4 6 2 3 3 2 3 4" xfId="32549"/>
    <cellStyle name="Normal 4 6 2 3 3 2 4" xfId="12444"/>
    <cellStyle name="Normal 4 6 2 3 3 2 4 2" xfId="22322"/>
    <cellStyle name="Normal 4 6 2 3 3 2 4 2 2" xfId="44744"/>
    <cellStyle name="Normal 4 6 2 3 3 2 4 3" xfId="35865"/>
    <cellStyle name="Normal 4 6 2 3 3 2 5" xfId="19470"/>
    <cellStyle name="Normal 4 6 2 3 3 2 5 2" xfId="42012"/>
    <cellStyle name="Normal 4 6 2 3 3 2 6" xfId="29233"/>
    <cellStyle name="Normal 4 6 2 3 3 3" xfId="6481"/>
    <cellStyle name="Normal 4 6 2 3 3 3 2" xfId="9815"/>
    <cellStyle name="Normal 4 6 2 3 3 3 2 2" xfId="16519"/>
    <cellStyle name="Normal 4 6 2 3 3 3 2 2 2" xfId="39940"/>
    <cellStyle name="Normal 4 6 2 3 3 3 2 3" xfId="22729"/>
    <cellStyle name="Normal 4 6 2 3 3 3 2 3 2" xfId="45151"/>
    <cellStyle name="Normal 4 6 2 3 3 3 2 4" xfId="33308"/>
    <cellStyle name="Normal 4 6 2 3 3 3 3" xfId="13203"/>
    <cellStyle name="Normal 4 6 2 3 3 3 3 2" xfId="36624"/>
    <cellStyle name="Normal 4 6 2 3 3 3 4" xfId="19893"/>
    <cellStyle name="Normal 4 6 2 3 3 3 4 2" xfId="42428"/>
    <cellStyle name="Normal 4 6 2 3 3 3 5" xfId="29992"/>
    <cellStyle name="Normal 4 6 2 3 3 4" xfId="8148"/>
    <cellStyle name="Normal 4 6 2 3 3 4 2" xfId="14861"/>
    <cellStyle name="Normal 4 6 2 3 3 4 2 2" xfId="38282"/>
    <cellStyle name="Normal 4 6 2 3 3 4 3" xfId="20897"/>
    <cellStyle name="Normal 4 6 2 3 3 4 3 2" xfId="43348"/>
    <cellStyle name="Normal 4 6 2 3 3 4 4" xfId="31650"/>
    <cellStyle name="Normal 4 6 2 3 3 5" xfId="11543"/>
    <cellStyle name="Normal 4 6 2 3 3 5 2" xfId="21898"/>
    <cellStyle name="Normal 4 6 2 3 3 5 2 2" xfId="44330"/>
    <cellStyle name="Normal 4 6 2 3 3 5 3" xfId="34966"/>
    <cellStyle name="Normal 4 6 2 3 3 6" xfId="18758"/>
    <cellStyle name="Normal 4 6 2 3 3 6 2" xfId="41587"/>
    <cellStyle name="Normal 4 6 2 3 3 7" xfId="25895"/>
    <cellStyle name="Normal 4 6 2 3 3 7 2" xfId="48140"/>
    <cellStyle name="Normal 4 6 2 3 3 8" xfId="28334"/>
    <cellStyle name="Normal 4 6 2 3 4" xfId="2686"/>
    <cellStyle name="Normal 4 6 2 3 4 2" xfId="5779"/>
    <cellStyle name="Normal 4 6 2 3 4 2 2" xfId="7561"/>
    <cellStyle name="Normal 4 6 2 3 4 2 2 2" xfId="10890"/>
    <cellStyle name="Normal 4 6 2 3 4 2 2 2 2" xfId="17594"/>
    <cellStyle name="Normal 4 6 2 3 4 2 2 2 2 2" xfId="41015"/>
    <cellStyle name="Normal 4 6 2 3 4 2 2 2 3" xfId="34383"/>
    <cellStyle name="Normal 4 6 2 3 4 2 2 3" xfId="14278"/>
    <cellStyle name="Normal 4 6 2 3 4 2 2 3 2" xfId="37699"/>
    <cellStyle name="Normal 4 6 2 3 4 2 2 4" xfId="22929"/>
    <cellStyle name="Normal 4 6 2 3 4 2 2 4 2" xfId="45351"/>
    <cellStyle name="Normal 4 6 2 3 4 2 2 5" xfId="31067"/>
    <cellStyle name="Normal 4 6 2 3 4 2 3" xfId="9232"/>
    <cellStyle name="Normal 4 6 2 3 4 2 3 2" xfId="15936"/>
    <cellStyle name="Normal 4 6 2 3 4 2 3 2 2" xfId="39357"/>
    <cellStyle name="Normal 4 6 2 3 4 2 3 3" xfId="32725"/>
    <cellStyle name="Normal 4 6 2 3 4 2 4" xfId="12620"/>
    <cellStyle name="Normal 4 6 2 3 4 2 4 2" xfId="36041"/>
    <cellStyle name="Normal 4 6 2 3 4 2 5" xfId="20101"/>
    <cellStyle name="Normal 4 6 2 3 4 2 5 2" xfId="42636"/>
    <cellStyle name="Normal 4 6 2 3 4 2 6" xfId="29409"/>
    <cellStyle name="Normal 4 6 2 3 4 3" xfId="6662"/>
    <cellStyle name="Normal 4 6 2 3 4 3 2" xfId="9994"/>
    <cellStyle name="Normal 4 6 2 3 4 3 2 2" xfId="16698"/>
    <cellStyle name="Normal 4 6 2 3 4 3 2 2 2" xfId="40119"/>
    <cellStyle name="Normal 4 6 2 3 4 3 2 3" xfId="33487"/>
    <cellStyle name="Normal 4 6 2 3 4 3 3" xfId="13382"/>
    <cellStyle name="Normal 4 6 2 3 4 3 3 2" xfId="36803"/>
    <cellStyle name="Normal 4 6 2 3 4 3 4" xfId="21353"/>
    <cellStyle name="Normal 4 6 2 3 4 3 4 2" xfId="43804"/>
    <cellStyle name="Normal 4 6 2 3 4 3 5" xfId="30171"/>
    <cellStyle name="Normal 4 6 2 3 4 4" xfId="8328"/>
    <cellStyle name="Normal 4 6 2 3 4 4 2" xfId="15040"/>
    <cellStyle name="Normal 4 6 2 3 4 4 2 2" xfId="38461"/>
    <cellStyle name="Normal 4 6 2 3 4 4 3" xfId="22112"/>
    <cellStyle name="Normal 4 6 2 3 4 4 3 2" xfId="44536"/>
    <cellStyle name="Normal 4 6 2 3 4 4 4" xfId="31829"/>
    <cellStyle name="Normal 4 6 2 3 4 5" xfId="11722"/>
    <cellStyle name="Normal 4 6 2 3 4 5 2" xfId="35145"/>
    <cellStyle name="Normal 4 6 2 3 4 6" xfId="19251"/>
    <cellStyle name="Normal 4 6 2 3 4 6 2" xfId="41804"/>
    <cellStyle name="Normal 4 6 2 3 4 7" xfId="28513"/>
    <cellStyle name="Normal 4 6 2 3 5" xfId="4049"/>
    <cellStyle name="Normal 4 6 2 3 5 2" xfId="7048"/>
    <cellStyle name="Normal 4 6 2 3 5 2 2" xfId="10380"/>
    <cellStyle name="Normal 4 6 2 3 5 2 2 2" xfId="17084"/>
    <cellStyle name="Normal 4 6 2 3 5 2 2 2 2" xfId="40505"/>
    <cellStyle name="Normal 4 6 2 3 5 2 2 3" xfId="33873"/>
    <cellStyle name="Normal 4 6 2 3 5 2 3" xfId="13768"/>
    <cellStyle name="Normal 4 6 2 3 5 2 3 2" xfId="37189"/>
    <cellStyle name="Normal 4 6 2 3 5 2 4" xfId="22524"/>
    <cellStyle name="Normal 4 6 2 3 5 2 4 2" xfId="44946"/>
    <cellStyle name="Normal 4 6 2 3 5 2 5" xfId="30557"/>
    <cellStyle name="Normal 4 6 2 3 5 3" xfId="8715"/>
    <cellStyle name="Normal 4 6 2 3 5 3 2" xfId="15426"/>
    <cellStyle name="Normal 4 6 2 3 5 3 2 2" xfId="38847"/>
    <cellStyle name="Normal 4 6 2 3 5 3 3" xfId="32215"/>
    <cellStyle name="Normal 4 6 2 3 5 4" xfId="12108"/>
    <cellStyle name="Normal 4 6 2 3 5 4 2" xfId="35531"/>
    <cellStyle name="Normal 4 6 2 3 5 5" xfId="19683"/>
    <cellStyle name="Normal 4 6 2 3 5 5 2" xfId="42220"/>
    <cellStyle name="Normal 4 6 2 3 5 6" xfId="28899"/>
    <cellStyle name="Normal 4 6 2 3 6" xfId="6189"/>
    <cellStyle name="Normal 4 6 2 3 6 2" xfId="9523"/>
    <cellStyle name="Normal 4 6 2 3 6 2 2" xfId="16227"/>
    <cellStyle name="Normal 4 6 2 3 6 2 2 2" xfId="39648"/>
    <cellStyle name="Normal 4 6 2 3 6 2 3" xfId="33016"/>
    <cellStyle name="Normal 4 6 2 3 6 3" xfId="12911"/>
    <cellStyle name="Normal 4 6 2 3 6 3 2" xfId="36332"/>
    <cellStyle name="Normal 4 6 2 3 6 4" xfId="20894"/>
    <cellStyle name="Normal 4 6 2 3 6 4 2" xfId="43345"/>
    <cellStyle name="Normal 4 6 2 3 6 5" xfId="29700"/>
    <cellStyle name="Normal 4 6 2 3 7" xfId="7855"/>
    <cellStyle name="Normal 4 6 2 3 7 2" xfId="14569"/>
    <cellStyle name="Normal 4 6 2 3 7 2 2" xfId="37990"/>
    <cellStyle name="Normal 4 6 2 3 7 3" xfId="21674"/>
    <cellStyle name="Normal 4 6 2 3 7 3 2" xfId="44123"/>
    <cellStyle name="Normal 4 6 2 3 7 4" xfId="31358"/>
    <cellStyle name="Normal 4 6 2 3 8" xfId="11251"/>
    <cellStyle name="Normal 4 6 2 3 8 2" xfId="34674"/>
    <cellStyle name="Normal 4 6 2 3 9" xfId="18064"/>
    <cellStyle name="Normal 4 6 2 3 9 2" xfId="41352"/>
    <cellStyle name="Normal 4 6 2 4" xfId="1740"/>
    <cellStyle name="Normal 4 6 2 4 10" xfId="28092"/>
    <cellStyle name="Normal 4 6 2 4 2" xfId="2323"/>
    <cellStyle name="Normal 4 6 2 4 2 2" xfId="5562"/>
    <cellStyle name="Normal 4 6 2 4 2 2 2" xfId="7385"/>
    <cellStyle name="Normal 4 6 2 4 2 2 2 2" xfId="10716"/>
    <cellStyle name="Normal 4 6 2 4 2 2 2 2 2" xfId="17420"/>
    <cellStyle name="Normal 4 6 2 4 2 2 2 2 2 2" xfId="40841"/>
    <cellStyle name="Normal 4 6 2 4 2 2 2 2 3" xfId="23136"/>
    <cellStyle name="Normal 4 6 2 4 2 2 2 2 3 2" xfId="45558"/>
    <cellStyle name="Normal 4 6 2 4 2 2 2 2 4" xfId="34209"/>
    <cellStyle name="Normal 4 6 2 4 2 2 2 3" xfId="14104"/>
    <cellStyle name="Normal 4 6 2 4 2 2 2 3 2" xfId="37525"/>
    <cellStyle name="Normal 4 6 2 4 2 2 2 4" xfId="20311"/>
    <cellStyle name="Normal 4 6 2 4 2 2 2 4 2" xfId="42846"/>
    <cellStyle name="Normal 4 6 2 4 2 2 2 5" xfId="30893"/>
    <cellStyle name="Normal 4 6 2 4 2 2 3" xfId="9058"/>
    <cellStyle name="Normal 4 6 2 4 2 2 3 2" xfId="15762"/>
    <cellStyle name="Normal 4 6 2 4 2 2 3 2 2" xfId="39183"/>
    <cellStyle name="Normal 4 6 2 4 2 2 3 3" xfId="21358"/>
    <cellStyle name="Normal 4 6 2 4 2 2 3 3 2" xfId="43809"/>
    <cellStyle name="Normal 4 6 2 4 2 2 3 4" xfId="32551"/>
    <cellStyle name="Normal 4 6 2 4 2 2 4" xfId="12446"/>
    <cellStyle name="Normal 4 6 2 4 2 2 4 2" xfId="22324"/>
    <cellStyle name="Normal 4 6 2 4 2 2 4 2 2" xfId="44746"/>
    <cellStyle name="Normal 4 6 2 4 2 2 4 3" xfId="35867"/>
    <cellStyle name="Normal 4 6 2 4 2 2 5" xfId="19472"/>
    <cellStyle name="Normal 4 6 2 4 2 2 5 2" xfId="42014"/>
    <cellStyle name="Normal 4 6 2 4 2 2 6" xfId="29235"/>
    <cellStyle name="Normal 4 6 2 4 2 3" xfId="6483"/>
    <cellStyle name="Normal 4 6 2 4 2 3 2" xfId="9817"/>
    <cellStyle name="Normal 4 6 2 4 2 3 2 2" xfId="16521"/>
    <cellStyle name="Normal 4 6 2 4 2 3 2 2 2" xfId="39942"/>
    <cellStyle name="Normal 4 6 2 4 2 3 2 3" xfId="22731"/>
    <cellStyle name="Normal 4 6 2 4 2 3 2 3 2" xfId="45153"/>
    <cellStyle name="Normal 4 6 2 4 2 3 2 4" xfId="33310"/>
    <cellStyle name="Normal 4 6 2 4 2 3 3" xfId="13205"/>
    <cellStyle name="Normal 4 6 2 4 2 3 3 2" xfId="36626"/>
    <cellStyle name="Normal 4 6 2 4 2 3 4" xfId="19895"/>
    <cellStyle name="Normal 4 6 2 4 2 3 4 2" xfId="42430"/>
    <cellStyle name="Normal 4 6 2 4 2 3 5" xfId="29994"/>
    <cellStyle name="Normal 4 6 2 4 2 4" xfId="8150"/>
    <cellStyle name="Normal 4 6 2 4 2 4 2" xfId="14863"/>
    <cellStyle name="Normal 4 6 2 4 2 4 2 2" xfId="38284"/>
    <cellStyle name="Normal 4 6 2 4 2 4 3" xfId="20899"/>
    <cellStyle name="Normal 4 6 2 4 2 4 3 2" xfId="43350"/>
    <cellStyle name="Normal 4 6 2 4 2 4 4" xfId="31652"/>
    <cellStyle name="Normal 4 6 2 4 2 5" xfId="11545"/>
    <cellStyle name="Normal 4 6 2 4 2 5 2" xfId="21900"/>
    <cellStyle name="Normal 4 6 2 4 2 5 2 2" xfId="44332"/>
    <cellStyle name="Normal 4 6 2 4 2 5 3" xfId="34968"/>
    <cellStyle name="Normal 4 6 2 4 2 6" xfId="18760"/>
    <cellStyle name="Normal 4 6 2 4 2 6 2" xfId="41589"/>
    <cellStyle name="Normal 4 6 2 4 2 7" xfId="25897"/>
    <cellStyle name="Normal 4 6 2 4 2 7 2" xfId="48142"/>
    <cellStyle name="Normal 4 6 2 4 2 8" xfId="28336"/>
    <cellStyle name="Normal 4 6 2 4 3" xfId="2737"/>
    <cellStyle name="Normal 4 6 2 4 3 2" xfId="5829"/>
    <cellStyle name="Normal 4 6 2 4 3 2 2" xfId="7611"/>
    <cellStyle name="Normal 4 6 2 4 3 2 2 2" xfId="10940"/>
    <cellStyle name="Normal 4 6 2 4 3 2 2 2 2" xfId="17644"/>
    <cellStyle name="Normal 4 6 2 4 3 2 2 2 2 2" xfId="41065"/>
    <cellStyle name="Normal 4 6 2 4 3 2 2 2 3" xfId="34433"/>
    <cellStyle name="Normal 4 6 2 4 3 2 2 3" xfId="14328"/>
    <cellStyle name="Normal 4 6 2 4 3 2 2 3 2" xfId="37749"/>
    <cellStyle name="Normal 4 6 2 4 3 2 2 4" xfId="22931"/>
    <cellStyle name="Normal 4 6 2 4 3 2 2 4 2" xfId="45353"/>
    <cellStyle name="Normal 4 6 2 4 3 2 2 5" xfId="31117"/>
    <cellStyle name="Normal 4 6 2 4 3 2 3" xfId="9282"/>
    <cellStyle name="Normal 4 6 2 4 3 2 3 2" xfId="15986"/>
    <cellStyle name="Normal 4 6 2 4 3 2 3 2 2" xfId="39407"/>
    <cellStyle name="Normal 4 6 2 4 3 2 3 3" xfId="32775"/>
    <cellStyle name="Normal 4 6 2 4 3 2 4" xfId="12670"/>
    <cellStyle name="Normal 4 6 2 4 3 2 4 2" xfId="36091"/>
    <cellStyle name="Normal 4 6 2 4 3 2 5" xfId="20103"/>
    <cellStyle name="Normal 4 6 2 4 3 2 5 2" xfId="42638"/>
    <cellStyle name="Normal 4 6 2 4 3 2 6" xfId="29459"/>
    <cellStyle name="Normal 4 6 2 4 3 3" xfId="6712"/>
    <cellStyle name="Normal 4 6 2 4 3 3 2" xfId="10044"/>
    <cellStyle name="Normal 4 6 2 4 3 3 2 2" xfId="16748"/>
    <cellStyle name="Normal 4 6 2 4 3 3 2 2 2" xfId="40169"/>
    <cellStyle name="Normal 4 6 2 4 3 3 2 3" xfId="33537"/>
    <cellStyle name="Normal 4 6 2 4 3 3 3" xfId="13432"/>
    <cellStyle name="Normal 4 6 2 4 3 3 3 2" xfId="36853"/>
    <cellStyle name="Normal 4 6 2 4 3 3 4" xfId="21357"/>
    <cellStyle name="Normal 4 6 2 4 3 3 4 2" xfId="43808"/>
    <cellStyle name="Normal 4 6 2 4 3 3 5" xfId="30221"/>
    <cellStyle name="Normal 4 6 2 4 3 4" xfId="8378"/>
    <cellStyle name="Normal 4 6 2 4 3 4 2" xfId="15090"/>
    <cellStyle name="Normal 4 6 2 4 3 4 2 2" xfId="38511"/>
    <cellStyle name="Normal 4 6 2 4 3 4 3" xfId="22114"/>
    <cellStyle name="Normal 4 6 2 4 3 4 3 2" xfId="44538"/>
    <cellStyle name="Normal 4 6 2 4 3 4 4" xfId="31879"/>
    <cellStyle name="Normal 4 6 2 4 3 5" xfId="11772"/>
    <cellStyle name="Normal 4 6 2 4 3 5 2" xfId="35195"/>
    <cellStyle name="Normal 4 6 2 4 3 6" xfId="19253"/>
    <cellStyle name="Normal 4 6 2 4 3 6 2" xfId="41806"/>
    <cellStyle name="Normal 4 6 2 4 3 7" xfId="28563"/>
    <cellStyle name="Normal 4 6 2 4 4" xfId="4051"/>
    <cellStyle name="Normal 4 6 2 4 4 2" xfId="7050"/>
    <cellStyle name="Normal 4 6 2 4 4 2 2" xfId="10382"/>
    <cellStyle name="Normal 4 6 2 4 4 2 2 2" xfId="17086"/>
    <cellStyle name="Normal 4 6 2 4 4 2 2 2 2" xfId="40507"/>
    <cellStyle name="Normal 4 6 2 4 4 2 2 3" xfId="33875"/>
    <cellStyle name="Normal 4 6 2 4 4 2 3" xfId="13770"/>
    <cellStyle name="Normal 4 6 2 4 4 2 3 2" xfId="37191"/>
    <cellStyle name="Normal 4 6 2 4 4 2 4" xfId="22526"/>
    <cellStyle name="Normal 4 6 2 4 4 2 4 2" xfId="44948"/>
    <cellStyle name="Normal 4 6 2 4 4 2 5" xfId="30559"/>
    <cellStyle name="Normal 4 6 2 4 4 3" xfId="8717"/>
    <cellStyle name="Normal 4 6 2 4 4 3 2" xfId="15428"/>
    <cellStyle name="Normal 4 6 2 4 4 3 2 2" xfId="38849"/>
    <cellStyle name="Normal 4 6 2 4 4 3 3" xfId="32217"/>
    <cellStyle name="Normal 4 6 2 4 4 4" xfId="12110"/>
    <cellStyle name="Normal 4 6 2 4 4 4 2" xfId="35533"/>
    <cellStyle name="Normal 4 6 2 4 4 5" xfId="19685"/>
    <cellStyle name="Normal 4 6 2 4 4 5 2" xfId="42222"/>
    <cellStyle name="Normal 4 6 2 4 4 6" xfId="28901"/>
    <cellStyle name="Normal 4 6 2 4 5" xfId="6239"/>
    <cellStyle name="Normal 4 6 2 4 5 2" xfId="9573"/>
    <cellStyle name="Normal 4 6 2 4 5 2 2" xfId="16277"/>
    <cellStyle name="Normal 4 6 2 4 5 2 2 2" xfId="39698"/>
    <cellStyle name="Normal 4 6 2 4 5 2 3" xfId="33066"/>
    <cellStyle name="Normal 4 6 2 4 5 3" xfId="12961"/>
    <cellStyle name="Normal 4 6 2 4 5 3 2" xfId="36382"/>
    <cellStyle name="Normal 4 6 2 4 5 4" xfId="20898"/>
    <cellStyle name="Normal 4 6 2 4 5 4 2" xfId="43349"/>
    <cellStyle name="Normal 4 6 2 4 5 5" xfId="29750"/>
    <cellStyle name="Normal 4 6 2 4 6" xfId="7905"/>
    <cellStyle name="Normal 4 6 2 4 6 2" xfId="14619"/>
    <cellStyle name="Normal 4 6 2 4 6 2 2" xfId="38040"/>
    <cellStyle name="Normal 4 6 2 4 6 3" xfId="21676"/>
    <cellStyle name="Normal 4 6 2 4 6 3 2" xfId="44125"/>
    <cellStyle name="Normal 4 6 2 4 6 4" xfId="31408"/>
    <cellStyle name="Normal 4 6 2 4 7" xfId="11301"/>
    <cellStyle name="Normal 4 6 2 4 7 2" xfId="34724"/>
    <cellStyle name="Normal 4 6 2 4 8" xfId="18066"/>
    <cellStyle name="Normal 4 6 2 4 8 2" xfId="41354"/>
    <cellStyle name="Normal 4 6 2 4 9" xfId="23666"/>
    <cellStyle name="Normal 4 6 2 4 9 2" xfId="45955"/>
    <cellStyle name="Normal 4 6 2 5" xfId="2316"/>
    <cellStyle name="Normal 4 6 2 5 2" xfId="5555"/>
    <cellStyle name="Normal 4 6 2 5 2 2" xfId="7378"/>
    <cellStyle name="Normal 4 6 2 5 2 2 2" xfId="10709"/>
    <cellStyle name="Normal 4 6 2 5 2 2 2 2" xfId="17413"/>
    <cellStyle name="Normal 4 6 2 5 2 2 2 2 2" xfId="40834"/>
    <cellStyle name="Normal 4 6 2 5 2 2 2 3" xfId="23129"/>
    <cellStyle name="Normal 4 6 2 5 2 2 2 3 2" xfId="45551"/>
    <cellStyle name="Normal 4 6 2 5 2 2 2 4" xfId="34202"/>
    <cellStyle name="Normal 4 6 2 5 2 2 3" xfId="14097"/>
    <cellStyle name="Normal 4 6 2 5 2 2 3 2" xfId="37518"/>
    <cellStyle name="Normal 4 6 2 5 2 2 4" xfId="20304"/>
    <cellStyle name="Normal 4 6 2 5 2 2 4 2" xfId="42839"/>
    <cellStyle name="Normal 4 6 2 5 2 2 5" xfId="30886"/>
    <cellStyle name="Normal 4 6 2 5 2 3" xfId="9051"/>
    <cellStyle name="Normal 4 6 2 5 2 3 2" xfId="15755"/>
    <cellStyle name="Normal 4 6 2 5 2 3 2 2" xfId="39176"/>
    <cellStyle name="Normal 4 6 2 5 2 3 3" xfId="21359"/>
    <cellStyle name="Normal 4 6 2 5 2 3 3 2" xfId="43810"/>
    <cellStyle name="Normal 4 6 2 5 2 3 4" xfId="32544"/>
    <cellStyle name="Normal 4 6 2 5 2 4" xfId="12439"/>
    <cellStyle name="Normal 4 6 2 5 2 4 2" xfId="22317"/>
    <cellStyle name="Normal 4 6 2 5 2 4 2 2" xfId="44739"/>
    <cellStyle name="Normal 4 6 2 5 2 4 3" xfId="35860"/>
    <cellStyle name="Normal 4 6 2 5 2 5" xfId="19465"/>
    <cellStyle name="Normal 4 6 2 5 2 5 2" xfId="42007"/>
    <cellStyle name="Normal 4 6 2 5 2 6" xfId="29228"/>
    <cellStyle name="Normal 4 6 2 5 3" xfId="6476"/>
    <cellStyle name="Normal 4 6 2 5 3 2" xfId="9810"/>
    <cellStyle name="Normal 4 6 2 5 3 2 2" xfId="16514"/>
    <cellStyle name="Normal 4 6 2 5 3 2 2 2" xfId="39935"/>
    <cellStyle name="Normal 4 6 2 5 3 2 3" xfId="22724"/>
    <cellStyle name="Normal 4 6 2 5 3 2 3 2" xfId="45146"/>
    <cellStyle name="Normal 4 6 2 5 3 2 4" xfId="33303"/>
    <cellStyle name="Normal 4 6 2 5 3 3" xfId="13198"/>
    <cellStyle name="Normal 4 6 2 5 3 3 2" xfId="36619"/>
    <cellStyle name="Normal 4 6 2 5 3 4" xfId="19888"/>
    <cellStyle name="Normal 4 6 2 5 3 4 2" xfId="42423"/>
    <cellStyle name="Normal 4 6 2 5 3 5" xfId="29987"/>
    <cellStyle name="Normal 4 6 2 5 4" xfId="8143"/>
    <cellStyle name="Normal 4 6 2 5 4 2" xfId="14856"/>
    <cellStyle name="Normal 4 6 2 5 4 2 2" xfId="38277"/>
    <cellStyle name="Normal 4 6 2 5 4 3" xfId="20900"/>
    <cellStyle name="Normal 4 6 2 5 4 3 2" xfId="43351"/>
    <cellStyle name="Normal 4 6 2 5 4 4" xfId="31645"/>
    <cellStyle name="Normal 4 6 2 5 5" xfId="11538"/>
    <cellStyle name="Normal 4 6 2 5 5 2" xfId="21893"/>
    <cellStyle name="Normal 4 6 2 5 5 2 2" xfId="44325"/>
    <cellStyle name="Normal 4 6 2 5 5 3" xfId="34961"/>
    <cellStyle name="Normal 4 6 2 5 6" xfId="18753"/>
    <cellStyle name="Normal 4 6 2 5 6 2" xfId="41582"/>
    <cellStyle name="Normal 4 6 2 5 7" xfId="25890"/>
    <cellStyle name="Normal 4 6 2 5 7 2" xfId="48135"/>
    <cellStyle name="Normal 4 6 2 5 8" xfId="28329"/>
    <cellStyle name="Normal 4 6 2 6" xfId="2605"/>
    <cellStyle name="Normal 4 6 2 6 2" xfId="5698"/>
    <cellStyle name="Normal 4 6 2 6 2 2" xfId="7480"/>
    <cellStyle name="Normal 4 6 2 6 2 2 2" xfId="10809"/>
    <cellStyle name="Normal 4 6 2 6 2 2 2 2" xfId="17513"/>
    <cellStyle name="Normal 4 6 2 6 2 2 2 2 2" xfId="40934"/>
    <cellStyle name="Normal 4 6 2 6 2 2 2 3" xfId="34302"/>
    <cellStyle name="Normal 4 6 2 6 2 2 3" xfId="14197"/>
    <cellStyle name="Normal 4 6 2 6 2 2 3 2" xfId="37618"/>
    <cellStyle name="Normal 4 6 2 6 2 2 4" xfId="20600"/>
    <cellStyle name="Normal 4 6 2 6 2 2 4 2" xfId="43051"/>
    <cellStyle name="Normal 4 6 2 6 2 2 5" xfId="30986"/>
    <cellStyle name="Normal 4 6 2 6 2 3" xfId="9151"/>
    <cellStyle name="Normal 4 6 2 6 2 3 2" xfId="15855"/>
    <cellStyle name="Normal 4 6 2 6 2 3 2 2" xfId="39276"/>
    <cellStyle name="Normal 4 6 2 6 2 3 3" xfId="21518"/>
    <cellStyle name="Normal 4 6 2 6 2 3 3 2" xfId="43969"/>
    <cellStyle name="Normal 4 6 2 6 2 3 4" xfId="32644"/>
    <cellStyle name="Normal 4 6 2 6 2 4" xfId="12539"/>
    <cellStyle name="Normal 4 6 2 6 2 4 2" xfId="22924"/>
    <cellStyle name="Normal 4 6 2 6 2 4 2 2" xfId="45346"/>
    <cellStyle name="Normal 4 6 2 6 2 4 3" xfId="35960"/>
    <cellStyle name="Normal 4 6 2 6 2 5" xfId="20096"/>
    <cellStyle name="Normal 4 6 2 6 2 5 2" xfId="42631"/>
    <cellStyle name="Normal 4 6 2 6 2 6" xfId="29328"/>
    <cellStyle name="Normal 4 6 2 6 3" xfId="6581"/>
    <cellStyle name="Normal 4 6 2 6 3 2" xfId="9913"/>
    <cellStyle name="Normal 4 6 2 6 3 2 2" xfId="16617"/>
    <cellStyle name="Normal 4 6 2 6 3 2 2 2" xfId="40038"/>
    <cellStyle name="Normal 4 6 2 6 3 2 3" xfId="33406"/>
    <cellStyle name="Normal 4 6 2 6 3 3" xfId="13301"/>
    <cellStyle name="Normal 4 6 2 6 3 3 2" xfId="36722"/>
    <cellStyle name="Normal 4 6 2 6 3 4" xfId="20502"/>
    <cellStyle name="Normal 4 6 2 6 3 4 2" xfId="42955"/>
    <cellStyle name="Normal 4 6 2 6 3 5" xfId="30090"/>
    <cellStyle name="Normal 4 6 2 6 4" xfId="8247"/>
    <cellStyle name="Normal 4 6 2 6 4 2" xfId="14959"/>
    <cellStyle name="Normal 4 6 2 6 4 2 2" xfId="38380"/>
    <cellStyle name="Normal 4 6 2 6 4 3" xfId="21059"/>
    <cellStyle name="Normal 4 6 2 6 4 3 2" xfId="43510"/>
    <cellStyle name="Normal 4 6 2 6 4 4" xfId="31748"/>
    <cellStyle name="Normal 4 6 2 6 5" xfId="11641"/>
    <cellStyle name="Normal 4 6 2 6 5 2" xfId="22107"/>
    <cellStyle name="Normal 4 6 2 6 5 2 2" xfId="44531"/>
    <cellStyle name="Normal 4 6 2 6 5 3" xfId="35064"/>
    <cellStyle name="Normal 4 6 2 6 6" xfId="19246"/>
    <cellStyle name="Normal 4 6 2 6 6 2" xfId="41799"/>
    <cellStyle name="Normal 4 6 2 6 7" xfId="28432"/>
    <cellStyle name="Normal 4 6 2 7" xfId="4044"/>
    <cellStyle name="Normal 4 6 2 7 2" xfId="7043"/>
    <cellStyle name="Normal 4 6 2 7 2 2" xfId="10375"/>
    <cellStyle name="Normal 4 6 2 7 2 2 2" xfId="17079"/>
    <cellStyle name="Normal 4 6 2 7 2 2 2 2" xfId="40500"/>
    <cellStyle name="Normal 4 6 2 7 2 2 3" xfId="33868"/>
    <cellStyle name="Normal 4 6 2 7 2 3" xfId="13763"/>
    <cellStyle name="Normal 4 6 2 7 2 3 2" xfId="37184"/>
    <cellStyle name="Normal 4 6 2 7 2 4" xfId="20552"/>
    <cellStyle name="Normal 4 6 2 7 2 4 2" xfId="43003"/>
    <cellStyle name="Normal 4 6 2 7 2 5" xfId="30552"/>
    <cellStyle name="Normal 4 6 2 7 3" xfId="8710"/>
    <cellStyle name="Normal 4 6 2 7 3 2" xfId="15421"/>
    <cellStyle name="Normal 4 6 2 7 3 2 2" xfId="38842"/>
    <cellStyle name="Normal 4 6 2 7 3 3" xfId="21344"/>
    <cellStyle name="Normal 4 6 2 7 3 3 2" xfId="43795"/>
    <cellStyle name="Normal 4 6 2 7 3 4" xfId="32210"/>
    <cellStyle name="Normal 4 6 2 7 4" xfId="12103"/>
    <cellStyle name="Normal 4 6 2 7 4 2" xfId="22519"/>
    <cellStyle name="Normal 4 6 2 7 4 2 2" xfId="44941"/>
    <cellStyle name="Normal 4 6 2 7 4 3" xfId="35526"/>
    <cellStyle name="Normal 4 6 2 7 5" xfId="19678"/>
    <cellStyle name="Normal 4 6 2 7 5 2" xfId="42215"/>
    <cellStyle name="Normal 4 6 2 7 6" xfId="28894"/>
    <cellStyle name="Normal 4 6 2 8" xfId="6108"/>
    <cellStyle name="Normal 4 6 2 8 2" xfId="9442"/>
    <cellStyle name="Normal 4 6 2 8 2 2" xfId="16146"/>
    <cellStyle name="Normal 4 6 2 8 2 2 2" xfId="39567"/>
    <cellStyle name="Normal 4 6 2 8 2 3" xfId="32935"/>
    <cellStyle name="Normal 4 6 2 8 3" xfId="12830"/>
    <cellStyle name="Normal 4 6 2 8 3 2" xfId="36251"/>
    <cellStyle name="Normal 4 6 2 8 4" xfId="18391"/>
    <cellStyle name="Normal 4 6 2 8 4 2" xfId="41442"/>
    <cellStyle name="Normal 4 6 2 8 5" xfId="29619"/>
    <cellStyle name="Normal 4 6 2 9" xfId="7774"/>
    <cellStyle name="Normal 4 6 2 9 2" xfId="14488"/>
    <cellStyle name="Normal 4 6 2 9 2 2" xfId="37909"/>
    <cellStyle name="Normal 4 6 2 9 3" xfId="20885"/>
    <cellStyle name="Normal 4 6 2 9 3 2" xfId="43336"/>
    <cellStyle name="Normal 4 6 2 9 4" xfId="31277"/>
    <cellStyle name="Normal 4 6 3" xfId="1433"/>
    <cellStyle name="Normal 4 6 3 10" xfId="18067"/>
    <cellStyle name="Normal 4 6 3 10 2" xfId="41355"/>
    <cellStyle name="Normal 4 6 3 11" xfId="23667"/>
    <cellStyle name="Normal 4 6 3 11 2" xfId="45956"/>
    <cellStyle name="Normal 4 6 3 12" xfId="27969"/>
    <cellStyle name="Normal 4 6 3 2" xfId="1625"/>
    <cellStyle name="Normal 4 6 3 2 10" xfId="23668"/>
    <cellStyle name="Normal 4 6 3 2 10 2" xfId="45957"/>
    <cellStyle name="Normal 4 6 3 2 11" xfId="28044"/>
    <cellStyle name="Normal 4 6 3 2 2" xfId="1823"/>
    <cellStyle name="Normal 4 6 3 2 2 10" xfId="28175"/>
    <cellStyle name="Normal 4 6 3 2 2 2" xfId="2326"/>
    <cellStyle name="Normal 4 6 3 2 2 2 2" xfId="5565"/>
    <cellStyle name="Normal 4 6 3 2 2 2 2 2" xfId="7388"/>
    <cellStyle name="Normal 4 6 3 2 2 2 2 2 2" xfId="10719"/>
    <cellStyle name="Normal 4 6 3 2 2 2 2 2 2 2" xfId="17423"/>
    <cellStyle name="Normal 4 6 3 2 2 2 2 2 2 2 2" xfId="40844"/>
    <cellStyle name="Normal 4 6 3 2 2 2 2 2 2 3" xfId="23139"/>
    <cellStyle name="Normal 4 6 3 2 2 2 2 2 2 3 2" xfId="45561"/>
    <cellStyle name="Normal 4 6 3 2 2 2 2 2 2 4" xfId="34212"/>
    <cellStyle name="Normal 4 6 3 2 2 2 2 2 3" xfId="14107"/>
    <cellStyle name="Normal 4 6 3 2 2 2 2 2 3 2" xfId="37528"/>
    <cellStyle name="Normal 4 6 3 2 2 2 2 2 4" xfId="20314"/>
    <cellStyle name="Normal 4 6 3 2 2 2 2 2 4 2" xfId="42849"/>
    <cellStyle name="Normal 4 6 3 2 2 2 2 2 5" xfId="30896"/>
    <cellStyle name="Normal 4 6 3 2 2 2 2 3" xfId="9061"/>
    <cellStyle name="Normal 4 6 3 2 2 2 2 3 2" xfId="15765"/>
    <cellStyle name="Normal 4 6 3 2 2 2 2 3 2 2" xfId="39186"/>
    <cellStyle name="Normal 4 6 3 2 2 2 2 3 3" xfId="21363"/>
    <cellStyle name="Normal 4 6 3 2 2 2 2 3 3 2" xfId="43814"/>
    <cellStyle name="Normal 4 6 3 2 2 2 2 3 4" xfId="32554"/>
    <cellStyle name="Normal 4 6 3 2 2 2 2 4" xfId="12449"/>
    <cellStyle name="Normal 4 6 3 2 2 2 2 4 2" xfId="22327"/>
    <cellStyle name="Normal 4 6 3 2 2 2 2 4 2 2" xfId="44749"/>
    <cellStyle name="Normal 4 6 3 2 2 2 2 4 3" xfId="35870"/>
    <cellStyle name="Normal 4 6 3 2 2 2 2 5" xfId="19475"/>
    <cellStyle name="Normal 4 6 3 2 2 2 2 5 2" xfId="42017"/>
    <cellStyle name="Normal 4 6 3 2 2 2 2 6" xfId="29238"/>
    <cellStyle name="Normal 4 6 3 2 2 2 3" xfId="6486"/>
    <cellStyle name="Normal 4 6 3 2 2 2 3 2" xfId="9820"/>
    <cellStyle name="Normal 4 6 3 2 2 2 3 2 2" xfId="16524"/>
    <cellStyle name="Normal 4 6 3 2 2 2 3 2 2 2" xfId="39945"/>
    <cellStyle name="Normal 4 6 3 2 2 2 3 2 3" xfId="22734"/>
    <cellStyle name="Normal 4 6 3 2 2 2 3 2 3 2" xfId="45156"/>
    <cellStyle name="Normal 4 6 3 2 2 2 3 2 4" xfId="33313"/>
    <cellStyle name="Normal 4 6 3 2 2 2 3 3" xfId="13208"/>
    <cellStyle name="Normal 4 6 3 2 2 2 3 3 2" xfId="36629"/>
    <cellStyle name="Normal 4 6 3 2 2 2 3 4" xfId="19898"/>
    <cellStyle name="Normal 4 6 3 2 2 2 3 4 2" xfId="42433"/>
    <cellStyle name="Normal 4 6 3 2 2 2 3 5" xfId="29997"/>
    <cellStyle name="Normal 4 6 3 2 2 2 4" xfId="8153"/>
    <cellStyle name="Normal 4 6 3 2 2 2 4 2" xfId="14866"/>
    <cellStyle name="Normal 4 6 3 2 2 2 4 2 2" xfId="38287"/>
    <cellStyle name="Normal 4 6 3 2 2 2 4 3" xfId="20904"/>
    <cellStyle name="Normal 4 6 3 2 2 2 4 3 2" xfId="43355"/>
    <cellStyle name="Normal 4 6 3 2 2 2 4 4" xfId="31655"/>
    <cellStyle name="Normal 4 6 3 2 2 2 5" xfId="11548"/>
    <cellStyle name="Normal 4 6 3 2 2 2 5 2" xfId="21903"/>
    <cellStyle name="Normal 4 6 3 2 2 2 5 2 2" xfId="44335"/>
    <cellStyle name="Normal 4 6 3 2 2 2 5 3" xfId="34971"/>
    <cellStyle name="Normal 4 6 3 2 2 2 6" xfId="18763"/>
    <cellStyle name="Normal 4 6 3 2 2 2 6 2" xfId="41592"/>
    <cellStyle name="Normal 4 6 3 2 2 2 7" xfId="25900"/>
    <cellStyle name="Normal 4 6 3 2 2 2 7 2" xfId="48145"/>
    <cellStyle name="Normal 4 6 3 2 2 2 8" xfId="28339"/>
    <cellStyle name="Normal 4 6 3 2 2 3" xfId="2820"/>
    <cellStyle name="Normal 4 6 3 2 2 3 2" xfId="5912"/>
    <cellStyle name="Normal 4 6 3 2 2 3 2 2" xfId="7694"/>
    <cellStyle name="Normal 4 6 3 2 2 3 2 2 2" xfId="11023"/>
    <cellStyle name="Normal 4 6 3 2 2 3 2 2 2 2" xfId="17727"/>
    <cellStyle name="Normal 4 6 3 2 2 3 2 2 2 2 2" xfId="41148"/>
    <cellStyle name="Normal 4 6 3 2 2 3 2 2 2 3" xfId="34516"/>
    <cellStyle name="Normal 4 6 3 2 2 3 2 2 3" xfId="14411"/>
    <cellStyle name="Normal 4 6 3 2 2 3 2 2 3 2" xfId="37832"/>
    <cellStyle name="Normal 4 6 3 2 2 3 2 2 4" xfId="22934"/>
    <cellStyle name="Normal 4 6 3 2 2 3 2 2 4 2" xfId="45356"/>
    <cellStyle name="Normal 4 6 3 2 2 3 2 2 5" xfId="31200"/>
    <cellStyle name="Normal 4 6 3 2 2 3 2 3" xfId="9365"/>
    <cellStyle name="Normal 4 6 3 2 2 3 2 3 2" xfId="16069"/>
    <cellStyle name="Normal 4 6 3 2 2 3 2 3 2 2" xfId="39490"/>
    <cellStyle name="Normal 4 6 3 2 2 3 2 3 3" xfId="32858"/>
    <cellStyle name="Normal 4 6 3 2 2 3 2 4" xfId="12753"/>
    <cellStyle name="Normal 4 6 3 2 2 3 2 4 2" xfId="36174"/>
    <cellStyle name="Normal 4 6 3 2 2 3 2 5" xfId="20106"/>
    <cellStyle name="Normal 4 6 3 2 2 3 2 5 2" xfId="42641"/>
    <cellStyle name="Normal 4 6 3 2 2 3 2 6" xfId="29542"/>
    <cellStyle name="Normal 4 6 3 2 2 3 3" xfId="6795"/>
    <cellStyle name="Normal 4 6 3 2 2 3 3 2" xfId="10127"/>
    <cellStyle name="Normal 4 6 3 2 2 3 3 2 2" xfId="16831"/>
    <cellStyle name="Normal 4 6 3 2 2 3 3 2 2 2" xfId="40252"/>
    <cellStyle name="Normal 4 6 3 2 2 3 3 2 3" xfId="33620"/>
    <cellStyle name="Normal 4 6 3 2 2 3 3 3" xfId="13515"/>
    <cellStyle name="Normal 4 6 3 2 2 3 3 3 2" xfId="36936"/>
    <cellStyle name="Normal 4 6 3 2 2 3 3 4" xfId="21362"/>
    <cellStyle name="Normal 4 6 3 2 2 3 3 4 2" xfId="43813"/>
    <cellStyle name="Normal 4 6 3 2 2 3 3 5" xfId="30304"/>
    <cellStyle name="Normal 4 6 3 2 2 3 4" xfId="8461"/>
    <cellStyle name="Normal 4 6 3 2 2 3 4 2" xfId="15173"/>
    <cellStyle name="Normal 4 6 3 2 2 3 4 2 2" xfId="38594"/>
    <cellStyle name="Normal 4 6 3 2 2 3 4 3" xfId="22117"/>
    <cellStyle name="Normal 4 6 3 2 2 3 4 3 2" xfId="44541"/>
    <cellStyle name="Normal 4 6 3 2 2 3 4 4" xfId="31962"/>
    <cellStyle name="Normal 4 6 3 2 2 3 5" xfId="11855"/>
    <cellStyle name="Normal 4 6 3 2 2 3 5 2" xfId="35278"/>
    <cellStyle name="Normal 4 6 3 2 2 3 6" xfId="19256"/>
    <cellStyle name="Normal 4 6 3 2 2 3 6 2" xfId="41809"/>
    <cellStyle name="Normal 4 6 3 2 2 3 7" xfId="28646"/>
    <cellStyle name="Normal 4 6 3 2 2 4" xfId="4054"/>
    <cellStyle name="Normal 4 6 3 2 2 4 2" xfId="7053"/>
    <cellStyle name="Normal 4 6 3 2 2 4 2 2" xfId="10385"/>
    <cellStyle name="Normal 4 6 3 2 2 4 2 2 2" xfId="17089"/>
    <cellStyle name="Normal 4 6 3 2 2 4 2 2 2 2" xfId="40510"/>
    <cellStyle name="Normal 4 6 3 2 2 4 2 2 3" xfId="33878"/>
    <cellStyle name="Normal 4 6 3 2 2 4 2 3" xfId="13773"/>
    <cellStyle name="Normal 4 6 3 2 2 4 2 3 2" xfId="37194"/>
    <cellStyle name="Normal 4 6 3 2 2 4 2 4" xfId="22529"/>
    <cellStyle name="Normal 4 6 3 2 2 4 2 4 2" xfId="44951"/>
    <cellStyle name="Normal 4 6 3 2 2 4 2 5" xfId="30562"/>
    <cellStyle name="Normal 4 6 3 2 2 4 3" xfId="8720"/>
    <cellStyle name="Normal 4 6 3 2 2 4 3 2" xfId="15431"/>
    <cellStyle name="Normal 4 6 3 2 2 4 3 2 2" xfId="38852"/>
    <cellStyle name="Normal 4 6 3 2 2 4 3 3" xfId="32220"/>
    <cellStyle name="Normal 4 6 3 2 2 4 4" xfId="12113"/>
    <cellStyle name="Normal 4 6 3 2 2 4 4 2" xfId="35536"/>
    <cellStyle name="Normal 4 6 3 2 2 4 5" xfId="19688"/>
    <cellStyle name="Normal 4 6 3 2 2 4 5 2" xfId="42225"/>
    <cellStyle name="Normal 4 6 3 2 2 4 6" xfId="28904"/>
    <cellStyle name="Normal 4 6 3 2 2 5" xfId="6322"/>
    <cellStyle name="Normal 4 6 3 2 2 5 2" xfId="9656"/>
    <cellStyle name="Normal 4 6 3 2 2 5 2 2" xfId="16360"/>
    <cellStyle name="Normal 4 6 3 2 2 5 2 2 2" xfId="39781"/>
    <cellStyle name="Normal 4 6 3 2 2 5 2 3" xfId="33149"/>
    <cellStyle name="Normal 4 6 3 2 2 5 3" xfId="13044"/>
    <cellStyle name="Normal 4 6 3 2 2 5 3 2" xfId="36465"/>
    <cellStyle name="Normal 4 6 3 2 2 5 4" xfId="20903"/>
    <cellStyle name="Normal 4 6 3 2 2 5 4 2" xfId="43354"/>
    <cellStyle name="Normal 4 6 3 2 2 5 5" xfId="29833"/>
    <cellStyle name="Normal 4 6 3 2 2 6" xfId="7988"/>
    <cellStyle name="Normal 4 6 3 2 2 6 2" xfId="14702"/>
    <cellStyle name="Normal 4 6 3 2 2 6 2 2" xfId="38123"/>
    <cellStyle name="Normal 4 6 3 2 2 6 3" xfId="21679"/>
    <cellStyle name="Normal 4 6 3 2 2 6 3 2" xfId="44128"/>
    <cellStyle name="Normal 4 6 3 2 2 6 4" xfId="31491"/>
    <cellStyle name="Normal 4 6 3 2 2 7" xfId="11384"/>
    <cellStyle name="Normal 4 6 3 2 2 7 2" xfId="34807"/>
    <cellStyle name="Normal 4 6 3 2 2 8" xfId="18069"/>
    <cellStyle name="Normal 4 6 3 2 2 8 2" xfId="41357"/>
    <cellStyle name="Normal 4 6 3 2 2 9" xfId="23669"/>
    <cellStyle name="Normal 4 6 3 2 2 9 2" xfId="45958"/>
    <cellStyle name="Normal 4 6 3 2 3" xfId="2325"/>
    <cellStyle name="Normal 4 6 3 2 3 2" xfId="5564"/>
    <cellStyle name="Normal 4 6 3 2 3 2 2" xfId="7387"/>
    <cellStyle name="Normal 4 6 3 2 3 2 2 2" xfId="10718"/>
    <cellStyle name="Normal 4 6 3 2 3 2 2 2 2" xfId="17422"/>
    <cellStyle name="Normal 4 6 3 2 3 2 2 2 2 2" xfId="40843"/>
    <cellStyle name="Normal 4 6 3 2 3 2 2 2 3" xfId="23138"/>
    <cellStyle name="Normal 4 6 3 2 3 2 2 2 3 2" xfId="45560"/>
    <cellStyle name="Normal 4 6 3 2 3 2 2 2 4" xfId="34211"/>
    <cellStyle name="Normal 4 6 3 2 3 2 2 3" xfId="14106"/>
    <cellStyle name="Normal 4 6 3 2 3 2 2 3 2" xfId="37527"/>
    <cellStyle name="Normal 4 6 3 2 3 2 2 4" xfId="20313"/>
    <cellStyle name="Normal 4 6 3 2 3 2 2 4 2" xfId="42848"/>
    <cellStyle name="Normal 4 6 3 2 3 2 2 5" xfId="30895"/>
    <cellStyle name="Normal 4 6 3 2 3 2 3" xfId="9060"/>
    <cellStyle name="Normal 4 6 3 2 3 2 3 2" xfId="15764"/>
    <cellStyle name="Normal 4 6 3 2 3 2 3 2 2" xfId="39185"/>
    <cellStyle name="Normal 4 6 3 2 3 2 3 3" xfId="21364"/>
    <cellStyle name="Normal 4 6 3 2 3 2 3 3 2" xfId="43815"/>
    <cellStyle name="Normal 4 6 3 2 3 2 3 4" xfId="32553"/>
    <cellStyle name="Normal 4 6 3 2 3 2 4" xfId="12448"/>
    <cellStyle name="Normal 4 6 3 2 3 2 4 2" xfId="22326"/>
    <cellStyle name="Normal 4 6 3 2 3 2 4 2 2" xfId="44748"/>
    <cellStyle name="Normal 4 6 3 2 3 2 4 3" xfId="35869"/>
    <cellStyle name="Normal 4 6 3 2 3 2 5" xfId="19474"/>
    <cellStyle name="Normal 4 6 3 2 3 2 5 2" xfId="42016"/>
    <cellStyle name="Normal 4 6 3 2 3 2 6" xfId="29237"/>
    <cellStyle name="Normal 4 6 3 2 3 3" xfId="6485"/>
    <cellStyle name="Normal 4 6 3 2 3 3 2" xfId="9819"/>
    <cellStyle name="Normal 4 6 3 2 3 3 2 2" xfId="16523"/>
    <cellStyle name="Normal 4 6 3 2 3 3 2 2 2" xfId="39944"/>
    <cellStyle name="Normal 4 6 3 2 3 3 2 3" xfId="22733"/>
    <cellStyle name="Normal 4 6 3 2 3 3 2 3 2" xfId="45155"/>
    <cellStyle name="Normal 4 6 3 2 3 3 2 4" xfId="33312"/>
    <cellStyle name="Normal 4 6 3 2 3 3 3" xfId="13207"/>
    <cellStyle name="Normal 4 6 3 2 3 3 3 2" xfId="36628"/>
    <cellStyle name="Normal 4 6 3 2 3 3 4" xfId="19897"/>
    <cellStyle name="Normal 4 6 3 2 3 3 4 2" xfId="42432"/>
    <cellStyle name="Normal 4 6 3 2 3 3 5" xfId="29996"/>
    <cellStyle name="Normal 4 6 3 2 3 4" xfId="8152"/>
    <cellStyle name="Normal 4 6 3 2 3 4 2" xfId="14865"/>
    <cellStyle name="Normal 4 6 3 2 3 4 2 2" xfId="38286"/>
    <cellStyle name="Normal 4 6 3 2 3 4 3" xfId="20905"/>
    <cellStyle name="Normal 4 6 3 2 3 4 3 2" xfId="43356"/>
    <cellStyle name="Normal 4 6 3 2 3 4 4" xfId="31654"/>
    <cellStyle name="Normal 4 6 3 2 3 5" xfId="11547"/>
    <cellStyle name="Normal 4 6 3 2 3 5 2" xfId="21902"/>
    <cellStyle name="Normal 4 6 3 2 3 5 2 2" xfId="44334"/>
    <cellStyle name="Normal 4 6 3 2 3 5 3" xfId="34970"/>
    <cellStyle name="Normal 4 6 3 2 3 6" xfId="18762"/>
    <cellStyle name="Normal 4 6 3 2 3 6 2" xfId="41591"/>
    <cellStyle name="Normal 4 6 3 2 3 7" xfId="25899"/>
    <cellStyle name="Normal 4 6 3 2 3 7 2" xfId="48144"/>
    <cellStyle name="Normal 4 6 3 2 3 8" xfId="28338"/>
    <cellStyle name="Normal 4 6 3 2 4" xfId="2688"/>
    <cellStyle name="Normal 4 6 3 2 4 2" xfId="5781"/>
    <cellStyle name="Normal 4 6 3 2 4 2 2" xfId="7563"/>
    <cellStyle name="Normal 4 6 3 2 4 2 2 2" xfId="10892"/>
    <cellStyle name="Normal 4 6 3 2 4 2 2 2 2" xfId="17596"/>
    <cellStyle name="Normal 4 6 3 2 4 2 2 2 2 2" xfId="41017"/>
    <cellStyle name="Normal 4 6 3 2 4 2 2 2 3" xfId="34385"/>
    <cellStyle name="Normal 4 6 3 2 4 2 2 3" xfId="14280"/>
    <cellStyle name="Normal 4 6 3 2 4 2 2 3 2" xfId="37701"/>
    <cellStyle name="Normal 4 6 3 2 4 2 2 4" xfId="22933"/>
    <cellStyle name="Normal 4 6 3 2 4 2 2 4 2" xfId="45355"/>
    <cellStyle name="Normal 4 6 3 2 4 2 2 5" xfId="31069"/>
    <cellStyle name="Normal 4 6 3 2 4 2 3" xfId="9234"/>
    <cellStyle name="Normal 4 6 3 2 4 2 3 2" xfId="15938"/>
    <cellStyle name="Normal 4 6 3 2 4 2 3 2 2" xfId="39359"/>
    <cellStyle name="Normal 4 6 3 2 4 2 3 3" xfId="32727"/>
    <cellStyle name="Normal 4 6 3 2 4 2 4" xfId="12622"/>
    <cellStyle name="Normal 4 6 3 2 4 2 4 2" xfId="36043"/>
    <cellStyle name="Normal 4 6 3 2 4 2 5" xfId="20105"/>
    <cellStyle name="Normal 4 6 3 2 4 2 5 2" xfId="42640"/>
    <cellStyle name="Normal 4 6 3 2 4 2 6" xfId="29411"/>
    <cellStyle name="Normal 4 6 3 2 4 3" xfId="6664"/>
    <cellStyle name="Normal 4 6 3 2 4 3 2" xfId="9996"/>
    <cellStyle name="Normal 4 6 3 2 4 3 2 2" xfId="16700"/>
    <cellStyle name="Normal 4 6 3 2 4 3 2 2 2" xfId="40121"/>
    <cellStyle name="Normal 4 6 3 2 4 3 2 3" xfId="33489"/>
    <cellStyle name="Normal 4 6 3 2 4 3 3" xfId="13384"/>
    <cellStyle name="Normal 4 6 3 2 4 3 3 2" xfId="36805"/>
    <cellStyle name="Normal 4 6 3 2 4 3 4" xfId="21361"/>
    <cellStyle name="Normal 4 6 3 2 4 3 4 2" xfId="43812"/>
    <cellStyle name="Normal 4 6 3 2 4 3 5" xfId="30173"/>
    <cellStyle name="Normal 4 6 3 2 4 4" xfId="8330"/>
    <cellStyle name="Normal 4 6 3 2 4 4 2" xfId="15042"/>
    <cellStyle name="Normal 4 6 3 2 4 4 2 2" xfId="38463"/>
    <cellStyle name="Normal 4 6 3 2 4 4 3" xfId="22116"/>
    <cellStyle name="Normal 4 6 3 2 4 4 3 2" xfId="44540"/>
    <cellStyle name="Normal 4 6 3 2 4 4 4" xfId="31831"/>
    <cellStyle name="Normal 4 6 3 2 4 5" xfId="11724"/>
    <cellStyle name="Normal 4 6 3 2 4 5 2" xfId="35147"/>
    <cellStyle name="Normal 4 6 3 2 4 6" xfId="19255"/>
    <cellStyle name="Normal 4 6 3 2 4 6 2" xfId="41808"/>
    <cellStyle name="Normal 4 6 3 2 4 7" xfId="28515"/>
    <cellStyle name="Normal 4 6 3 2 5" xfId="4053"/>
    <cellStyle name="Normal 4 6 3 2 5 2" xfId="7052"/>
    <cellStyle name="Normal 4 6 3 2 5 2 2" xfId="10384"/>
    <cellStyle name="Normal 4 6 3 2 5 2 2 2" xfId="17088"/>
    <cellStyle name="Normal 4 6 3 2 5 2 2 2 2" xfId="40509"/>
    <cellStyle name="Normal 4 6 3 2 5 2 2 3" xfId="33877"/>
    <cellStyle name="Normal 4 6 3 2 5 2 3" xfId="13772"/>
    <cellStyle name="Normal 4 6 3 2 5 2 3 2" xfId="37193"/>
    <cellStyle name="Normal 4 6 3 2 5 2 4" xfId="22528"/>
    <cellStyle name="Normal 4 6 3 2 5 2 4 2" xfId="44950"/>
    <cellStyle name="Normal 4 6 3 2 5 2 5" xfId="30561"/>
    <cellStyle name="Normal 4 6 3 2 5 3" xfId="8719"/>
    <cellStyle name="Normal 4 6 3 2 5 3 2" xfId="15430"/>
    <cellStyle name="Normal 4 6 3 2 5 3 2 2" xfId="38851"/>
    <cellStyle name="Normal 4 6 3 2 5 3 3" xfId="32219"/>
    <cellStyle name="Normal 4 6 3 2 5 4" xfId="12112"/>
    <cellStyle name="Normal 4 6 3 2 5 4 2" xfId="35535"/>
    <cellStyle name="Normal 4 6 3 2 5 5" xfId="19687"/>
    <cellStyle name="Normal 4 6 3 2 5 5 2" xfId="42224"/>
    <cellStyle name="Normal 4 6 3 2 5 6" xfId="28903"/>
    <cellStyle name="Normal 4 6 3 2 6" xfId="6191"/>
    <cellStyle name="Normal 4 6 3 2 6 2" xfId="9525"/>
    <cellStyle name="Normal 4 6 3 2 6 2 2" xfId="16229"/>
    <cellStyle name="Normal 4 6 3 2 6 2 2 2" xfId="39650"/>
    <cellStyle name="Normal 4 6 3 2 6 2 3" xfId="33018"/>
    <cellStyle name="Normal 4 6 3 2 6 3" xfId="12913"/>
    <cellStyle name="Normal 4 6 3 2 6 3 2" xfId="36334"/>
    <cellStyle name="Normal 4 6 3 2 6 4" xfId="20902"/>
    <cellStyle name="Normal 4 6 3 2 6 4 2" xfId="43353"/>
    <cellStyle name="Normal 4 6 3 2 6 5" xfId="29702"/>
    <cellStyle name="Normal 4 6 3 2 7" xfId="7857"/>
    <cellStyle name="Normal 4 6 3 2 7 2" xfId="14571"/>
    <cellStyle name="Normal 4 6 3 2 7 2 2" xfId="37992"/>
    <cellStyle name="Normal 4 6 3 2 7 3" xfId="21678"/>
    <cellStyle name="Normal 4 6 3 2 7 3 2" xfId="44127"/>
    <cellStyle name="Normal 4 6 3 2 7 4" xfId="31360"/>
    <cellStyle name="Normal 4 6 3 2 8" xfId="11253"/>
    <cellStyle name="Normal 4 6 3 2 8 2" xfId="34676"/>
    <cellStyle name="Normal 4 6 3 2 9" xfId="18068"/>
    <cellStyle name="Normal 4 6 3 2 9 2" xfId="41356"/>
    <cellStyle name="Normal 4 6 3 3" xfId="1748"/>
    <cellStyle name="Normal 4 6 3 3 10" xfId="28100"/>
    <cellStyle name="Normal 4 6 3 3 2" xfId="2327"/>
    <cellStyle name="Normal 4 6 3 3 2 2" xfId="5566"/>
    <cellStyle name="Normal 4 6 3 3 2 2 2" xfId="7389"/>
    <cellStyle name="Normal 4 6 3 3 2 2 2 2" xfId="10720"/>
    <cellStyle name="Normal 4 6 3 3 2 2 2 2 2" xfId="17424"/>
    <cellStyle name="Normal 4 6 3 3 2 2 2 2 2 2" xfId="40845"/>
    <cellStyle name="Normal 4 6 3 3 2 2 2 2 3" xfId="23140"/>
    <cellStyle name="Normal 4 6 3 3 2 2 2 2 3 2" xfId="45562"/>
    <cellStyle name="Normal 4 6 3 3 2 2 2 2 4" xfId="34213"/>
    <cellStyle name="Normal 4 6 3 3 2 2 2 3" xfId="14108"/>
    <cellStyle name="Normal 4 6 3 3 2 2 2 3 2" xfId="37529"/>
    <cellStyle name="Normal 4 6 3 3 2 2 2 4" xfId="20315"/>
    <cellStyle name="Normal 4 6 3 3 2 2 2 4 2" xfId="42850"/>
    <cellStyle name="Normal 4 6 3 3 2 2 2 5" xfId="30897"/>
    <cellStyle name="Normal 4 6 3 3 2 2 3" xfId="9062"/>
    <cellStyle name="Normal 4 6 3 3 2 2 3 2" xfId="15766"/>
    <cellStyle name="Normal 4 6 3 3 2 2 3 2 2" xfId="39187"/>
    <cellStyle name="Normal 4 6 3 3 2 2 3 3" xfId="21366"/>
    <cellStyle name="Normal 4 6 3 3 2 2 3 3 2" xfId="43817"/>
    <cellStyle name="Normal 4 6 3 3 2 2 3 4" xfId="32555"/>
    <cellStyle name="Normal 4 6 3 3 2 2 4" xfId="12450"/>
    <cellStyle name="Normal 4 6 3 3 2 2 4 2" xfId="22328"/>
    <cellStyle name="Normal 4 6 3 3 2 2 4 2 2" xfId="44750"/>
    <cellStyle name="Normal 4 6 3 3 2 2 4 3" xfId="35871"/>
    <cellStyle name="Normal 4 6 3 3 2 2 5" xfId="19476"/>
    <cellStyle name="Normal 4 6 3 3 2 2 5 2" xfId="42018"/>
    <cellStyle name="Normal 4 6 3 3 2 2 6" xfId="29239"/>
    <cellStyle name="Normal 4 6 3 3 2 3" xfId="6487"/>
    <cellStyle name="Normal 4 6 3 3 2 3 2" xfId="9821"/>
    <cellStyle name="Normal 4 6 3 3 2 3 2 2" xfId="16525"/>
    <cellStyle name="Normal 4 6 3 3 2 3 2 2 2" xfId="39946"/>
    <cellStyle name="Normal 4 6 3 3 2 3 2 3" xfId="22735"/>
    <cellStyle name="Normal 4 6 3 3 2 3 2 3 2" xfId="45157"/>
    <cellStyle name="Normal 4 6 3 3 2 3 2 4" xfId="33314"/>
    <cellStyle name="Normal 4 6 3 3 2 3 3" xfId="13209"/>
    <cellStyle name="Normal 4 6 3 3 2 3 3 2" xfId="36630"/>
    <cellStyle name="Normal 4 6 3 3 2 3 4" xfId="19899"/>
    <cellStyle name="Normal 4 6 3 3 2 3 4 2" xfId="42434"/>
    <cellStyle name="Normal 4 6 3 3 2 3 5" xfId="29998"/>
    <cellStyle name="Normal 4 6 3 3 2 4" xfId="8154"/>
    <cellStyle name="Normal 4 6 3 3 2 4 2" xfId="14867"/>
    <cellStyle name="Normal 4 6 3 3 2 4 2 2" xfId="38288"/>
    <cellStyle name="Normal 4 6 3 3 2 4 3" xfId="20907"/>
    <cellStyle name="Normal 4 6 3 3 2 4 3 2" xfId="43358"/>
    <cellStyle name="Normal 4 6 3 3 2 4 4" xfId="31656"/>
    <cellStyle name="Normal 4 6 3 3 2 5" xfId="11549"/>
    <cellStyle name="Normal 4 6 3 3 2 5 2" xfId="21904"/>
    <cellStyle name="Normal 4 6 3 3 2 5 2 2" xfId="44336"/>
    <cellStyle name="Normal 4 6 3 3 2 5 3" xfId="34972"/>
    <cellStyle name="Normal 4 6 3 3 2 6" xfId="18764"/>
    <cellStyle name="Normal 4 6 3 3 2 6 2" xfId="41593"/>
    <cellStyle name="Normal 4 6 3 3 2 7" xfId="25901"/>
    <cellStyle name="Normal 4 6 3 3 2 7 2" xfId="48146"/>
    <cellStyle name="Normal 4 6 3 3 2 8" xfId="28340"/>
    <cellStyle name="Normal 4 6 3 3 3" xfId="2745"/>
    <cellStyle name="Normal 4 6 3 3 3 2" xfId="5837"/>
    <cellStyle name="Normal 4 6 3 3 3 2 2" xfId="7619"/>
    <cellStyle name="Normal 4 6 3 3 3 2 2 2" xfId="10948"/>
    <cellStyle name="Normal 4 6 3 3 3 2 2 2 2" xfId="17652"/>
    <cellStyle name="Normal 4 6 3 3 3 2 2 2 2 2" xfId="41073"/>
    <cellStyle name="Normal 4 6 3 3 3 2 2 2 3" xfId="34441"/>
    <cellStyle name="Normal 4 6 3 3 3 2 2 3" xfId="14336"/>
    <cellStyle name="Normal 4 6 3 3 3 2 2 3 2" xfId="37757"/>
    <cellStyle name="Normal 4 6 3 3 3 2 2 4" xfId="22935"/>
    <cellStyle name="Normal 4 6 3 3 3 2 2 4 2" xfId="45357"/>
    <cellStyle name="Normal 4 6 3 3 3 2 2 5" xfId="31125"/>
    <cellStyle name="Normal 4 6 3 3 3 2 3" xfId="9290"/>
    <cellStyle name="Normal 4 6 3 3 3 2 3 2" xfId="15994"/>
    <cellStyle name="Normal 4 6 3 3 3 2 3 2 2" xfId="39415"/>
    <cellStyle name="Normal 4 6 3 3 3 2 3 3" xfId="32783"/>
    <cellStyle name="Normal 4 6 3 3 3 2 4" xfId="12678"/>
    <cellStyle name="Normal 4 6 3 3 3 2 4 2" xfId="36099"/>
    <cellStyle name="Normal 4 6 3 3 3 2 5" xfId="20107"/>
    <cellStyle name="Normal 4 6 3 3 3 2 5 2" xfId="42642"/>
    <cellStyle name="Normal 4 6 3 3 3 2 6" xfId="29467"/>
    <cellStyle name="Normal 4 6 3 3 3 3" xfId="6720"/>
    <cellStyle name="Normal 4 6 3 3 3 3 2" xfId="10052"/>
    <cellStyle name="Normal 4 6 3 3 3 3 2 2" xfId="16756"/>
    <cellStyle name="Normal 4 6 3 3 3 3 2 2 2" xfId="40177"/>
    <cellStyle name="Normal 4 6 3 3 3 3 2 3" xfId="33545"/>
    <cellStyle name="Normal 4 6 3 3 3 3 3" xfId="13440"/>
    <cellStyle name="Normal 4 6 3 3 3 3 3 2" xfId="36861"/>
    <cellStyle name="Normal 4 6 3 3 3 3 4" xfId="21365"/>
    <cellStyle name="Normal 4 6 3 3 3 3 4 2" xfId="43816"/>
    <cellStyle name="Normal 4 6 3 3 3 3 5" xfId="30229"/>
    <cellStyle name="Normal 4 6 3 3 3 4" xfId="8386"/>
    <cellStyle name="Normal 4 6 3 3 3 4 2" xfId="15098"/>
    <cellStyle name="Normal 4 6 3 3 3 4 2 2" xfId="38519"/>
    <cellStyle name="Normal 4 6 3 3 3 4 3" xfId="22118"/>
    <cellStyle name="Normal 4 6 3 3 3 4 3 2" xfId="44542"/>
    <cellStyle name="Normal 4 6 3 3 3 4 4" xfId="31887"/>
    <cellStyle name="Normal 4 6 3 3 3 5" xfId="11780"/>
    <cellStyle name="Normal 4 6 3 3 3 5 2" xfId="35203"/>
    <cellStyle name="Normal 4 6 3 3 3 6" xfId="19257"/>
    <cellStyle name="Normal 4 6 3 3 3 6 2" xfId="41810"/>
    <cellStyle name="Normal 4 6 3 3 3 7" xfId="28571"/>
    <cellStyle name="Normal 4 6 3 3 4" xfId="4055"/>
    <cellStyle name="Normal 4 6 3 3 4 2" xfId="7054"/>
    <cellStyle name="Normal 4 6 3 3 4 2 2" xfId="10386"/>
    <cellStyle name="Normal 4 6 3 3 4 2 2 2" xfId="17090"/>
    <cellStyle name="Normal 4 6 3 3 4 2 2 2 2" xfId="40511"/>
    <cellStyle name="Normal 4 6 3 3 4 2 2 3" xfId="33879"/>
    <cellStyle name="Normal 4 6 3 3 4 2 3" xfId="13774"/>
    <cellStyle name="Normal 4 6 3 3 4 2 3 2" xfId="37195"/>
    <cellStyle name="Normal 4 6 3 3 4 2 4" xfId="22530"/>
    <cellStyle name="Normal 4 6 3 3 4 2 4 2" xfId="44952"/>
    <cellStyle name="Normal 4 6 3 3 4 2 5" xfId="30563"/>
    <cellStyle name="Normal 4 6 3 3 4 3" xfId="8721"/>
    <cellStyle name="Normal 4 6 3 3 4 3 2" xfId="15432"/>
    <cellStyle name="Normal 4 6 3 3 4 3 2 2" xfId="38853"/>
    <cellStyle name="Normal 4 6 3 3 4 3 3" xfId="32221"/>
    <cellStyle name="Normal 4 6 3 3 4 4" xfId="12114"/>
    <cellStyle name="Normal 4 6 3 3 4 4 2" xfId="35537"/>
    <cellStyle name="Normal 4 6 3 3 4 5" xfId="19689"/>
    <cellStyle name="Normal 4 6 3 3 4 5 2" xfId="42226"/>
    <cellStyle name="Normal 4 6 3 3 4 6" xfId="28905"/>
    <cellStyle name="Normal 4 6 3 3 5" xfId="6247"/>
    <cellStyle name="Normal 4 6 3 3 5 2" xfId="9581"/>
    <cellStyle name="Normal 4 6 3 3 5 2 2" xfId="16285"/>
    <cellStyle name="Normal 4 6 3 3 5 2 2 2" xfId="39706"/>
    <cellStyle name="Normal 4 6 3 3 5 2 3" xfId="33074"/>
    <cellStyle name="Normal 4 6 3 3 5 3" xfId="12969"/>
    <cellStyle name="Normal 4 6 3 3 5 3 2" xfId="36390"/>
    <cellStyle name="Normal 4 6 3 3 5 4" xfId="20906"/>
    <cellStyle name="Normal 4 6 3 3 5 4 2" xfId="43357"/>
    <cellStyle name="Normal 4 6 3 3 5 5" xfId="29758"/>
    <cellStyle name="Normal 4 6 3 3 6" xfId="7913"/>
    <cellStyle name="Normal 4 6 3 3 6 2" xfId="14627"/>
    <cellStyle name="Normal 4 6 3 3 6 2 2" xfId="38048"/>
    <cellStyle name="Normal 4 6 3 3 6 3" xfId="21680"/>
    <cellStyle name="Normal 4 6 3 3 6 3 2" xfId="44129"/>
    <cellStyle name="Normal 4 6 3 3 6 4" xfId="31416"/>
    <cellStyle name="Normal 4 6 3 3 7" xfId="11309"/>
    <cellStyle name="Normal 4 6 3 3 7 2" xfId="34732"/>
    <cellStyle name="Normal 4 6 3 3 8" xfId="18070"/>
    <cellStyle name="Normal 4 6 3 3 8 2" xfId="41358"/>
    <cellStyle name="Normal 4 6 3 3 9" xfId="23670"/>
    <cellStyle name="Normal 4 6 3 3 9 2" xfId="45959"/>
    <cellStyle name="Normal 4 6 3 4" xfId="2324"/>
    <cellStyle name="Normal 4 6 3 4 2" xfId="5563"/>
    <cellStyle name="Normal 4 6 3 4 2 2" xfId="7386"/>
    <cellStyle name="Normal 4 6 3 4 2 2 2" xfId="10717"/>
    <cellStyle name="Normal 4 6 3 4 2 2 2 2" xfId="17421"/>
    <cellStyle name="Normal 4 6 3 4 2 2 2 2 2" xfId="40842"/>
    <cellStyle name="Normal 4 6 3 4 2 2 2 3" xfId="23137"/>
    <cellStyle name="Normal 4 6 3 4 2 2 2 3 2" xfId="45559"/>
    <cellStyle name="Normal 4 6 3 4 2 2 2 4" xfId="34210"/>
    <cellStyle name="Normal 4 6 3 4 2 2 3" xfId="14105"/>
    <cellStyle name="Normal 4 6 3 4 2 2 3 2" xfId="37526"/>
    <cellStyle name="Normal 4 6 3 4 2 2 4" xfId="20312"/>
    <cellStyle name="Normal 4 6 3 4 2 2 4 2" xfId="42847"/>
    <cellStyle name="Normal 4 6 3 4 2 2 5" xfId="30894"/>
    <cellStyle name="Normal 4 6 3 4 2 3" xfId="9059"/>
    <cellStyle name="Normal 4 6 3 4 2 3 2" xfId="15763"/>
    <cellStyle name="Normal 4 6 3 4 2 3 2 2" xfId="39184"/>
    <cellStyle name="Normal 4 6 3 4 2 3 3" xfId="21367"/>
    <cellStyle name="Normal 4 6 3 4 2 3 3 2" xfId="43818"/>
    <cellStyle name="Normal 4 6 3 4 2 3 4" xfId="32552"/>
    <cellStyle name="Normal 4 6 3 4 2 4" xfId="12447"/>
    <cellStyle name="Normal 4 6 3 4 2 4 2" xfId="22325"/>
    <cellStyle name="Normal 4 6 3 4 2 4 2 2" xfId="44747"/>
    <cellStyle name="Normal 4 6 3 4 2 4 3" xfId="35868"/>
    <cellStyle name="Normal 4 6 3 4 2 5" xfId="19473"/>
    <cellStyle name="Normal 4 6 3 4 2 5 2" xfId="42015"/>
    <cellStyle name="Normal 4 6 3 4 2 6" xfId="29236"/>
    <cellStyle name="Normal 4 6 3 4 3" xfId="6484"/>
    <cellStyle name="Normal 4 6 3 4 3 2" xfId="9818"/>
    <cellStyle name="Normal 4 6 3 4 3 2 2" xfId="16522"/>
    <cellStyle name="Normal 4 6 3 4 3 2 2 2" xfId="39943"/>
    <cellStyle name="Normal 4 6 3 4 3 2 3" xfId="22732"/>
    <cellStyle name="Normal 4 6 3 4 3 2 3 2" xfId="45154"/>
    <cellStyle name="Normal 4 6 3 4 3 2 4" xfId="33311"/>
    <cellStyle name="Normal 4 6 3 4 3 3" xfId="13206"/>
    <cellStyle name="Normal 4 6 3 4 3 3 2" xfId="36627"/>
    <cellStyle name="Normal 4 6 3 4 3 4" xfId="19896"/>
    <cellStyle name="Normal 4 6 3 4 3 4 2" xfId="42431"/>
    <cellStyle name="Normal 4 6 3 4 3 5" xfId="29995"/>
    <cellStyle name="Normal 4 6 3 4 4" xfId="8151"/>
    <cellStyle name="Normal 4 6 3 4 4 2" xfId="14864"/>
    <cellStyle name="Normal 4 6 3 4 4 2 2" xfId="38285"/>
    <cellStyle name="Normal 4 6 3 4 4 3" xfId="20908"/>
    <cellStyle name="Normal 4 6 3 4 4 3 2" xfId="43359"/>
    <cellStyle name="Normal 4 6 3 4 4 4" xfId="31653"/>
    <cellStyle name="Normal 4 6 3 4 5" xfId="11546"/>
    <cellStyle name="Normal 4 6 3 4 5 2" xfId="21901"/>
    <cellStyle name="Normal 4 6 3 4 5 2 2" xfId="44333"/>
    <cellStyle name="Normal 4 6 3 4 5 3" xfId="34969"/>
    <cellStyle name="Normal 4 6 3 4 6" xfId="18761"/>
    <cellStyle name="Normal 4 6 3 4 6 2" xfId="41590"/>
    <cellStyle name="Normal 4 6 3 4 7" xfId="25898"/>
    <cellStyle name="Normal 4 6 3 4 7 2" xfId="48143"/>
    <cellStyle name="Normal 4 6 3 4 8" xfId="28337"/>
    <cellStyle name="Normal 4 6 3 5" xfId="2613"/>
    <cellStyle name="Normal 4 6 3 5 2" xfId="5706"/>
    <cellStyle name="Normal 4 6 3 5 2 2" xfId="7488"/>
    <cellStyle name="Normal 4 6 3 5 2 2 2" xfId="10817"/>
    <cellStyle name="Normal 4 6 3 5 2 2 2 2" xfId="17521"/>
    <cellStyle name="Normal 4 6 3 5 2 2 2 2 2" xfId="40942"/>
    <cellStyle name="Normal 4 6 3 5 2 2 2 3" xfId="34310"/>
    <cellStyle name="Normal 4 6 3 5 2 2 3" xfId="14205"/>
    <cellStyle name="Normal 4 6 3 5 2 2 3 2" xfId="37626"/>
    <cellStyle name="Normal 4 6 3 5 2 2 4" xfId="20602"/>
    <cellStyle name="Normal 4 6 3 5 2 2 4 2" xfId="43053"/>
    <cellStyle name="Normal 4 6 3 5 2 2 5" xfId="30994"/>
    <cellStyle name="Normal 4 6 3 5 2 3" xfId="9159"/>
    <cellStyle name="Normal 4 6 3 5 2 3 2" xfId="15863"/>
    <cellStyle name="Normal 4 6 3 5 2 3 2 2" xfId="39284"/>
    <cellStyle name="Normal 4 6 3 5 2 3 3" xfId="21520"/>
    <cellStyle name="Normal 4 6 3 5 2 3 3 2" xfId="43971"/>
    <cellStyle name="Normal 4 6 3 5 2 3 4" xfId="32652"/>
    <cellStyle name="Normal 4 6 3 5 2 4" xfId="12547"/>
    <cellStyle name="Normal 4 6 3 5 2 4 2" xfId="22932"/>
    <cellStyle name="Normal 4 6 3 5 2 4 2 2" xfId="45354"/>
    <cellStyle name="Normal 4 6 3 5 2 4 3" xfId="35968"/>
    <cellStyle name="Normal 4 6 3 5 2 5" xfId="20104"/>
    <cellStyle name="Normal 4 6 3 5 2 5 2" xfId="42639"/>
    <cellStyle name="Normal 4 6 3 5 2 6" xfId="29336"/>
    <cellStyle name="Normal 4 6 3 5 3" xfId="6589"/>
    <cellStyle name="Normal 4 6 3 5 3 2" xfId="9921"/>
    <cellStyle name="Normal 4 6 3 5 3 2 2" xfId="16625"/>
    <cellStyle name="Normal 4 6 3 5 3 2 2 2" xfId="40046"/>
    <cellStyle name="Normal 4 6 3 5 3 2 3" xfId="33414"/>
    <cellStyle name="Normal 4 6 3 5 3 3" xfId="13309"/>
    <cellStyle name="Normal 4 6 3 5 3 3 2" xfId="36730"/>
    <cellStyle name="Normal 4 6 3 5 3 4" xfId="20504"/>
    <cellStyle name="Normal 4 6 3 5 3 4 2" xfId="42957"/>
    <cellStyle name="Normal 4 6 3 5 3 5" xfId="30098"/>
    <cellStyle name="Normal 4 6 3 5 4" xfId="8255"/>
    <cellStyle name="Normal 4 6 3 5 4 2" xfId="14967"/>
    <cellStyle name="Normal 4 6 3 5 4 2 2" xfId="38388"/>
    <cellStyle name="Normal 4 6 3 5 4 3" xfId="21061"/>
    <cellStyle name="Normal 4 6 3 5 4 3 2" xfId="43512"/>
    <cellStyle name="Normal 4 6 3 5 4 4" xfId="31756"/>
    <cellStyle name="Normal 4 6 3 5 5" xfId="11649"/>
    <cellStyle name="Normal 4 6 3 5 5 2" xfId="22115"/>
    <cellStyle name="Normal 4 6 3 5 5 2 2" xfId="44539"/>
    <cellStyle name="Normal 4 6 3 5 5 3" xfId="35072"/>
    <cellStyle name="Normal 4 6 3 5 6" xfId="19254"/>
    <cellStyle name="Normal 4 6 3 5 6 2" xfId="41807"/>
    <cellStyle name="Normal 4 6 3 5 7" xfId="28440"/>
    <cellStyle name="Normal 4 6 3 6" xfId="4052"/>
    <cellStyle name="Normal 4 6 3 6 2" xfId="7051"/>
    <cellStyle name="Normal 4 6 3 6 2 2" xfId="10383"/>
    <cellStyle name="Normal 4 6 3 6 2 2 2" xfId="17087"/>
    <cellStyle name="Normal 4 6 3 6 2 2 2 2" xfId="40508"/>
    <cellStyle name="Normal 4 6 3 6 2 2 3" xfId="33876"/>
    <cellStyle name="Normal 4 6 3 6 2 3" xfId="13771"/>
    <cellStyle name="Normal 4 6 3 6 2 3 2" xfId="37192"/>
    <cellStyle name="Normal 4 6 3 6 2 4" xfId="20554"/>
    <cellStyle name="Normal 4 6 3 6 2 4 2" xfId="43005"/>
    <cellStyle name="Normal 4 6 3 6 2 5" xfId="30560"/>
    <cellStyle name="Normal 4 6 3 6 3" xfId="8718"/>
    <cellStyle name="Normal 4 6 3 6 3 2" xfId="15429"/>
    <cellStyle name="Normal 4 6 3 6 3 2 2" xfId="38850"/>
    <cellStyle name="Normal 4 6 3 6 3 3" xfId="21360"/>
    <cellStyle name="Normal 4 6 3 6 3 3 2" xfId="43811"/>
    <cellStyle name="Normal 4 6 3 6 3 4" xfId="32218"/>
    <cellStyle name="Normal 4 6 3 6 4" xfId="12111"/>
    <cellStyle name="Normal 4 6 3 6 4 2" xfId="22527"/>
    <cellStyle name="Normal 4 6 3 6 4 2 2" xfId="44949"/>
    <cellStyle name="Normal 4 6 3 6 4 3" xfId="35534"/>
    <cellStyle name="Normal 4 6 3 6 5" xfId="19686"/>
    <cellStyle name="Normal 4 6 3 6 5 2" xfId="42223"/>
    <cellStyle name="Normal 4 6 3 6 6" xfId="28902"/>
    <cellStyle name="Normal 4 6 3 7" xfId="6116"/>
    <cellStyle name="Normal 4 6 3 7 2" xfId="9450"/>
    <cellStyle name="Normal 4 6 3 7 2 2" xfId="16154"/>
    <cellStyle name="Normal 4 6 3 7 2 2 2" xfId="39575"/>
    <cellStyle name="Normal 4 6 3 7 2 3" xfId="32943"/>
    <cellStyle name="Normal 4 6 3 7 3" xfId="12838"/>
    <cellStyle name="Normal 4 6 3 7 3 2" xfId="36259"/>
    <cellStyle name="Normal 4 6 3 7 4" xfId="18304"/>
    <cellStyle name="Normal 4 6 3 7 4 2" xfId="41437"/>
    <cellStyle name="Normal 4 6 3 7 5" xfId="29627"/>
    <cellStyle name="Normal 4 6 3 8" xfId="7782"/>
    <cellStyle name="Normal 4 6 3 8 2" xfId="14496"/>
    <cellStyle name="Normal 4 6 3 8 2 2" xfId="37917"/>
    <cellStyle name="Normal 4 6 3 8 3" xfId="20901"/>
    <cellStyle name="Normal 4 6 3 8 3 2" xfId="43352"/>
    <cellStyle name="Normal 4 6 3 8 4" xfId="31285"/>
    <cellStyle name="Normal 4 6 3 9" xfId="11178"/>
    <cellStyle name="Normal 4 6 3 9 2" xfId="21677"/>
    <cellStyle name="Normal 4 6 3 9 2 2" xfId="44126"/>
    <cellStyle name="Normal 4 6 3 9 3" xfId="34601"/>
    <cellStyle name="Normal 4 6 4" xfId="1622"/>
    <cellStyle name="Normal 4 6 4 10" xfId="23671"/>
    <cellStyle name="Normal 4 6 4 10 2" xfId="45960"/>
    <cellStyle name="Normal 4 6 4 11" xfId="28041"/>
    <cellStyle name="Normal 4 6 4 2" xfId="1820"/>
    <cellStyle name="Normal 4 6 4 2 10" xfId="28172"/>
    <cellStyle name="Normal 4 6 4 2 2" xfId="2329"/>
    <cellStyle name="Normal 4 6 4 2 2 2" xfId="5568"/>
    <cellStyle name="Normal 4 6 4 2 2 2 2" xfId="7391"/>
    <cellStyle name="Normal 4 6 4 2 2 2 2 2" xfId="10722"/>
    <cellStyle name="Normal 4 6 4 2 2 2 2 2 2" xfId="17426"/>
    <cellStyle name="Normal 4 6 4 2 2 2 2 2 2 2" xfId="40847"/>
    <cellStyle name="Normal 4 6 4 2 2 2 2 2 3" xfId="23142"/>
    <cellStyle name="Normal 4 6 4 2 2 2 2 2 3 2" xfId="45564"/>
    <cellStyle name="Normal 4 6 4 2 2 2 2 2 4" xfId="34215"/>
    <cellStyle name="Normal 4 6 4 2 2 2 2 3" xfId="14110"/>
    <cellStyle name="Normal 4 6 4 2 2 2 2 3 2" xfId="37531"/>
    <cellStyle name="Normal 4 6 4 2 2 2 2 4" xfId="20317"/>
    <cellStyle name="Normal 4 6 4 2 2 2 2 4 2" xfId="42852"/>
    <cellStyle name="Normal 4 6 4 2 2 2 2 5" xfId="30899"/>
    <cellStyle name="Normal 4 6 4 2 2 2 3" xfId="9064"/>
    <cellStyle name="Normal 4 6 4 2 2 2 3 2" xfId="15768"/>
    <cellStyle name="Normal 4 6 4 2 2 2 3 2 2" xfId="39189"/>
    <cellStyle name="Normal 4 6 4 2 2 2 3 3" xfId="21370"/>
    <cellStyle name="Normal 4 6 4 2 2 2 3 3 2" xfId="43821"/>
    <cellStyle name="Normal 4 6 4 2 2 2 3 4" xfId="32557"/>
    <cellStyle name="Normal 4 6 4 2 2 2 4" xfId="12452"/>
    <cellStyle name="Normal 4 6 4 2 2 2 4 2" xfId="22330"/>
    <cellStyle name="Normal 4 6 4 2 2 2 4 2 2" xfId="44752"/>
    <cellStyle name="Normal 4 6 4 2 2 2 4 3" xfId="35873"/>
    <cellStyle name="Normal 4 6 4 2 2 2 5" xfId="19478"/>
    <cellStyle name="Normal 4 6 4 2 2 2 5 2" xfId="42020"/>
    <cellStyle name="Normal 4 6 4 2 2 2 6" xfId="29241"/>
    <cellStyle name="Normal 4 6 4 2 2 3" xfId="6489"/>
    <cellStyle name="Normal 4 6 4 2 2 3 2" xfId="9823"/>
    <cellStyle name="Normal 4 6 4 2 2 3 2 2" xfId="16527"/>
    <cellStyle name="Normal 4 6 4 2 2 3 2 2 2" xfId="39948"/>
    <cellStyle name="Normal 4 6 4 2 2 3 2 3" xfId="22737"/>
    <cellStyle name="Normal 4 6 4 2 2 3 2 3 2" xfId="45159"/>
    <cellStyle name="Normal 4 6 4 2 2 3 2 4" xfId="33316"/>
    <cellStyle name="Normal 4 6 4 2 2 3 3" xfId="13211"/>
    <cellStyle name="Normal 4 6 4 2 2 3 3 2" xfId="36632"/>
    <cellStyle name="Normal 4 6 4 2 2 3 4" xfId="19901"/>
    <cellStyle name="Normal 4 6 4 2 2 3 4 2" xfId="42436"/>
    <cellStyle name="Normal 4 6 4 2 2 3 5" xfId="30000"/>
    <cellStyle name="Normal 4 6 4 2 2 4" xfId="8156"/>
    <cellStyle name="Normal 4 6 4 2 2 4 2" xfId="14869"/>
    <cellStyle name="Normal 4 6 4 2 2 4 2 2" xfId="38290"/>
    <cellStyle name="Normal 4 6 4 2 2 4 3" xfId="20911"/>
    <cellStyle name="Normal 4 6 4 2 2 4 3 2" xfId="43362"/>
    <cellStyle name="Normal 4 6 4 2 2 4 4" xfId="31658"/>
    <cellStyle name="Normal 4 6 4 2 2 5" xfId="11551"/>
    <cellStyle name="Normal 4 6 4 2 2 5 2" xfId="21906"/>
    <cellStyle name="Normal 4 6 4 2 2 5 2 2" xfId="44338"/>
    <cellStyle name="Normal 4 6 4 2 2 5 3" xfId="34974"/>
    <cellStyle name="Normal 4 6 4 2 2 6" xfId="18766"/>
    <cellStyle name="Normal 4 6 4 2 2 6 2" xfId="41595"/>
    <cellStyle name="Normal 4 6 4 2 2 7" xfId="25903"/>
    <cellStyle name="Normal 4 6 4 2 2 7 2" xfId="48148"/>
    <cellStyle name="Normal 4 6 4 2 2 8" xfId="28342"/>
    <cellStyle name="Normal 4 6 4 2 3" xfId="2817"/>
    <cellStyle name="Normal 4 6 4 2 3 2" xfId="5909"/>
    <cellStyle name="Normal 4 6 4 2 3 2 2" xfId="7691"/>
    <cellStyle name="Normal 4 6 4 2 3 2 2 2" xfId="11020"/>
    <cellStyle name="Normal 4 6 4 2 3 2 2 2 2" xfId="17724"/>
    <cellStyle name="Normal 4 6 4 2 3 2 2 2 2 2" xfId="41145"/>
    <cellStyle name="Normal 4 6 4 2 3 2 2 2 3" xfId="34513"/>
    <cellStyle name="Normal 4 6 4 2 3 2 2 3" xfId="14408"/>
    <cellStyle name="Normal 4 6 4 2 3 2 2 3 2" xfId="37829"/>
    <cellStyle name="Normal 4 6 4 2 3 2 2 4" xfId="22937"/>
    <cellStyle name="Normal 4 6 4 2 3 2 2 4 2" xfId="45359"/>
    <cellStyle name="Normal 4 6 4 2 3 2 2 5" xfId="31197"/>
    <cellStyle name="Normal 4 6 4 2 3 2 3" xfId="9362"/>
    <cellStyle name="Normal 4 6 4 2 3 2 3 2" xfId="16066"/>
    <cellStyle name="Normal 4 6 4 2 3 2 3 2 2" xfId="39487"/>
    <cellStyle name="Normal 4 6 4 2 3 2 3 3" xfId="32855"/>
    <cellStyle name="Normal 4 6 4 2 3 2 4" xfId="12750"/>
    <cellStyle name="Normal 4 6 4 2 3 2 4 2" xfId="36171"/>
    <cellStyle name="Normal 4 6 4 2 3 2 5" xfId="20109"/>
    <cellStyle name="Normal 4 6 4 2 3 2 5 2" xfId="42644"/>
    <cellStyle name="Normal 4 6 4 2 3 2 6" xfId="29539"/>
    <cellStyle name="Normal 4 6 4 2 3 3" xfId="6792"/>
    <cellStyle name="Normal 4 6 4 2 3 3 2" xfId="10124"/>
    <cellStyle name="Normal 4 6 4 2 3 3 2 2" xfId="16828"/>
    <cellStyle name="Normal 4 6 4 2 3 3 2 2 2" xfId="40249"/>
    <cellStyle name="Normal 4 6 4 2 3 3 2 3" xfId="33617"/>
    <cellStyle name="Normal 4 6 4 2 3 3 3" xfId="13512"/>
    <cellStyle name="Normal 4 6 4 2 3 3 3 2" xfId="36933"/>
    <cellStyle name="Normal 4 6 4 2 3 3 4" xfId="21369"/>
    <cellStyle name="Normal 4 6 4 2 3 3 4 2" xfId="43820"/>
    <cellStyle name="Normal 4 6 4 2 3 3 5" xfId="30301"/>
    <cellStyle name="Normal 4 6 4 2 3 4" xfId="8458"/>
    <cellStyle name="Normal 4 6 4 2 3 4 2" xfId="15170"/>
    <cellStyle name="Normal 4 6 4 2 3 4 2 2" xfId="38591"/>
    <cellStyle name="Normal 4 6 4 2 3 4 3" xfId="22120"/>
    <cellStyle name="Normal 4 6 4 2 3 4 3 2" xfId="44544"/>
    <cellStyle name="Normal 4 6 4 2 3 4 4" xfId="31959"/>
    <cellStyle name="Normal 4 6 4 2 3 5" xfId="11852"/>
    <cellStyle name="Normal 4 6 4 2 3 5 2" xfId="35275"/>
    <cellStyle name="Normal 4 6 4 2 3 6" xfId="19259"/>
    <cellStyle name="Normal 4 6 4 2 3 6 2" xfId="41812"/>
    <cellStyle name="Normal 4 6 4 2 3 7" xfId="28643"/>
    <cellStyle name="Normal 4 6 4 2 4" xfId="4057"/>
    <cellStyle name="Normal 4 6 4 2 4 2" xfId="7056"/>
    <cellStyle name="Normal 4 6 4 2 4 2 2" xfId="10388"/>
    <cellStyle name="Normal 4 6 4 2 4 2 2 2" xfId="17092"/>
    <cellStyle name="Normal 4 6 4 2 4 2 2 2 2" xfId="40513"/>
    <cellStyle name="Normal 4 6 4 2 4 2 2 3" xfId="33881"/>
    <cellStyle name="Normal 4 6 4 2 4 2 3" xfId="13776"/>
    <cellStyle name="Normal 4 6 4 2 4 2 3 2" xfId="37197"/>
    <cellStyle name="Normal 4 6 4 2 4 2 4" xfId="22532"/>
    <cellStyle name="Normal 4 6 4 2 4 2 4 2" xfId="44954"/>
    <cellStyle name="Normal 4 6 4 2 4 2 5" xfId="30565"/>
    <cellStyle name="Normal 4 6 4 2 4 3" xfId="8723"/>
    <cellStyle name="Normal 4 6 4 2 4 3 2" xfId="15434"/>
    <cellStyle name="Normal 4 6 4 2 4 3 2 2" xfId="38855"/>
    <cellStyle name="Normal 4 6 4 2 4 3 3" xfId="32223"/>
    <cellStyle name="Normal 4 6 4 2 4 4" xfId="12116"/>
    <cellStyle name="Normal 4 6 4 2 4 4 2" xfId="35539"/>
    <cellStyle name="Normal 4 6 4 2 4 5" xfId="19691"/>
    <cellStyle name="Normal 4 6 4 2 4 5 2" xfId="42228"/>
    <cellStyle name="Normal 4 6 4 2 4 6" xfId="28907"/>
    <cellStyle name="Normal 4 6 4 2 5" xfId="6319"/>
    <cellStyle name="Normal 4 6 4 2 5 2" xfId="9653"/>
    <cellStyle name="Normal 4 6 4 2 5 2 2" xfId="16357"/>
    <cellStyle name="Normal 4 6 4 2 5 2 2 2" xfId="39778"/>
    <cellStyle name="Normal 4 6 4 2 5 2 3" xfId="33146"/>
    <cellStyle name="Normal 4 6 4 2 5 3" xfId="13041"/>
    <cellStyle name="Normal 4 6 4 2 5 3 2" xfId="36462"/>
    <cellStyle name="Normal 4 6 4 2 5 4" xfId="20910"/>
    <cellStyle name="Normal 4 6 4 2 5 4 2" xfId="43361"/>
    <cellStyle name="Normal 4 6 4 2 5 5" xfId="29830"/>
    <cellStyle name="Normal 4 6 4 2 6" xfId="7985"/>
    <cellStyle name="Normal 4 6 4 2 6 2" xfId="14699"/>
    <cellStyle name="Normal 4 6 4 2 6 2 2" xfId="38120"/>
    <cellStyle name="Normal 4 6 4 2 6 3" xfId="21682"/>
    <cellStyle name="Normal 4 6 4 2 6 3 2" xfId="44131"/>
    <cellStyle name="Normal 4 6 4 2 6 4" xfId="31488"/>
    <cellStyle name="Normal 4 6 4 2 7" xfId="11381"/>
    <cellStyle name="Normal 4 6 4 2 7 2" xfId="34804"/>
    <cellStyle name="Normal 4 6 4 2 8" xfId="18072"/>
    <cellStyle name="Normal 4 6 4 2 8 2" xfId="41360"/>
    <cellStyle name="Normal 4 6 4 2 9" xfId="23672"/>
    <cellStyle name="Normal 4 6 4 2 9 2" xfId="45961"/>
    <cellStyle name="Normal 4 6 4 3" xfId="2328"/>
    <cellStyle name="Normal 4 6 4 3 2" xfId="5567"/>
    <cellStyle name="Normal 4 6 4 3 2 2" xfId="7390"/>
    <cellStyle name="Normal 4 6 4 3 2 2 2" xfId="10721"/>
    <cellStyle name="Normal 4 6 4 3 2 2 2 2" xfId="17425"/>
    <cellStyle name="Normal 4 6 4 3 2 2 2 2 2" xfId="40846"/>
    <cellStyle name="Normal 4 6 4 3 2 2 2 3" xfId="23141"/>
    <cellStyle name="Normal 4 6 4 3 2 2 2 3 2" xfId="45563"/>
    <cellStyle name="Normal 4 6 4 3 2 2 2 4" xfId="34214"/>
    <cellStyle name="Normal 4 6 4 3 2 2 3" xfId="14109"/>
    <cellStyle name="Normal 4 6 4 3 2 2 3 2" xfId="37530"/>
    <cellStyle name="Normal 4 6 4 3 2 2 4" xfId="20316"/>
    <cellStyle name="Normal 4 6 4 3 2 2 4 2" xfId="42851"/>
    <cellStyle name="Normal 4 6 4 3 2 2 5" xfId="30898"/>
    <cellStyle name="Normal 4 6 4 3 2 3" xfId="9063"/>
    <cellStyle name="Normal 4 6 4 3 2 3 2" xfId="15767"/>
    <cellStyle name="Normal 4 6 4 3 2 3 2 2" xfId="39188"/>
    <cellStyle name="Normal 4 6 4 3 2 3 3" xfId="21371"/>
    <cellStyle name="Normal 4 6 4 3 2 3 3 2" xfId="43822"/>
    <cellStyle name="Normal 4 6 4 3 2 3 4" xfId="32556"/>
    <cellStyle name="Normal 4 6 4 3 2 4" xfId="12451"/>
    <cellStyle name="Normal 4 6 4 3 2 4 2" xfId="22329"/>
    <cellStyle name="Normal 4 6 4 3 2 4 2 2" xfId="44751"/>
    <cellStyle name="Normal 4 6 4 3 2 4 3" xfId="35872"/>
    <cellStyle name="Normal 4 6 4 3 2 5" xfId="19477"/>
    <cellStyle name="Normal 4 6 4 3 2 5 2" xfId="42019"/>
    <cellStyle name="Normal 4 6 4 3 2 6" xfId="29240"/>
    <cellStyle name="Normal 4 6 4 3 3" xfId="6488"/>
    <cellStyle name="Normal 4 6 4 3 3 2" xfId="9822"/>
    <cellStyle name="Normal 4 6 4 3 3 2 2" xfId="16526"/>
    <cellStyle name="Normal 4 6 4 3 3 2 2 2" xfId="39947"/>
    <cellStyle name="Normal 4 6 4 3 3 2 3" xfId="22736"/>
    <cellStyle name="Normal 4 6 4 3 3 2 3 2" xfId="45158"/>
    <cellStyle name="Normal 4 6 4 3 3 2 4" xfId="33315"/>
    <cellStyle name="Normal 4 6 4 3 3 3" xfId="13210"/>
    <cellStyle name="Normal 4 6 4 3 3 3 2" xfId="36631"/>
    <cellStyle name="Normal 4 6 4 3 3 4" xfId="19900"/>
    <cellStyle name="Normal 4 6 4 3 3 4 2" xfId="42435"/>
    <cellStyle name="Normal 4 6 4 3 3 5" xfId="29999"/>
    <cellStyle name="Normal 4 6 4 3 4" xfId="8155"/>
    <cellStyle name="Normal 4 6 4 3 4 2" xfId="14868"/>
    <cellStyle name="Normal 4 6 4 3 4 2 2" xfId="38289"/>
    <cellStyle name="Normal 4 6 4 3 4 3" xfId="20912"/>
    <cellStyle name="Normal 4 6 4 3 4 3 2" xfId="43363"/>
    <cellStyle name="Normal 4 6 4 3 4 4" xfId="31657"/>
    <cellStyle name="Normal 4 6 4 3 5" xfId="11550"/>
    <cellStyle name="Normal 4 6 4 3 5 2" xfId="21905"/>
    <cellStyle name="Normal 4 6 4 3 5 2 2" xfId="44337"/>
    <cellStyle name="Normal 4 6 4 3 5 3" xfId="34973"/>
    <cellStyle name="Normal 4 6 4 3 6" xfId="18765"/>
    <cellStyle name="Normal 4 6 4 3 6 2" xfId="41594"/>
    <cellStyle name="Normal 4 6 4 3 7" xfId="25902"/>
    <cellStyle name="Normal 4 6 4 3 7 2" xfId="48147"/>
    <cellStyle name="Normal 4 6 4 3 8" xfId="28341"/>
    <cellStyle name="Normal 4 6 4 4" xfId="2685"/>
    <cellStyle name="Normal 4 6 4 4 2" xfId="5778"/>
    <cellStyle name="Normal 4 6 4 4 2 2" xfId="7560"/>
    <cellStyle name="Normal 4 6 4 4 2 2 2" xfId="10889"/>
    <cellStyle name="Normal 4 6 4 4 2 2 2 2" xfId="17593"/>
    <cellStyle name="Normal 4 6 4 4 2 2 2 2 2" xfId="41014"/>
    <cellStyle name="Normal 4 6 4 4 2 2 2 3" xfId="34382"/>
    <cellStyle name="Normal 4 6 4 4 2 2 3" xfId="14277"/>
    <cellStyle name="Normal 4 6 4 4 2 2 3 2" xfId="37698"/>
    <cellStyle name="Normal 4 6 4 4 2 2 4" xfId="22936"/>
    <cellStyle name="Normal 4 6 4 4 2 2 4 2" xfId="45358"/>
    <cellStyle name="Normal 4 6 4 4 2 2 5" xfId="31066"/>
    <cellStyle name="Normal 4 6 4 4 2 3" xfId="9231"/>
    <cellStyle name="Normal 4 6 4 4 2 3 2" xfId="15935"/>
    <cellStyle name="Normal 4 6 4 4 2 3 2 2" xfId="39356"/>
    <cellStyle name="Normal 4 6 4 4 2 3 3" xfId="32724"/>
    <cellStyle name="Normal 4 6 4 4 2 4" xfId="12619"/>
    <cellStyle name="Normal 4 6 4 4 2 4 2" xfId="36040"/>
    <cellStyle name="Normal 4 6 4 4 2 5" xfId="20108"/>
    <cellStyle name="Normal 4 6 4 4 2 5 2" xfId="42643"/>
    <cellStyle name="Normal 4 6 4 4 2 6" xfId="29408"/>
    <cellStyle name="Normal 4 6 4 4 3" xfId="6661"/>
    <cellStyle name="Normal 4 6 4 4 3 2" xfId="9993"/>
    <cellStyle name="Normal 4 6 4 4 3 2 2" xfId="16697"/>
    <cellStyle name="Normal 4 6 4 4 3 2 2 2" xfId="40118"/>
    <cellStyle name="Normal 4 6 4 4 3 2 3" xfId="33486"/>
    <cellStyle name="Normal 4 6 4 4 3 3" xfId="13381"/>
    <cellStyle name="Normal 4 6 4 4 3 3 2" xfId="36802"/>
    <cellStyle name="Normal 4 6 4 4 3 4" xfId="21368"/>
    <cellStyle name="Normal 4 6 4 4 3 4 2" xfId="43819"/>
    <cellStyle name="Normal 4 6 4 4 3 5" xfId="30170"/>
    <cellStyle name="Normal 4 6 4 4 4" xfId="8327"/>
    <cellStyle name="Normal 4 6 4 4 4 2" xfId="15039"/>
    <cellStyle name="Normal 4 6 4 4 4 2 2" xfId="38460"/>
    <cellStyle name="Normal 4 6 4 4 4 3" xfId="22119"/>
    <cellStyle name="Normal 4 6 4 4 4 3 2" xfId="44543"/>
    <cellStyle name="Normal 4 6 4 4 4 4" xfId="31828"/>
    <cellStyle name="Normal 4 6 4 4 5" xfId="11721"/>
    <cellStyle name="Normal 4 6 4 4 5 2" xfId="35144"/>
    <cellStyle name="Normal 4 6 4 4 6" xfId="19258"/>
    <cellStyle name="Normal 4 6 4 4 6 2" xfId="41811"/>
    <cellStyle name="Normal 4 6 4 4 7" xfId="28512"/>
    <cellStyle name="Normal 4 6 4 5" xfId="4056"/>
    <cellStyle name="Normal 4 6 4 5 2" xfId="7055"/>
    <cellStyle name="Normal 4 6 4 5 2 2" xfId="10387"/>
    <cellStyle name="Normal 4 6 4 5 2 2 2" xfId="17091"/>
    <cellStyle name="Normal 4 6 4 5 2 2 2 2" xfId="40512"/>
    <cellStyle name="Normal 4 6 4 5 2 2 3" xfId="33880"/>
    <cellStyle name="Normal 4 6 4 5 2 3" xfId="13775"/>
    <cellStyle name="Normal 4 6 4 5 2 3 2" xfId="37196"/>
    <cellStyle name="Normal 4 6 4 5 2 4" xfId="22531"/>
    <cellStyle name="Normal 4 6 4 5 2 4 2" xfId="44953"/>
    <cellStyle name="Normal 4 6 4 5 2 5" xfId="30564"/>
    <cellStyle name="Normal 4 6 4 5 3" xfId="8722"/>
    <cellStyle name="Normal 4 6 4 5 3 2" xfId="15433"/>
    <cellStyle name="Normal 4 6 4 5 3 2 2" xfId="38854"/>
    <cellStyle name="Normal 4 6 4 5 3 3" xfId="32222"/>
    <cellStyle name="Normal 4 6 4 5 4" xfId="12115"/>
    <cellStyle name="Normal 4 6 4 5 4 2" xfId="35538"/>
    <cellStyle name="Normal 4 6 4 5 5" xfId="19690"/>
    <cellStyle name="Normal 4 6 4 5 5 2" xfId="42227"/>
    <cellStyle name="Normal 4 6 4 5 6" xfId="28906"/>
    <cellStyle name="Normal 4 6 4 6" xfId="6188"/>
    <cellStyle name="Normal 4 6 4 6 2" xfId="9522"/>
    <cellStyle name="Normal 4 6 4 6 2 2" xfId="16226"/>
    <cellStyle name="Normal 4 6 4 6 2 2 2" xfId="39647"/>
    <cellStyle name="Normal 4 6 4 6 2 3" xfId="33015"/>
    <cellStyle name="Normal 4 6 4 6 3" xfId="12910"/>
    <cellStyle name="Normal 4 6 4 6 3 2" xfId="36331"/>
    <cellStyle name="Normal 4 6 4 6 4" xfId="20909"/>
    <cellStyle name="Normal 4 6 4 6 4 2" xfId="43360"/>
    <cellStyle name="Normal 4 6 4 6 5" xfId="29699"/>
    <cellStyle name="Normal 4 6 4 7" xfId="7854"/>
    <cellStyle name="Normal 4 6 4 7 2" xfId="14568"/>
    <cellStyle name="Normal 4 6 4 7 2 2" xfId="37989"/>
    <cellStyle name="Normal 4 6 4 7 3" xfId="21681"/>
    <cellStyle name="Normal 4 6 4 7 3 2" xfId="44130"/>
    <cellStyle name="Normal 4 6 4 7 4" xfId="31357"/>
    <cellStyle name="Normal 4 6 4 8" xfId="11250"/>
    <cellStyle name="Normal 4 6 4 8 2" xfId="34673"/>
    <cellStyle name="Normal 4 6 4 9" xfId="18071"/>
    <cellStyle name="Normal 4 6 4 9 2" xfId="41359"/>
    <cellStyle name="Normal 4 6 5" xfId="1711"/>
    <cellStyle name="Normal 4 6 5 10" xfId="28064"/>
    <cellStyle name="Normal 4 6 5 2" xfId="2330"/>
    <cellStyle name="Normal 4 6 5 2 2" xfId="5569"/>
    <cellStyle name="Normal 4 6 5 2 2 2" xfId="7392"/>
    <cellStyle name="Normal 4 6 5 2 2 2 2" xfId="10723"/>
    <cellStyle name="Normal 4 6 5 2 2 2 2 2" xfId="17427"/>
    <cellStyle name="Normal 4 6 5 2 2 2 2 2 2" xfId="40848"/>
    <cellStyle name="Normal 4 6 5 2 2 2 2 3" xfId="23143"/>
    <cellStyle name="Normal 4 6 5 2 2 2 2 3 2" xfId="45565"/>
    <cellStyle name="Normal 4 6 5 2 2 2 2 4" xfId="34216"/>
    <cellStyle name="Normal 4 6 5 2 2 2 3" xfId="14111"/>
    <cellStyle name="Normal 4 6 5 2 2 2 3 2" xfId="37532"/>
    <cellStyle name="Normal 4 6 5 2 2 2 4" xfId="20318"/>
    <cellStyle name="Normal 4 6 5 2 2 2 4 2" xfId="42853"/>
    <cellStyle name="Normal 4 6 5 2 2 2 5" xfId="30900"/>
    <cellStyle name="Normal 4 6 5 2 2 3" xfId="9065"/>
    <cellStyle name="Normal 4 6 5 2 2 3 2" xfId="15769"/>
    <cellStyle name="Normal 4 6 5 2 2 3 2 2" xfId="39190"/>
    <cellStyle name="Normal 4 6 5 2 2 3 3" xfId="21373"/>
    <cellStyle name="Normal 4 6 5 2 2 3 3 2" xfId="43824"/>
    <cellStyle name="Normal 4 6 5 2 2 3 4" xfId="32558"/>
    <cellStyle name="Normal 4 6 5 2 2 4" xfId="12453"/>
    <cellStyle name="Normal 4 6 5 2 2 4 2" xfId="22331"/>
    <cellStyle name="Normal 4 6 5 2 2 4 2 2" xfId="44753"/>
    <cellStyle name="Normal 4 6 5 2 2 4 3" xfId="35874"/>
    <cellStyle name="Normal 4 6 5 2 2 5" xfId="19479"/>
    <cellStyle name="Normal 4 6 5 2 2 5 2" xfId="42021"/>
    <cellStyle name="Normal 4 6 5 2 2 6" xfId="29242"/>
    <cellStyle name="Normal 4 6 5 2 3" xfId="6490"/>
    <cellStyle name="Normal 4 6 5 2 3 2" xfId="9824"/>
    <cellStyle name="Normal 4 6 5 2 3 2 2" xfId="16528"/>
    <cellStyle name="Normal 4 6 5 2 3 2 2 2" xfId="39949"/>
    <cellStyle name="Normal 4 6 5 2 3 2 3" xfId="22738"/>
    <cellStyle name="Normal 4 6 5 2 3 2 3 2" xfId="45160"/>
    <cellStyle name="Normal 4 6 5 2 3 2 4" xfId="33317"/>
    <cellStyle name="Normal 4 6 5 2 3 3" xfId="13212"/>
    <cellStyle name="Normal 4 6 5 2 3 3 2" xfId="36633"/>
    <cellStyle name="Normal 4 6 5 2 3 4" xfId="19902"/>
    <cellStyle name="Normal 4 6 5 2 3 4 2" xfId="42437"/>
    <cellStyle name="Normal 4 6 5 2 3 5" xfId="30001"/>
    <cellStyle name="Normal 4 6 5 2 4" xfId="8157"/>
    <cellStyle name="Normal 4 6 5 2 4 2" xfId="14870"/>
    <cellStyle name="Normal 4 6 5 2 4 2 2" xfId="38291"/>
    <cellStyle name="Normal 4 6 5 2 4 3" xfId="20914"/>
    <cellStyle name="Normal 4 6 5 2 4 3 2" xfId="43365"/>
    <cellStyle name="Normal 4 6 5 2 4 4" xfId="31659"/>
    <cellStyle name="Normal 4 6 5 2 5" xfId="11552"/>
    <cellStyle name="Normal 4 6 5 2 5 2" xfId="21907"/>
    <cellStyle name="Normal 4 6 5 2 5 2 2" xfId="44339"/>
    <cellStyle name="Normal 4 6 5 2 5 3" xfId="34975"/>
    <cellStyle name="Normal 4 6 5 2 6" xfId="18767"/>
    <cellStyle name="Normal 4 6 5 2 6 2" xfId="41596"/>
    <cellStyle name="Normal 4 6 5 2 7" xfId="25904"/>
    <cellStyle name="Normal 4 6 5 2 7 2" xfId="48149"/>
    <cellStyle name="Normal 4 6 5 2 8" xfId="28343"/>
    <cellStyle name="Normal 4 6 5 3" xfId="2709"/>
    <cellStyle name="Normal 4 6 5 3 2" xfId="5801"/>
    <cellStyle name="Normal 4 6 5 3 2 2" xfId="7583"/>
    <cellStyle name="Normal 4 6 5 3 2 2 2" xfId="10912"/>
    <cellStyle name="Normal 4 6 5 3 2 2 2 2" xfId="17616"/>
    <cellStyle name="Normal 4 6 5 3 2 2 2 2 2" xfId="41037"/>
    <cellStyle name="Normal 4 6 5 3 2 2 2 3" xfId="34405"/>
    <cellStyle name="Normal 4 6 5 3 2 2 3" xfId="14300"/>
    <cellStyle name="Normal 4 6 5 3 2 2 3 2" xfId="37721"/>
    <cellStyle name="Normal 4 6 5 3 2 2 4" xfId="22938"/>
    <cellStyle name="Normal 4 6 5 3 2 2 4 2" xfId="45360"/>
    <cellStyle name="Normal 4 6 5 3 2 2 5" xfId="31089"/>
    <cellStyle name="Normal 4 6 5 3 2 3" xfId="9254"/>
    <cellStyle name="Normal 4 6 5 3 2 3 2" xfId="15958"/>
    <cellStyle name="Normal 4 6 5 3 2 3 2 2" xfId="39379"/>
    <cellStyle name="Normal 4 6 5 3 2 3 3" xfId="32747"/>
    <cellStyle name="Normal 4 6 5 3 2 4" xfId="12642"/>
    <cellStyle name="Normal 4 6 5 3 2 4 2" xfId="36063"/>
    <cellStyle name="Normal 4 6 5 3 2 5" xfId="20110"/>
    <cellStyle name="Normal 4 6 5 3 2 5 2" xfId="42645"/>
    <cellStyle name="Normal 4 6 5 3 2 6" xfId="29431"/>
    <cellStyle name="Normal 4 6 5 3 3" xfId="6684"/>
    <cellStyle name="Normal 4 6 5 3 3 2" xfId="10016"/>
    <cellStyle name="Normal 4 6 5 3 3 2 2" xfId="16720"/>
    <cellStyle name="Normal 4 6 5 3 3 2 2 2" xfId="40141"/>
    <cellStyle name="Normal 4 6 5 3 3 2 3" xfId="33509"/>
    <cellStyle name="Normal 4 6 5 3 3 3" xfId="13404"/>
    <cellStyle name="Normal 4 6 5 3 3 3 2" xfId="36825"/>
    <cellStyle name="Normal 4 6 5 3 3 4" xfId="21372"/>
    <cellStyle name="Normal 4 6 5 3 3 4 2" xfId="43823"/>
    <cellStyle name="Normal 4 6 5 3 3 5" xfId="30193"/>
    <cellStyle name="Normal 4 6 5 3 4" xfId="8350"/>
    <cellStyle name="Normal 4 6 5 3 4 2" xfId="15062"/>
    <cellStyle name="Normal 4 6 5 3 4 2 2" xfId="38483"/>
    <cellStyle name="Normal 4 6 5 3 4 3" xfId="22121"/>
    <cellStyle name="Normal 4 6 5 3 4 3 2" xfId="44545"/>
    <cellStyle name="Normal 4 6 5 3 4 4" xfId="31851"/>
    <cellStyle name="Normal 4 6 5 3 5" xfId="11744"/>
    <cellStyle name="Normal 4 6 5 3 5 2" xfId="35167"/>
    <cellStyle name="Normal 4 6 5 3 6" xfId="19260"/>
    <cellStyle name="Normal 4 6 5 3 6 2" xfId="41813"/>
    <cellStyle name="Normal 4 6 5 3 7" xfId="28535"/>
    <cellStyle name="Normal 4 6 5 4" xfId="4058"/>
    <cellStyle name="Normal 4 6 5 4 2" xfId="7057"/>
    <cellStyle name="Normal 4 6 5 4 2 2" xfId="10389"/>
    <cellStyle name="Normal 4 6 5 4 2 2 2" xfId="17093"/>
    <cellStyle name="Normal 4 6 5 4 2 2 2 2" xfId="40514"/>
    <cellStyle name="Normal 4 6 5 4 2 2 3" xfId="33882"/>
    <cellStyle name="Normal 4 6 5 4 2 3" xfId="13777"/>
    <cellStyle name="Normal 4 6 5 4 2 3 2" xfId="37198"/>
    <cellStyle name="Normal 4 6 5 4 2 4" xfId="22533"/>
    <cellStyle name="Normal 4 6 5 4 2 4 2" xfId="44955"/>
    <cellStyle name="Normal 4 6 5 4 2 5" xfId="30566"/>
    <cellStyle name="Normal 4 6 5 4 3" xfId="8724"/>
    <cellStyle name="Normal 4 6 5 4 3 2" xfId="15435"/>
    <cellStyle name="Normal 4 6 5 4 3 2 2" xfId="38856"/>
    <cellStyle name="Normal 4 6 5 4 3 3" xfId="32224"/>
    <cellStyle name="Normal 4 6 5 4 4" xfId="12117"/>
    <cellStyle name="Normal 4 6 5 4 4 2" xfId="35540"/>
    <cellStyle name="Normal 4 6 5 4 5" xfId="19692"/>
    <cellStyle name="Normal 4 6 5 4 5 2" xfId="42229"/>
    <cellStyle name="Normal 4 6 5 4 6" xfId="28908"/>
    <cellStyle name="Normal 4 6 5 5" xfId="6211"/>
    <cellStyle name="Normal 4 6 5 5 2" xfId="9545"/>
    <cellStyle name="Normal 4 6 5 5 2 2" xfId="16249"/>
    <cellStyle name="Normal 4 6 5 5 2 2 2" xfId="39670"/>
    <cellStyle name="Normal 4 6 5 5 2 3" xfId="33038"/>
    <cellStyle name="Normal 4 6 5 5 3" xfId="12933"/>
    <cellStyle name="Normal 4 6 5 5 3 2" xfId="36354"/>
    <cellStyle name="Normal 4 6 5 5 4" xfId="20913"/>
    <cellStyle name="Normal 4 6 5 5 4 2" xfId="43364"/>
    <cellStyle name="Normal 4 6 5 5 5" xfId="29722"/>
    <cellStyle name="Normal 4 6 5 6" xfId="7877"/>
    <cellStyle name="Normal 4 6 5 6 2" xfId="14591"/>
    <cellStyle name="Normal 4 6 5 6 2 2" xfId="38012"/>
    <cellStyle name="Normal 4 6 5 6 3" xfId="21683"/>
    <cellStyle name="Normal 4 6 5 6 3 2" xfId="44132"/>
    <cellStyle name="Normal 4 6 5 6 4" xfId="31380"/>
    <cellStyle name="Normal 4 6 5 7" xfId="11273"/>
    <cellStyle name="Normal 4 6 5 7 2" xfId="34696"/>
    <cellStyle name="Normal 4 6 5 8" xfId="18073"/>
    <cellStyle name="Normal 4 6 5 8 2" xfId="41361"/>
    <cellStyle name="Normal 4 6 5 9" xfId="23673"/>
    <cellStyle name="Normal 4 6 5 9 2" xfId="45962"/>
    <cellStyle name="Normal 4 6 6" xfId="2315"/>
    <cellStyle name="Normal 4 6 6 2" xfId="4059"/>
    <cellStyle name="Normal 4 6 6 2 2" xfId="7058"/>
    <cellStyle name="Normal 4 6 6 2 2 2" xfId="10390"/>
    <cellStyle name="Normal 4 6 6 2 2 2 2" xfId="17094"/>
    <cellStyle name="Normal 4 6 6 2 2 2 2 2" xfId="40515"/>
    <cellStyle name="Normal 4 6 6 2 2 2 3" xfId="23128"/>
    <cellStyle name="Normal 4 6 6 2 2 2 3 2" xfId="45550"/>
    <cellStyle name="Normal 4 6 6 2 2 2 4" xfId="33883"/>
    <cellStyle name="Normal 4 6 6 2 2 3" xfId="13778"/>
    <cellStyle name="Normal 4 6 6 2 2 3 2" xfId="37199"/>
    <cellStyle name="Normal 4 6 6 2 2 4" xfId="20303"/>
    <cellStyle name="Normal 4 6 6 2 2 4 2" xfId="42838"/>
    <cellStyle name="Normal 4 6 6 2 2 5" xfId="30567"/>
    <cellStyle name="Normal 4 6 6 2 3" xfId="8725"/>
    <cellStyle name="Normal 4 6 6 2 3 2" xfId="15436"/>
    <cellStyle name="Normal 4 6 6 2 3 2 2" xfId="38857"/>
    <cellStyle name="Normal 4 6 6 2 3 3" xfId="21374"/>
    <cellStyle name="Normal 4 6 6 2 3 3 2" xfId="43825"/>
    <cellStyle name="Normal 4 6 6 2 3 4" xfId="32225"/>
    <cellStyle name="Normal 4 6 6 2 4" xfId="12118"/>
    <cellStyle name="Normal 4 6 6 2 4 2" xfId="22316"/>
    <cellStyle name="Normal 4 6 6 2 4 2 2" xfId="44738"/>
    <cellStyle name="Normal 4 6 6 2 4 3" xfId="35541"/>
    <cellStyle name="Normal 4 6 6 2 5" xfId="19464"/>
    <cellStyle name="Normal 4 6 6 2 5 2" xfId="42006"/>
    <cellStyle name="Normal 4 6 6 2 6" xfId="25905"/>
    <cellStyle name="Normal 4 6 6 2 6 2" xfId="48150"/>
    <cellStyle name="Normal 4 6 6 2 7" xfId="28909"/>
    <cellStyle name="Normal 4 6 6 3" xfId="6475"/>
    <cellStyle name="Normal 4 6 6 3 2" xfId="9809"/>
    <cellStyle name="Normal 4 6 6 3 2 2" xfId="16513"/>
    <cellStyle name="Normal 4 6 6 3 2 2 2" xfId="39934"/>
    <cellStyle name="Normal 4 6 6 3 2 3" xfId="22723"/>
    <cellStyle name="Normal 4 6 6 3 2 3 2" xfId="45145"/>
    <cellStyle name="Normal 4 6 6 3 2 4" xfId="33302"/>
    <cellStyle name="Normal 4 6 6 3 3" xfId="13197"/>
    <cellStyle name="Normal 4 6 6 3 3 2" xfId="36618"/>
    <cellStyle name="Normal 4 6 6 3 4" xfId="19887"/>
    <cellStyle name="Normal 4 6 6 3 4 2" xfId="42422"/>
    <cellStyle name="Normal 4 6 6 3 5" xfId="29986"/>
    <cellStyle name="Normal 4 6 6 4" xfId="8142"/>
    <cellStyle name="Normal 4 6 6 4 2" xfId="14855"/>
    <cellStyle name="Normal 4 6 6 4 2 2" xfId="38276"/>
    <cellStyle name="Normal 4 6 6 4 3" xfId="20915"/>
    <cellStyle name="Normal 4 6 6 4 3 2" xfId="43366"/>
    <cellStyle name="Normal 4 6 6 4 4" xfId="31644"/>
    <cellStyle name="Normal 4 6 6 5" xfId="11537"/>
    <cellStyle name="Normal 4 6 6 5 2" xfId="21892"/>
    <cellStyle name="Normal 4 6 6 5 2 2" xfId="44324"/>
    <cellStyle name="Normal 4 6 6 5 3" xfId="34960"/>
    <cellStyle name="Normal 4 6 6 6" xfId="18752"/>
    <cellStyle name="Normal 4 6 6 6 2" xfId="41581"/>
    <cellStyle name="Normal 4 6 6 7" xfId="23674"/>
    <cellStyle name="Normal 4 6 6 7 2" xfId="45963"/>
    <cellStyle name="Normal 4 6 6 8" xfId="28328"/>
    <cellStyle name="Normal 4 6 7" xfId="2576"/>
    <cellStyle name="Normal 4 6 7 2" xfId="5670"/>
    <cellStyle name="Normal 4 6 7 2 2" xfId="7453"/>
    <cellStyle name="Normal 4 6 7 2 2 2" xfId="10782"/>
    <cellStyle name="Normal 4 6 7 2 2 2 2" xfId="17486"/>
    <cellStyle name="Normal 4 6 7 2 2 2 2 2" xfId="40907"/>
    <cellStyle name="Normal 4 6 7 2 2 2 3" xfId="34275"/>
    <cellStyle name="Normal 4 6 7 2 2 3" xfId="14170"/>
    <cellStyle name="Normal 4 6 7 2 2 3 2" xfId="37591"/>
    <cellStyle name="Normal 4 6 7 2 2 4" xfId="20599"/>
    <cellStyle name="Normal 4 6 7 2 2 4 2" xfId="43050"/>
    <cellStyle name="Normal 4 6 7 2 2 5" xfId="30959"/>
    <cellStyle name="Normal 4 6 7 2 3" xfId="9124"/>
    <cellStyle name="Normal 4 6 7 2 3 2" xfId="15828"/>
    <cellStyle name="Normal 4 6 7 2 3 2 2" xfId="39249"/>
    <cellStyle name="Normal 4 6 7 2 3 3" xfId="21517"/>
    <cellStyle name="Normal 4 6 7 2 3 3 2" xfId="43968"/>
    <cellStyle name="Normal 4 6 7 2 3 4" xfId="32617"/>
    <cellStyle name="Normal 4 6 7 2 4" xfId="12512"/>
    <cellStyle name="Normal 4 6 7 2 4 2" xfId="22923"/>
    <cellStyle name="Normal 4 6 7 2 4 2 2" xfId="45345"/>
    <cellStyle name="Normal 4 6 7 2 4 3" xfId="35933"/>
    <cellStyle name="Normal 4 6 7 2 5" xfId="20095"/>
    <cellStyle name="Normal 4 6 7 2 5 2" xfId="42630"/>
    <cellStyle name="Normal 4 6 7 2 6" xfId="29301"/>
    <cellStyle name="Normal 4 6 7 3" xfId="6553"/>
    <cellStyle name="Normal 4 6 7 3 2" xfId="9885"/>
    <cellStyle name="Normal 4 6 7 3 2 2" xfId="16589"/>
    <cellStyle name="Normal 4 6 7 3 2 2 2" xfId="40010"/>
    <cellStyle name="Normal 4 6 7 3 2 3" xfId="33378"/>
    <cellStyle name="Normal 4 6 7 3 3" xfId="13273"/>
    <cellStyle name="Normal 4 6 7 3 3 2" xfId="36694"/>
    <cellStyle name="Normal 4 6 7 3 4" xfId="20501"/>
    <cellStyle name="Normal 4 6 7 3 4 2" xfId="42954"/>
    <cellStyle name="Normal 4 6 7 3 5" xfId="30062"/>
    <cellStyle name="Normal 4 6 7 4" xfId="8219"/>
    <cellStyle name="Normal 4 6 7 4 2" xfId="14931"/>
    <cellStyle name="Normal 4 6 7 4 2 2" xfId="38352"/>
    <cellStyle name="Normal 4 6 7 4 3" xfId="21058"/>
    <cellStyle name="Normal 4 6 7 4 3 2" xfId="43509"/>
    <cellStyle name="Normal 4 6 7 4 4" xfId="31720"/>
    <cellStyle name="Normal 4 6 7 5" xfId="11613"/>
    <cellStyle name="Normal 4 6 7 5 2" xfId="22106"/>
    <cellStyle name="Normal 4 6 7 5 2 2" xfId="44530"/>
    <cellStyle name="Normal 4 6 7 5 3" xfId="35036"/>
    <cellStyle name="Normal 4 6 7 6" xfId="19245"/>
    <cellStyle name="Normal 4 6 7 6 2" xfId="41798"/>
    <cellStyle name="Normal 4 6 7 7" xfId="28404"/>
    <cellStyle name="Normal 4 6 8" xfId="4043"/>
    <cellStyle name="Normal 4 6 8 2" xfId="19677"/>
    <cellStyle name="Normal 4 6 8 2 2" xfId="42214"/>
    <cellStyle name="Normal 4 6 8 3" xfId="21343"/>
    <cellStyle name="Normal 4 6 8 3 2" xfId="43794"/>
    <cellStyle name="Normal 4 6 8 4" xfId="22518"/>
    <cellStyle name="Normal 4 6 8 4 2" xfId="44940"/>
    <cellStyle name="Normal 4 6 9" xfId="6080"/>
    <cellStyle name="Normal 4 6 9 2" xfId="9414"/>
    <cellStyle name="Normal 4 6 9 2 2" xfId="16118"/>
    <cellStyle name="Normal 4 6 9 2 2 2" xfId="39539"/>
    <cellStyle name="Normal 4 6 9 2 3" xfId="32907"/>
    <cellStyle name="Normal 4 6 9 3" xfId="12802"/>
    <cellStyle name="Normal 4 6 9 3 2" xfId="36223"/>
    <cellStyle name="Normal 4 6 9 4" xfId="18303"/>
    <cellStyle name="Normal 4 6 9 4 2" xfId="41436"/>
    <cellStyle name="Normal 4 6 9 5" xfId="29591"/>
    <cellStyle name="Normal 4 7" xfId="1208"/>
    <cellStyle name="Normal 4 7 2" xfId="24348"/>
    <cellStyle name="Normal 4 7 2 2" xfId="26551"/>
    <cellStyle name="Normal 4 7 2 2 2" xfId="48796"/>
    <cellStyle name="Normal 4 7 2 3" xfId="46593"/>
    <cellStyle name="Normal 4 8" xfId="1249"/>
    <cellStyle name="Normal 4 8 10" xfId="11149"/>
    <cellStyle name="Normal 4 8 10 2" xfId="21684"/>
    <cellStyle name="Normal 4 8 10 2 2" xfId="44133"/>
    <cellStyle name="Normal 4 8 10 3" xfId="34572"/>
    <cellStyle name="Normal 4 8 11" xfId="18074"/>
    <cellStyle name="Normal 4 8 11 2" xfId="41362"/>
    <cellStyle name="Normal 4 8 12" xfId="23675"/>
    <cellStyle name="Normal 4 8 12 2" xfId="45964"/>
    <cellStyle name="Normal 4 8 13" xfId="27940"/>
    <cellStyle name="Normal 4 8 2" xfId="1440"/>
    <cellStyle name="Normal 4 8 2 10" xfId="18075"/>
    <cellStyle name="Normal 4 8 2 10 2" xfId="41363"/>
    <cellStyle name="Normal 4 8 2 11" xfId="23676"/>
    <cellStyle name="Normal 4 8 2 11 2" xfId="45965"/>
    <cellStyle name="Normal 4 8 2 12" xfId="27976"/>
    <cellStyle name="Normal 4 8 2 2" xfId="1627"/>
    <cellStyle name="Normal 4 8 2 2 10" xfId="23677"/>
    <cellStyle name="Normal 4 8 2 2 10 2" xfId="45966"/>
    <cellStyle name="Normal 4 8 2 2 11" xfId="28046"/>
    <cellStyle name="Normal 4 8 2 2 2" xfId="1825"/>
    <cellStyle name="Normal 4 8 2 2 2 10" xfId="28177"/>
    <cellStyle name="Normal 4 8 2 2 2 2" xfId="2334"/>
    <cellStyle name="Normal 4 8 2 2 2 2 2" xfId="5573"/>
    <cellStyle name="Normal 4 8 2 2 2 2 2 2" xfId="7396"/>
    <cellStyle name="Normal 4 8 2 2 2 2 2 2 2" xfId="10727"/>
    <cellStyle name="Normal 4 8 2 2 2 2 2 2 2 2" xfId="17431"/>
    <cellStyle name="Normal 4 8 2 2 2 2 2 2 2 2 2" xfId="40852"/>
    <cellStyle name="Normal 4 8 2 2 2 2 2 2 2 3" xfId="23147"/>
    <cellStyle name="Normal 4 8 2 2 2 2 2 2 2 3 2" xfId="45569"/>
    <cellStyle name="Normal 4 8 2 2 2 2 2 2 2 4" xfId="34220"/>
    <cellStyle name="Normal 4 8 2 2 2 2 2 2 3" xfId="14115"/>
    <cellStyle name="Normal 4 8 2 2 2 2 2 2 3 2" xfId="37536"/>
    <cellStyle name="Normal 4 8 2 2 2 2 2 2 4" xfId="20322"/>
    <cellStyle name="Normal 4 8 2 2 2 2 2 2 4 2" xfId="42857"/>
    <cellStyle name="Normal 4 8 2 2 2 2 2 2 5" xfId="30904"/>
    <cellStyle name="Normal 4 8 2 2 2 2 2 3" xfId="9069"/>
    <cellStyle name="Normal 4 8 2 2 2 2 2 3 2" xfId="15773"/>
    <cellStyle name="Normal 4 8 2 2 2 2 2 3 2 2" xfId="39194"/>
    <cellStyle name="Normal 4 8 2 2 2 2 2 3 3" xfId="21379"/>
    <cellStyle name="Normal 4 8 2 2 2 2 2 3 3 2" xfId="43830"/>
    <cellStyle name="Normal 4 8 2 2 2 2 2 3 4" xfId="32562"/>
    <cellStyle name="Normal 4 8 2 2 2 2 2 4" xfId="12457"/>
    <cellStyle name="Normal 4 8 2 2 2 2 2 4 2" xfId="22335"/>
    <cellStyle name="Normal 4 8 2 2 2 2 2 4 2 2" xfId="44757"/>
    <cellStyle name="Normal 4 8 2 2 2 2 2 4 3" xfId="35878"/>
    <cellStyle name="Normal 4 8 2 2 2 2 2 5" xfId="19483"/>
    <cellStyle name="Normal 4 8 2 2 2 2 2 5 2" xfId="42025"/>
    <cellStyle name="Normal 4 8 2 2 2 2 2 6" xfId="29246"/>
    <cellStyle name="Normal 4 8 2 2 2 2 3" xfId="6494"/>
    <cellStyle name="Normal 4 8 2 2 2 2 3 2" xfId="9828"/>
    <cellStyle name="Normal 4 8 2 2 2 2 3 2 2" xfId="16532"/>
    <cellStyle name="Normal 4 8 2 2 2 2 3 2 2 2" xfId="39953"/>
    <cellStyle name="Normal 4 8 2 2 2 2 3 2 3" xfId="22742"/>
    <cellStyle name="Normal 4 8 2 2 2 2 3 2 3 2" xfId="45164"/>
    <cellStyle name="Normal 4 8 2 2 2 2 3 2 4" xfId="33321"/>
    <cellStyle name="Normal 4 8 2 2 2 2 3 3" xfId="13216"/>
    <cellStyle name="Normal 4 8 2 2 2 2 3 3 2" xfId="36637"/>
    <cellStyle name="Normal 4 8 2 2 2 2 3 4" xfId="19906"/>
    <cellStyle name="Normal 4 8 2 2 2 2 3 4 2" xfId="42441"/>
    <cellStyle name="Normal 4 8 2 2 2 2 3 5" xfId="30005"/>
    <cellStyle name="Normal 4 8 2 2 2 2 4" xfId="8161"/>
    <cellStyle name="Normal 4 8 2 2 2 2 4 2" xfId="14874"/>
    <cellStyle name="Normal 4 8 2 2 2 2 4 2 2" xfId="38295"/>
    <cellStyle name="Normal 4 8 2 2 2 2 4 3" xfId="20920"/>
    <cellStyle name="Normal 4 8 2 2 2 2 4 3 2" xfId="43371"/>
    <cellStyle name="Normal 4 8 2 2 2 2 4 4" xfId="31663"/>
    <cellStyle name="Normal 4 8 2 2 2 2 5" xfId="11556"/>
    <cellStyle name="Normal 4 8 2 2 2 2 5 2" xfId="21911"/>
    <cellStyle name="Normal 4 8 2 2 2 2 5 2 2" xfId="44343"/>
    <cellStyle name="Normal 4 8 2 2 2 2 5 3" xfId="34979"/>
    <cellStyle name="Normal 4 8 2 2 2 2 6" xfId="18771"/>
    <cellStyle name="Normal 4 8 2 2 2 2 6 2" xfId="41600"/>
    <cellStyle name="Normal 4 8 2 2 2 2 7" xfId="25909"/>
    <cellStyle name="Normal 4 8 2 2 2 2 7 2" xfId="48154"/>
    <cellStyle name="Normal 4 8 2 2 2 2 8" xfId="28347"/>
    <cellStyle name="Normal 4 8 2 2 2 3" xfId="2822"/>
    <cellStyle name="Normal 4 8 2 2 2 3 2" xfId="5914"/>
    <cellStyle name="Normal 4 8 2 2 2 3 2 2" xfId="7696"/>
    <cellStyle name="Normal 4 8 2 2 2 3 2 2 2" xfId="11025"/>
    <cellStyle name="Normal 4 8 2 2 2 3 2 2 2 2" xfId="17729"/>
    <cellStyle name="Normal 4 8 2 2 2 3 2 2 2 2 2" xfId="41150"/>
    <cellStyle name="Normal 4 8 2 2 2 3 2 2 2 3" xfId="34518"/>
    <cellStyle name="Normal 4 8 2 2 2 3 2 2 3" xfId="14413"/>
    <cellStyle name="Normal 4 8 2 2 2 3 2 2 3 2" xfId="37834"/>
    <cellStyle name="Normal 4 8 2 2 2 3 2 2 4" xfId="22942"/>
    <cellStyle name="Normal 4 8 2 2 2 3 2 2 4 2" xfId="45364"/>
    <cellStyle name="Normal 4 8 2 2 2 3 2 2 5" xfId="31202"/>
    <cellStyle name="Normal 4 8 2 2 2 3 2 3" xfId="9367"/>
    <cellStyle name="Normal 4 8 2 2 2 3 2 3 2" xfId="16071"/>
    <cellStyle name="Normal 4 8 2 2 2 3 2 3 2 2" xfId="39492"/>
    <cellStyle name="Normal 4 8 2 2 2 3 2 3 3" xfId="32860"/>
    <cellStyle name="Normal 4 8 2 2 2 3 2 4" xfId="12755"/>
    <cellStyle name="Normal 4 8 2 2 2 3 2 4 2" xfId="36176"/>
    <cellStyle name="Normal 4 8 2 2 2 3 2 5" xfId="20114"/>
    <cellStyle name="Normal 4 8 2 2 2 3 2 5 2" xfId="42649"/>
    <cellStyle name="Normal 4 8 2 2 2 3 2 6" xfId="29544"/>
    <cellStyle name="Normal 4 8 2 2 2 3 3" xfId="6797"/>
    <cellStyle name="Normal 4 8 2 2 2 3 3 2" xfId="10129"/>
    <cellStyle name="Normal 4 8 2 2 2 3 3 2 2" xfId="16833"/>
    <cellStyle name="Normal 4 8 2 2 2 3 3 2 2 2" xfId="40254"/>
    <cellStyle name="Normal 4 8 2 2 2 3 3 2 3" xfId="33622"/>
    <cellStyle name="Normal 4 8 2 2 2 3 3 3" xfId="13517"/>
    <cellStyle name="Normal 4 8 2 2 2 3 3 3 2" xfId="36938"/>
    <cellStyle name="Normal 4 8 2 2 2 3 3 4" xfId="21378"/>
    <cellStyle name="Normal 4 8 2 2 2 3 3 4 2" xfId="43829"/>
    <cellStyle name="Normal 4 8 2 2 2 3 3 5" xfId="30306"/>
    <cellStyle name="Normal 4 8 2 2 2 3 4" xfId="8463"/>
    <cellStyle name="Normal 4 8 2 2 2 3 4 2" xfId="15175"/>
    <cellStyle name="Normal 4 8 2 2 2 3 4 2 2" xfId="38596"/>
    <cellStyle name="Normal 4 8 2 2 2 3 4 3" xfId="22125"/>
    <cellStyle name="Normal 4 8 2 2 2 3 4 3 2" xfId="44549"/>
    <cellStyle name="Normal 4 8 2 2 2 3 4 4" xfId="31964"/>
    <cellStyle name="Normal 4 8 2 2 2 3 5" xfId="11857"/>
    <cellStyle name="Normal 4 8 2 2 2 3 5 2" xfId="35280"/>
    <cellStyle name="Normal 4 8 2 2 2 3 6" xfId="19264"/>
    <cellStyle name="Normal 4 8 2 2 2 3 6 2" xfId="41817"/>
    <cellStyle name="Normal 4 8 2 2 2 3 7" xfId="28648"/>
    <cellStyle name="Normal 4 8 2 2 2 4" xfId="4063"/>
    <cellStyle name="Normal 4 8 2 2 2 4 2" xfId="7062"/>
    <cellStyle name="Normal 4 8 2 2 2 4 2 2" xfId="10394"/>
    <cellStyle name="Normal 4 8 2 2 2 4 2 2 2" xfId="17098"/>
    <cellStyle name="Normal 4 8 2 2 2 4 2 2 2 2" xfId="40519"/>
    <cellStyle name="Normal 4 8 2 2 2 4 2 2 3" xfId="33887"/>
    <cellStyle name="Normal 4 8 2 2 2 4 2 3" xfId="13782"/>
    <cellStyle name="Normal 4 8 2 2 2 4 2 3 2" xfId="37203"/>
    <cellStyle name="Normal 4 8 2 2 2 4 2 4" xfId="22537"/>
    <cellStyle name="Normal 4 8 2 2 2 4 2 4 2" xfId="44959"/>
    <cellStyle name="Normal 4 8 2 2 2 4 2 5" xfId="30571"/>
    <cellStyle name="Normal 4 8 2 2 2 4 3" xfId="8729"/>
    <cellStyle name="Normal 4 8 2 2 2 4 3 2" xfId="15440"/>
    <cellStyle name="Normal 4 8 2 2 2 4 3 2 2" xfId="38861"/>
    <cellStyle name="Normal 4 8 2 2 2 4 3 3" xfId="32229"/>
    <cellStyle name="Normal 4 8 2 2 2 4 4" xfId="12122"/>
    <cellStyle name="Normal 4 8 2 2 2 4 4 2" xfId="35545"/>
    <cellStyle name="Normal 4 8 2 2 2 4 5" xfId="19696"/>
    <cellStyle name="Normal 4 8 2 2 2 4 5 2" xfId="42233"/>
    <cellStyle name="Normal 4 8 2 2 2 4 6" xfId="28913"/>
    <cellStyle name="Normal 4 8 2 2 2 5" xfId="6324"/>
    <cellStyle name="Normal 4 8 2 2 2 5 2" xfId="9658"/>
    <cellStyle name="Normal 4 8 2 2 2 5 2 2" xfId="16362"/>
    <cellStyle name="Normal 4 8 2 2 2 5 2 2 2" xfId="39783"/>
    <cellStyle name="Normal 4 8 2 2 2 5 2 3" xfId="33151"/>
    <cellStyle name="Normal 4 8 2 2 2 5 3" xfId="13046"/>
    <cellStyle name="Normal 4 8 2 2 2 5 3 2" xfId="36467"/>
    <cellStyle name="Normal 4 8 2 2 2 5 4" xfId="20919"/>
    <cellStyle name="Normal 4 8 2 2 2 5 4 2" xfId="43370"/>
    <cellStyle name="Normal 4 8 2 2 2 5 5" xfId="29835"/>
    <cellStyle name="Normal 4 8 2 2 2 6" xfId="7990"/>
    <cellStyle name="Normal 4 8 2 2 2 6 2" xfId="14704"/>
    <cellStyle name="Normal 4 8 2 2 2 6 2 2" xfId="38125"/>
    <cellStyle name="Normal 4 8 2 2 2 6 3" xfId="21687"/>
    <cellStyle name="Normal 4 8 2 2 2 6 3 2" xfId="44136"/>
    <cellStyle name="Normal 4 8 2 2 2 6 4" xfId="31493"/>
    <cellStyle name="Normal 4 8 2 2 2 7" xfId="11386"/>
    <cellStyle name="Normal 4 8 2 2 2 7 2" xfId="34809"/>
    <cellStyle name="Normal 4 8 2 2 2 8" xfId="18077"/>
    <cellStyle name="Normal 4 8 2 2 2 8 2" xfId="41365"/>
    <cellStyle name="Normal 4 8 2 2 2 9" xfId="23678"/>
    <cellStyle name="Normal 4 8 2 2 2 9 2" xfId="45967"/>
    <cellStyle name="Normal 4 8 2 2 3" xfId="2333"/>
    <cellStyle name="Normal 4 8 2 2 3 2" xfId="5572"/>
    <cellStyle name="Normal 4 8 2 2 3 2 2" xfId="7395"/>
    <cellStyle name="Normal 4 8 2 2 3 2 2 2" xfId="10726"/>
    <cellStyle name="Normal 4 8 2 2 3 2 2 2 2" xfId="17430"/>
    <cellStyle name="Normal 4 8 2 2 3 2 2 2 2 2" xfId="40851"/>
    <cellStyle name="Normal 4 8 2 2 3 2 2 2 3" xfId="23146"/>
    <cellStyle name="Normal 4 8 2 2 3 2 2 2 3 2" xfId="45568"/>
    <cellStyle name="Normal 4 8 2 2 3 2 2 2 4" xfId="34219"/>
    <cellStyle name="Normal 4 8 2 2 3 2 2 3" xfId="14114"/>
    <cellStyle name="Normal 4 8 2 2 3 2 2 3 2" xfId="37535"/>
    <cellStyle name="Normal 4 8 2 2 3 2 2 4" xfId="20321"/>
    <cellStyle name="Normal 4 8 2 2 3 2 2 4 2" xfId="42856"/>
    <cellStyle name="Normal 4 8 2 2 3 2 2 5" xfId="30903"/>
    <cellStyle name="Normal 4 8 2 2 3 2 3" xfId="9068"/>
    <cellStyle name="Normal 4 8 2 2 3 2 3 2" xfId="15772"/>
    <cellStyle name="Normal 4 8 2 2 3 2 3 2 2" xfId="39193"/>
    <cellStyle name="Normal 4 8 2 2 3 2 3 3" xfId="21380"/>
    <cellStyle name="Normal 4 8 2 2 3 2 3 3 2" xfId="43831"/>
    <cellStyle name="Normal 4 8 2 2 3 2 3 4" xfId="32561"/>
    <cellStyle name="Normal 4 8 2 2 3 2 4" xfId="12456"/>
    <cellStyle name="Normal 4 8 2 2 3 2 4 2" xfId="22334"/>
    <cellStyle name="Normal 4 8 2 2 3 2 4 2 2" xfId="44756"/>
    <cellStyle name="Normal 4 8 2 2 3 2 4 3" xfId="35877"/>
    <cellStyle name="Normal 4 8 2 2 3 2 5" xfId="19482"/>
    <cellStyle name="Normal 4 8 2 2 3 2 5 2" xfId="42024"/>
    <cellStyle name="Normal 4 8 2 2 3 2 6" xfId="29245"/>
    <cellStyle name="Normal 4 8 2 2 3 3" xfId="6493"/>
    <cellStyle name="Normal 4 8 2 2 3 3 2" xfId="9827"/>
    <cellStyle name="Normal 4 8 2 2 3 3 2 2" xfId="16531"/>
    <cellStyle name="Normal 4 8 2 2 3 3 2 2 2" xfId="39952"/>
    <cellStyle name="Normal 4 8 2 2 3 3 2 3" xfId="22741"/>
    <cellStyle name="Normal 4 8 2 2 3 3 2 3 2" xfId="45163"/>
    <cellStyle name="Normal 4 8 2 2 3 3 2 4" xfId="33320"/>
    <cellStyle name="Normal 4 8 2 2 3 3 3" xfId="13215"/>
    <cellStyle name="Normal 4 8 2 2 3 3 3 2" xfId="36636"/>
    <cellStyle name="Normal 4 8 2 2 3 3 4" xfId="19905"/>
    <cellStyle name="Normal 4 8 2 2 3 3 4 2" xfId="42440"/>
    <cellStyle name="Normal 4 8 2 2 3 3 5" xfId="30004"/>
    <cellStyle name="Normal 4 8 2 2 3 4" xfId="8160"/>
    <cellStyle name="Normal 4 8 2 2 3 4 2" xfId="14873"/>
    <cellStyle name="Normal 4 8 2 2 3 4 2 2" xfId="38294"/>
    <cellStyle name="Normal 4 8 2 2 3 4 3" xfId="20921"/>
    <cellStyle name="Normal 4 8 2 2 3 4 3 2" xfId="43372"/>
    <cellStyle name="Normal 4 8 2 2 3 4 4" xfId="31662"/>
    <cellStyle name="Normal 4 8 2 2 3 5" xfId="11555"/>
    <cellStyle name="Normal 4 8 2 2 3 5 2" xfId="21910"/>
    <cellStyle name="Normal 4 8 2 2 3 5 2 2" xfId="44342"/>
    <cellStyle name="Normal 4 8 2 2 3 5 3" xfId="34978"/>
    <cellStyle name="Normal 4 8 2 2 3 6" xfId="18770"/>
    <cellStyle name="Normal 4 8 2 2 3 6 2" xfId="41599"/>
    <cellStyle name="Normal 4 8 2 2 3 7" xfId="25908"/>
    <cellStyle name="Normal 4 8 2 2 3 7 2" xfId="48153"/>
    <cellStyle name="Normal 4 8 2 2 3 8" xfId="28346"/>
    <cellStyle name="Normal 4 8 2 2 4" xfId="2690"/>
    <cellStyle name="Normal 4 8 2 2 4 2" xfId="5783"/>
    <cellStyle name="Normal 4 8 2 2 4 2 2" xfId="7565"/>
    <cellStyle name="Normal 4 8 2 2 4 2 2 2" xfId="10894"/>
    <cellStyle name="Normal 4 8 2 2 4 2 2 2 2" xfId="17598"/>
    <cellStyle name="Normal 4 8 2 2 4 2 2 2 2 2" xfId="41019"/>
    <cellStyle name="Normal 4 8 2 2 4 2 2 2 3" xfId="34387"/>
    <cellStyle name="Normal 4 8 2 2 4 2 2 3" xfId="14282"/>
    <cellStyle name="Normal 4 8 2 2 4 2 2 3 2" xfId="37703"/>
    <cellStyle name="Normal 4 8 2 2 4 2 2 4" xfId="22941"/>
    <cellStyle name="Normal 4 8 2 2 4 2 2 4 2" xfId="45363"/>
    <cellStyle name="Normal 4 8 2 2 4 2 2 5" xfId="31071"/>
    <cellStyle name="Normal 4 8 2 2 4 2 3" xfId="9236"/>
    <cellStyle name="Normal 4 8 2 2 4 2 3 2" xfId="15940"/>
    <cellStyle name="Normal 4 8 2 2 4 2 3 2 2" xfId="39361"/>
    <cellStyle name="Normal 4 8 2 2 4 2 3 3" xfId="32729"/>
    <cellStyle name="Normal 4 8 2 2 4 2 4" xfId="12624"/>
    <cellStyle name="Normal 4 8 2 2 4 2 4 2" xfId="36045"/>
    <cellStyle name="Normal 4 8 2 2 4 2 5" xfId="20113"/>
    <cellStyle name="Normal 4 8 2 2 4 2 5 2" xfId="42648"/>
    <cellStyle name="Normal 4 8 2 2 4 2 6" xfId="29413"/>
    <cellStyle name="Normal 4 8 2 2 4 3" xfId="6666"/>
    <cellStyle name="Normal 4 8 2 2 4 3 2" xfId="9998"/>
    <cellStyle name="Normal 4 8 2 2 4 3 2 2" xfId="16702"/>
    <cellStyle name="Normal 4 8 2 2 4 3 2 2 2" xfId="40123"/>
    <cellStyle name="Normal 4 8 2 2 4 3 2 3" xfId="33491"/>
    <cellStyle name="Normal 4 8 2 2 4 3 3" xfId="13386"/>
    <cellStyle name="Normal 4 8 2 2 4 3 3 2" xfId="36807"/>
    <cellStyle name="Normal 4 8 2 2 4 3 4" xfId="21377"/>
    <cellStyle name="Normal 4 8 2 2 4 3 4 2" xfId="43828"/>
    <cellStyle name="Normal 4 8 2 2 4 3 5" xfId="30175"/>
    <cellStyle name="Normal 4 8 2 2 4 4" xfId="8332"/>
    <cellStyle name="Normal 4 8 2 2 4 4 2" xfId="15044"/>
    <cellStyle name="Normal 4 8 2 2 4 4 2 2" xfId="38465"/>
    <cellStyle name="Normal 4 8 2 2 4 4 3" xfId="22124"/>
    <cellStyle name="Normal 4 8 2 2 4 4 3 2" xfId="44548"/>
    <cellStyle name="Normal 4 8 2 2 4 4 4" xfId="31833"/>
    <cellStyle name="Normal 4 8 2 2 4 5" xfId="11726"/>
    <cellStyle name="Normal 4 8 2 2 4 5 2" xfId="35149"/>
    <cellStyle name="Normal 4 8 2 2 4 6" xfId="19263"/>
    <cellStyle name="Normal 4 8 2 2 4 6 2" xfId="41816"/>
    <cellStyle name="Normal 4 8 2 2 4 7" xfId="28517"/>
    <cellStyle name="Normal 4 8 2 2 5" xfId="4062"/>
    <cellStyle name="Normal 4 8 2 2 5 2" xfId="7061"/>
    <cellStyle name="Normal 4 8 2 2 5 2 2" xfId="10393"/>
    <cellStyle name="Normal 4 8 2 2 5 2 2 2" xfId="17097"/>
    <cellStyle name="Normal 4 8 2 2 5 2 2 2 2" xfId="40518"/>
    <cellStyle name="Normal 4 8 2 2 5 2 2 3" xfId="33886"/>
    <cellStyle name="Normal 4 8 2 2 5 2 3" xfId="13781"/>
    <cellStyle name="Normal 4 8 2 2 5 2 3 2" xfId="37202"/>
    <cellStyle name="Normal 4 8 2 2 5 2 4" xfId="22536"/>
    <cellStyle name="Normal 4 8 2 2 5 2 4 2" xfId="44958"/>
    <cellStyle name="Normal 4 8 2 2 5 2 5" xfId="30570"/>
    <cellStyle name="Normal 4 8 2 2 5 3" xfId="8728"/>
    <cellStyle name="Normal 4 8 2 2 5 3 2" xfId="15439"/>
    <cellStyle name="Normal 4 8 2 2 5 3 2 2" xfId="38860"/>
    <cellStyle name="Normal 4 8 2 2 5 3 3" xfId="32228"/>
    <cellStyle name="Normal 4 8 2 2 5 4" xfId="12121"/>
    <cellStyle name="Normal 4 8 2 2 5 4 2" xfId="35544"/>
    <cellStyle name="Normal 4 8 2 2 5 5" xfId="19695"/>
    <cellStyle name="Normal 4 8 2 2 5 5 2" xfId="42232"/>
    <cellStyle name="Normal 4 8 2 2 5 6" xfId="28912"/>
    <cellStyle name="Normal 4 8 2 2 6" xfId="6193"/>
    <cellStyle name="Normal 4 8 2 2 6 2" xfId="9527"/>
    <cellStyle name="Normal 4 8 2 2 6 2 2" xfId="16231"/>
    <cellStyle name="Normal 4 8 2 2 6 2 2 2" xfId="39652"/>
    <cellStyle name="Normal 4 8 2 2 6 2 3" xfId="33020"/>
    <cellStyle name="Normal 4 8 2 2 6 3" xfId="12915"/>
    <cellStyle name="Normal 4 8 2 2 6 3 2" xfId="36336"/>
    <cellStyle name="Normal 4 8 2 2 6 4" xfId="20918"/>
    <cellStyle name="Normal 4 8 2 2 6 4 2" xfId="43369"/>
    <cellStyle name="Normal 4 8 2 2 6 5" xfId="29704"/>
    <cellStyle name="Normal 4 8 2 2 7" xfId="7859"/>
    <cellStyle name="Normal 4 8 2 2 7 2" xfId="14573"/>
    <cellStyle name="Normal 4 8 2 2 7 2 2" xfId="37994"/>
    <cellStyle name="Normal 4 8 2 2 7 3" xfId="21686"/>
    <cellStyle name="Normal 4 8 2 2 7 3 2" xfId="44135"/>
    <cellStyle name="Normal 4 8 2 2 7 4" xfId="31362"/>
    <cellStyle name="Normal 4 8 2 2 8" xfId="11255"/>
    <cellStyle name="Normal 4 8 2 2 8 2" xfId="34678"/>
    <cellStyle name="Normal 4 8 2 2 9" xfId="18076"/>
    <cellStyle name="Normal 4 8 2 2 9 2" xfId="41364"/>
    <cellStyle name="Normal 4 8 2 3" xfId="1755"/>
    <cellStyle name="Normal 4 8 2 3 10" xfId="28107"/>
    <cellStyle name="Normal 4 8 2 3 2" xfId="2335"/>
    <cellStyle name="Normal 4 8 2 3 2 2" xfId="5574"/>
    <cellStyle name="Normal 4 8 2 3 2 2 2" xfId="7397"/>
    <cellStyle name="Normal 4 8 2 3 2 2 2 2" xfId="10728"/>
    <cellStyle name="Normal 4 8 2 3 2 2 2 2 2" xfId="17432"/>
    <cellStyle name="Normal 4 8 2 3 2 2 2 2 2 2" xfId="40853"/>
    <cellStyle name="Normal 4 8 2 3 2 2 2 2 3" xfId="23148"/>
    <cellStyle name="Normal 4 8 2 3 2 2 2 2 3 2" xfId="45570"/>
    <cellStyle name="Normal 4 8 2 3 2 2 2 2 4" xfId="34221"/>
    <cellStyle name="Normal 4 8 2 3 2 2 2 3" xfId="14116"/>
    <cellStyle name="Normal 4 8 2 3 2 2 2 3 2" xfId="37537"/>
    <cellStyle name="Normal 4 8 2 3 2 2 2 4" xfId="20323"/>
    <cellStyle name="Normal 4 8 2 3 2 2 2 4 2" xfId="42858"/>
    <cellStyle name="Normal 4 8 2 3 2 2 2 5" xfId="30905"/>
    <cellStyle name="Normal 4 8 2 3 2 2 3" xfId="9070"/>
    <cellStyle name="Normal 4 8 2 3 2 2 3 2" xfId="15774"/>
    <cellStyle name="Normal 4 8 2 3 2 2 3 2 2" xfId="39195"/>
    <cellStyle name="Normal 4 8 2 3 2 2 3 3" xfId="21382"/>
    <cellStyle name="Normal 4 8 2 3 2 2 3 3 2" xfId="43833"/>
    <cellStyle name="Normal 4 8 2 3 2 2 3 4" xfId="32563"/>
    <cellStyle name="Normal 4 8 2 3 2 2 4" xfId="12458"/>
    <cellStyle name="Normal 4 8 2 3 2 2 4 2" xfId="22336"/>
    <cellStyle name="Normal 4 8 2 3 2 2 4 2 2" xfId="44758"/>
    <cellStyle name="Normal 4 8 2 3 2 2 4 3" xfId="35879"/>
    <cellStyle name="Normal 4 8 2 3 2 2 5" xfId="19484"/>
    <cellStyle name="Normal 4 8 2 3 2 2 5 2" xfId="42026"/>
    <cellStyle name="Normal 4 8 2 3 2 2 6" xfId="29247"/>
    <cellStyle name="Normal 4 8 2 3 2 3" xfId="6495"/>
    <cellStyle name="Normal 4 8 2 3 2 3 2" xfId="9829"/>
    <cellStyle name="Normal 4 8 2 3 2 3 2 2" xfId="16533"/>
    <cellStyle name="Normal 4 8 2 3 2 3 2 2 2" xfId="39954"/>
    <cellStyle name="Normal 4 8 2 3 2 3 2 3" xfId="22743"/>
    <cellStyle name="Normal 4 8 2 3 2 3 2 3 2" xfId="45165"/>
    <cellStyle name="Normal 4 8 2 3 2 3 2 4" xfId="33322"/>
    <cellStyle name="Normal 4 8 2 3 2 3 3" xfId="13217"/>
    <cellStyle name="Normal 4 8 2 3 2 3 3 2" xfId="36638"/>
    <cellStyle name="Normal 4 8 2 3 2 3 4" xfId="19907"/>
    <cellStyle name="Normal 4 8 2 3 2 3 4 2" xfId="42442"/>
    <cellStyle name="Normal 4 8 2 3 2 3 5" xfId="30006"/>
    <cellStyle name="Normal 4 8 2 3 2 4" xfId="8162"/>
    <cellStyle name="Normal 4 8 2 3 2 4 2" xfId="14875"/>
    <cellStyle name="Normal 4 8 2 3 2 4 2 2" xfId="38296"/>
    <cellStyle name="Normal 4 8 2 3 2 4 3" xfId="20923"/>
    <cellStyle name="Normal 4 8 2 3 2 4 3 2" xfId="43374"/>
    <cellStyle name="Normal 4 8 2 3 2 4 4" xfId="31664"/>
    <cellStyle name="Normal 4 8 2 3 2 5" xfId="11557"/>
    <cellStyle name="Normal 4 8 2 3 2 5 2" xfId="21912"/>
    <cellStyle name="Normal 4 8 2 3 2 5 2 2" xfId="44344"/>
    <cellStyle name="Normal 4 8 2 3 2 5 3" xfId="34980"/>
    <cellStyle name="Normal 4 8 2 3 2 6" xfId="18772"/>
    <cellStyle name="Normal 4 8 2 3 2 6 2" xfId="41601"/>
    <cellStyle name="Normal 4 8 2 3 2 7" xfId="25910"/>
    <cellStyle name="Normal 4 8 2 3 2 7 2" xfId="48155"/>
    <cellStyle name="Normal 4 8 2 3 2 8" xfId="28348"/>
    <cellStyle name="Normal 4 8 2 3 3" xfId="2752"/>
    <cellStyle name="Normal 4 8 2 3 3 2" xfId="5844"/>
    <cellStyle name="Normal 4 8 2 3 3 2 2" xfId="7626"/>
    <cellStyle name="Normal 4 8 2 3 3 2 2 2" xfId="10955"/>
    <cellStyle name="Normal 4 8 2 3 3 2 2 2 2" xfId="17659"/>
    <cellStyle name="Normal 4 8 2 3 3 2 2 2 2 2" xfId="41080"/>
    <cellStyle name="Normal 4 8 2 3 3 2 2 2 3" xfId="34448"/>
    <cellStyle name="Normal 4 8 2 3 3 2 2 3" xfId="14343"/>
    <cellStyle name="Normal 4 8 2 3 3 2 2 3 2" xfId="37764"/>
    <cellStyle name="Normal 4 8 2 3 3 2 2 4" xfId="22943"/>
    <cellStyle name="Normal 4 8 2 3 3 2 2 4 2" xfId="45365"/>
    <cellStyle name="Normal 4 8 2 3 3 2 2 5" xfId="31132"/>
    <cellStyle name="Normal 4 8 2 3 3 2 3" xfId="9297"/>
    <cellStyle name="Normal 4 8 2 3 3 2 3 2" xfId="16001"/>
    <cellStyle name="Normal 4 8 2 3 3 2 3 2 2" xfId="39422"/>
    <cellStyle name="Normal 4 8 2 3 3 2 3 3" xfId="32790"/>
    <cellStyle name="Normal 4 8 2 3 3 2 4" xfId="12685"/>
    <cellStyle name="Normal 4 8 2 3 3 2 4 2" xfId="36106"/>
    <cellStyle name="Normal 4 8 2 3 3 2 5" xfId="20115"/>
    <cellStyle name="Normal 4 8 2 3 3 2 5 2" xfId="42650"/>
    <cellStyle name="Normal 4 8 2 3 3 2 6" xfId="29474"/>
    <cellStyle name="Normal 4 8 2 3 3 3" xfId="6727"/>
    <cellStyle name="Normal 4 8 2 3 3 3 2" xfId="10059"/>
    <cellStyle name="Normal 4 8 2 3 3 3 2 2" xfId="16763"/>
    <cellStyle name="Normal 4 8 2 3 3 3 2 2 2" xfId="40184"/>
    <cellStyle name="Normal 4 8 2 3 3 3 2 3" xfId="33552"/>
    <cellStyle name="Normal 4 8 2 3 3 3 3" xfId="13447"/>
    <cellStyle name="Normal 4 8 2 3 3 3 3 2" xfId="36868"/>
    <cellStyle name="Normal 4 8 2 3 3 3 4" xfId="21381"/>
    <cellStyle name="Normal 4 8 2 3 3 3 4 2" xfId="43832"/>
    <cellStyle name="Normal 4 8 2 3 3 3 5" xfId="30236"/>
    <cellStyle name="Normal 4 8 2 3 3 4" xfId="8393"/>
    <cellStyle name="Normal 4 8 2 3 3 4 2" xfId="15105"/>
    <cellStyle name="Normal 4 8 2 3 3 4 2 2" xfId="38526"/>
    <cellStyle name="Normal 4 8 2 3 3 4 3" xfId="22126"/>
    <cellStyle name="Normal 4 8 2 3 3 4 3 2" xfId="44550"/>
    <cellStyle name="Normal 4 8 2 3 3 4 4" xfId="31894"/>
    <cellStyle name="Normal 4 8 2 3 3 5" xfId="11787"/>
    <cellStyle name="Normal 4 8 2 3 3 5 2" xfId="35210"/>
    <cellStyle name="Normal 4 8 2 3 3 6" xfId="19265"/>
    <cellStyle name="Normal 4 8 2 3 3 6 2" xfId="41818"/>
    <cellStyle name="Normal 4 8 2 3 3 7" xfId="28578"/>
    <cellStyle name="Normal 4 8 2 3 4" xfId="4064"/>
    <cellStyle name="Normal 4 8 2 3 4 2" xfId="7063"/>
    <cellStyle name="Normal 4 8 2 3 4 2 2" xfId="10395"/>
    <cellStyle name="Normal 4 8 2 3 4 2 2 2" xfId="17099"/>
    <cellStyle name="Normal 4 8 2 3 4 2 2 2 2" xfId="40520"/>
    <cellStyle name="Normal 4 8 2 3 4 2 2 3" xfId="33888"/>
    <cellStyle name="Normal 4 8 2 3 4 2 3" xfId="13783"/>
    <cellStyle name="Normal 4 8 2 3 4 2 3 2" xfId="37204"/>
    <cellStyle name="Normal 4 8 2 3 4 2 4" xfId="22538"/>
    <cellStyle name="Normal 4 8 2 3 4 2 4 2" xfId="44960"/>
    <cellStyle name="Normal 4 8 2 3 4 2 5" xfId="30572"/>
    <cellStyle name="Normal 4 8 2 3 4 3" xfId="8730"/>
    <cellStyle name="Normal 4 8 2 3 4 3 2" xfId="15441"/>
    <cellStyle name="Normal 4 8 2 3 4 3 2 2" xfId="38862"/>
    <cellStyle name="Normal 4 8 2 3 4 3 3" xfId="32230"/>
    <cellStyle name="Normal 4 8 2 3 4 4" xfId="12123"/>
    <cellStyle name="Normal 4 8 2 3 4 4 2" xfId="35546"/>
    <cellStyle name="Normal 4 8 2 3 4 5" xfId="19697"/>
    <cellStyle name="Normal 4 8 2 3 4 5 2" xfId="42234"/>
    <cellStyle name="Normal 4 8 2 3 4 6" xfId="28914"/>
    <cellStyle name="Normal 4 8 2 3 5" xfId="6254"/>
    <cellStyle name="Normal 4 8 2 3 5 2" xfId="9588"/>
    <cellStyle name="Normal 4 8 2 3 5 2 2" xfId="16292"/>
    <cellStyle name="Normal 4 8 2 3 5 2 2 2" xfId="39713"/>
    <cellStyle name="Normal 4 8 2 3 5 2 3" xfId="33081"/>
    <cellStyle name="Normal 4 8 2 3 5 3" xfId="12976"/>
    <cellStyle name="Normal 4 8 2 3 5 3 2" xfId="36397"/>
    <cellStyle name="Normal 4 8 2 3 5 4" xfId="20922"/>
    <cellStyle name="Normal 4 8 2 3 5 4 2" xfId="43373"/>
    <cellStyle name="Normal 4 8 2 3 5 5" xfId="29765"/>
    <cellStyle name="Normal 4 8 2 3 6" xfId="7920"/>
    <cellStyle name="Normal 4 8 2 3 6 2" xfId="14634"/>
    <cellStyle name="Normal 4 8 2 3 6 2 2" xfId="38055"/>
    <cellStyle name="Normal 4 8 2 3 6 3" xfId="21688"/>
    <cellStyle name="Normal 4 8 2 3 6 3 2" xfId="44137"/>
    <cellStyle name="Normal 4 8 2 3 6 4" xfId="31423"/>
    <cellStyle name="Normal 4 8 2 3 7" xfId="11316"/>
    <cellStyle name="Normal 4 8 2 3 7 2" xfId="34739"/>
    <cellStyle name="Normal 4 8 2 3 8" xfId="18078"/>
    <cellStyle name="Normal 4 8 2 3 8 2" xfId="41366"/>
    <cellStyle name="Normal 4 8 2 3 9" xfId="23679"/>
    <cellStyle name="Normal 4 8 2 3 9 2" xfId="45968"/>
    <cellStyle name="Normal 4 8 2 4" xfId="2332"/>
    <cellStyle name="Normal 4 8 2 4 2" xfId="5571"/>
    <cellStyle name="Normal 4 8 2 4 2 2" xfId="7394"/>
    <cellStyle name="Normal 4 8 2 4 2 2 2" xfId="10725"/>
    <cellStyle name="Normal 4 8 2 4 2 2 2 2" xfId="17429"/>
    <cellStyle name="Normal 4 8 2 4 2 2 2 2 2" xfId="40850"/>
    <cellStyle name="Normal 4 8 2 4 2 2 2 3" xfId="23145"/>
    <cellStyle name="Normal 4 8 2 4 2 2 2 3 2" xfId="45567"/>
    <cellStyle name="Normal 4 8 2 4 2 2 2 4" xfId="34218"/>
    <cellStyle name="Normal 4 8 2 4 2 2 3" xfId="14113"/>
    <cellStyle name="Normal 4 8 2 4 2 2 3 2" xfId="37534"/>
    <cellStyle name="Normal 4 8 2 4 2 2 4" xfId="20320"/>
    <cellStyle name="Normal 4 8 2 4 2 2 4 2" xfId="42855"/>
    <cellStyle name="Normal 4 8 2 4 2 2 5" xfId="30902"/>
    <cellStyle name="Normal 4 8 2 4 2 3" xfId="9067"/>
    <cellStyle name="Normal 4 8 2 4 2 3 2" xfId="15771"/>
    <cellStyle name="Normal 4 8 2 4 2 3 2 2" xfId="39192"/>
    <cellStyle name="Normal 4 8 2 4 2 3 3" xfId="21383"/>
    <cellStyle name="Normal 4 8 2 4 2 3 3 2" xfId="43834"/>
    <cellStyle name="Normal 4 8 2 4 2 3 4" xfId="32560"/>
    <cellStyle name="Normal 4 8 2 4 2 4" xfId="12455"/>
    <cellStyle name="Normal 4 8 2 4 2 4 2" xfId="22333"/>
    <cellStyle name="Normal 4 8 2 4 2 4 2 2" xfId="44755"/>
    <cellStyle name="Normal 4 8 2 4 2 4 3" xfId="35876"/>
    <cellStyle name="Normal 4 8 2 4 2 5" xfId="19481"/>
    <cellStyle name="Normal 4 8 2 4 2 5 2" xfId="42023"/>
    <cellStyle name="Normal 4 8 2 4 2 6" xfId="29244"/>
    <cellStyle name="Normal 4 8 2 4 3" xfId="6492"/>
    <cellStyle name="Normal 4 8 2 4 3 2" xfId="9826"/>
    <cellStyle name="Normal 4 8 2 4 3 2 2" xfId="16530"/>
    <cellStyle name="Normal 4 8 2 4 3 2 2 2" xfId="39951"/>
    <cellStyle name="Normal 4 8 2 4 3 2 3" xfId="22740"/>
    <cellStyle name="Normal 4 8 2 4 3 2 3 2" xfId="45162"/>
    <cellStyle name="Normal 4 8 2 4 3 2 4" xfId="33319"/>
    <cellStyle name="Normal 4 8 2 4 3 3" xfId="13214"/>
    <cellStyle name="Normal 4 8 2 4 3 3 2" xfId="36635"/>
    <cellStyle name="Normal 4 8 2 4 3 4" xfId="19904"/>
    <cellStyle name="Normal 4 8 2 4 3 4 2" xfId="42439"/>
    <cellStyle name="Normal 4 8 2 4 3 5" xfId="30003"/>
    <cellStyle name="Normal 4 8 2 4 4" xfId="8159"/>
    <cellStyle name="Normal 4 8 2 4 4 2" xfId="14872"/>
    <cellStyle name="Normal 4 8 2 4 4 2 2" xfId="38293"/>
    <cellStyle name="Normal 4 8 2 4 4 3" xfId="20924"/>
    <cellStyle name="Normal 4 8 2 4 4 3 2" xfId="43375"/>
    <cellStyle name="Normal 4 8 2 4 4 4" xfId="31661"/>
    <cellStyle name="Normal 4 8 2 4 5" xfId="11554"/>
    <cellStyle name="Normal 4 8 2 4 5 2" xfId="21909"/>
    <cellStyle name="Normal 4 8 2 4 5 2 2" xfId="44341"/>
    <cellStyle name="Normal 4 8 2 4 5 3" xfId="34977"/>
    <cellStyle name="Normal 4 8 2 4 6" xfId="18769"/>
    <cellStyle name="Normal 4 8 2 4 6 2" xfId="41598"/>
    <cellStyle name="Normal 4 8 2 4 7" xfId="25907"/>
    <cellStyle name="Normal 4 8 2 4 7 2" xfId="48152"/>
    <cellStyle name="Normal 4 8 2 4 8" xfId="28345"/>
    <cellStyle name="Normal 4 8 2 5" xfId="2620"/>
    <cellStyle name="Normal 4 8 2 5 2" xfId="5713"/>
    <cellStyle name="Normal 4 8 2 5 2 2" xfId="7495"/>
    <cellStyle name="Normal 4 8 2 5 2 2 2" xfId="10824"/>
    <cellStyle name="Normal 4 8 2 5 2 2 2 2" xfId="17528"/>
    <cellStyle name="Normal 4 8 2 5 2 2 2 2 2" xfId="40949"/>
    <cellStyle name="Normal 4 8 2 5 2 2 2 3" xfId="34317"/>
    <cellStyle name="Normal 4 8 2 5 2 2 3" xfId="14212"/>
    <cellStyle name="Normal 4 8 2 5 2 2 3 2" xfId="37633"/>
    <cellStyle name="Normal 4 8 2 5 2 2 4" xfId="20604"/>
    <cellStyle name="Normal 4 8 2 5 2 2 4 2" xfId="43055"/>
    <cellStyle name="Normal 4 8 2 5 2 2 5" xfId="31001"/>
    <cellStyle name="Normal 4 8 2 5 2 3" xfId="9166"/>
    <cellStyle name="Normal 4 8 2 5 2 3 2" xfId="15870"/>
    <cellStyle name="Normal 4 8 2 5 2 3 2 2" xfId="39291"/>
    <cellStyle name="Normal 4 8 2 5 2 3 3" xfId="21522"/>
    <cellStyle name="Normal 4 8 2 5 2 3 3 2" xfId="43973"/>
    <cellStyle name="Normal 4 8 2 5 2 3 4" xfId="32659"/>
    <cellStyle name="Normal 4 8 2 5 2 4" xfId="12554"/>
    <cellStyle name="Normal 4 8 2 5 2 4 2" xfId="22940"/>
    <cellStyle name="Normal 4 8 2 5 2 4 2 2" xfId="45362"/>
    <cellStyle name="Normal 4 8 2 5 2 4 3" xfId="35975"/>
    <cellStyle name="Normal 4 8 2 5 2 5" xfId="20112"/>
    <cellStyle name="Normal 4 8 2 5 2 5 2" xfId="42647"/>
    <cellStyle name="Normal 4 8 2 5 2 6" xfId="29343"/>
    <cellStyle name="Normal 4 8 2 5 3" xfId="6596"/>
    <cellStyle name="Normal 4 8 2 5 3 2" xfId="9928"/>
    <cellStyle name="Normal 4 8 2 5 3 2 2" xfId="16632"/>
    <cellStyle name="Normal 4 8 2 5 3 2 2 2" xfId="40053"/>
    <cellStyle name="Normal 4 8 2 5 3 2 3" xfId="33421"/>
    <cellStyle name="Normal 4 8 2 5 3 3" xfId="13316"/>
    <cellStyle name="Normal 4 8 2 5 3 3 2" xfId="36737"/>
    <cellStyle name="Normal 4 8 2 5 3 4" xfId="20506"/>
    <cellStyle name="Normal 4 8 2 5 3 4 2" xfId="42959"/>
    <cellStyle name="Normal 4 8 2 5 3 5" xfId="30105"/>
    <cellStyle name="Normal 4 8 2 5 4" xfId="8262"/>
    <cellStyle name="Normal 4 8 2 5 4 2" xfId="14974"/>
    <cellStyle name="Normal 4 8 2 5 4 2 2" xfId="38395"/>
    <cellStyle name="Normal 4 8 2 5 4 3" xfId="21063"/>
    <cellStyle name="Normal 4 8 2 5 4 3 2" xfId="43514"/>
    <cellStyle name="Normal 4 8 2 5 4 4" xfId="31763"/>
    <cellStyle name="Normal 4 8 2 5 5" xfId="11656"/>
    <cellStyle name="Normal 4 8 2 5 5 2" xfId="22123"/>
    <cellStyle name="Normal 4 8 2 5 5 2 2" xfId="44547"/>
    <cellStyle name="Normal 4 8 2 5 5 3" xfId="35079"/>
    <cellStyle name="Normal 4 8 2 5 6" xfId="19262"/>
    <cellStyle name="Normal 4 8 2 5 6 2" xfId="41815"/>
    <cellStyle name="Normal 4 8 2 5 7" xfId="28447"/>
    <cellStyle name="Normal 4 8 2 6" xfId="4061"/>
    <cellStyle name="Normal 4 8 2 6 2" xfId="7060"/>
    <cellStyle name="Normal 4 8 2 6 2 2" xfId="10392"/>
    <cellStyle name="Normal 4 8 2 6 2 2 2" xfId="17096"/>
    <cellStyle name="Normal 4 8 2 6 2 2 2 2" xfId="40517"/>
    <cellStyle name="Normal 4 8 2 6 2 2 3" xfId="33885"/>
    <cellStyle name="Normal 4 8 2 6 2 3" xfId="13780"/>
    <cellStyle name="Normal 4 8 2 6 2 3 2" xfId="37201"/>
    <cellStyle name="Normal 4 8 2 6 2 4" xfId="20556"/>
    <cellStyle name="Normal 4 8 2 6 2 4 2" xfId="43007"/>
    <cellStyle name="Normal 4 8 2 6 2 5" xfId="30569"/>
    <cellStyle name="Normal 4 8 2 6 3" xfId="8727"/>
    <cellStyle name="Normal 4 8 2 6 3 2" xfId="15438"/>
    <cellStyle name="Normal 4 8 2 6 3 2 2" xfId="38859"/>
    <cellStyle name="Normal 4 8 2 6 3 3" xfId="21376"/>
    <cellStyle name="Normal 4 8 2 6 3 3 2" xfId="43827"/>
    <cellStyle name="Normal 4 8 2 6 3 4" xfId="32227"/>
    <cellStyle name="Normal 4 8 2 6 4" xfId="12120"/>
    <cellStyle name="Normal 4 8 2 6 4 2" xfId="22535"/>
    <cellStyle name="Normal 4 8 2 6 4 2 2" xfId="44957"/>
    <cellStyle name="Normal 4 8 2 6 4 3" xfId="35543"/>
    <cellStyle name="Normal 4 8 2 6 5" xfId="19694"/>
    <cellStyle name="Normal 4 8 2 6 5 2" xfId="42231"/>
    <cellStyle name="Normal 4 8 2 6 6" xfId="28911"/>
    <cellStyle name="Normal 4 8 2 7" xfId="6123"/>
    <cellStyle name="Normal 4 8 2 7 2" xfId="9457"/>
    <cellStyle name="Normal 4 8 2 7 2 2" xfId="16161"/>
    <cellStyle name="Normal 4 8 2 7 2 2 2" xfId="39582"/>
    <cellStyle name="Normal 4 8 2 7 2 3" xfId="32950"/>
    <cellStyle name="Normal 4 8 2 7 3" xfId="12845"/>
    <cellStyle name="Normal 4 8 2 7 3 2" xfId="36266"/>
    <cellStyle name="Normal 4 8 2 7 4" xfId="18305"/>
    <cellStyle name="Normal 4 8 2 7 4 2" xfId="41438"/>
    <cellStyle name="Normal 4 8 2 7 5" xfId="29634"/>
    <cellStyle name="Normal 4 8 2 8" xfId="7789"/>
    <cellStyle name="Normal 4 8 2 8 2" xfId="14503"/>
    <cellStyle name="Normal 4 8 2 8 2 2" xfId="37924"/>
    <cellStyle name="Normal 4 8 2 8 3" xfId="20917"/>
    <cellStyle name="Normal 4 8 2 8 3 2" xfId="43368"/>
    <cellStyle name="Normal 4 8 2 8 4" xfId="31292"/>
    <cellStyle name="Normal 4 8 2 9" xfId="11185"/>
    <cellStyle name="Normal 4 8 2 9 2" xfId="21685"/>
    <cellStyle name="Normal 4 8 2 9 2 2" xfId="44134"/>
    <cellStyle name="Normal 4 8 2 9 3" xfId="34608"/>
    <cellStyle name="Normal 4 8 3" xfId="1626"/>
    <cellStyle name="Normal 4 8 3 10" xfId="23680"/>
    <cellStyle name="Normal 4 8 3 10 2" xfId="45969"/>
    <cellStyle name="Normal 4 8 3 11" xfId="28045"/>
    <cellStyle name="Normal 4 8 3 2" xfId="1824"/>
    <cellStyle name="Normal 4 8 3 2 10" xfId="28176"/>
    <cellStyle name="Normal 4 8 3 2 2" xfId="2337"/>
    <cellStyle name="Normal 4 8 3 2 2 2" xfId="5576"/>
    <cellStyle name="Normal 4 8 3 2 2 2 2" xfId="7399"/>
    <cellStyle name="Normal 4 8 3 2 2 2 2 2" xfId="10730"/>
    <cellStyle name="Normal 4 8 3 2 2 2 2 2 2" xfId="17434"/>
    <cellStyle name="Normal 4 8 3 2 2 2 2 2 2 2" xfId="40855"/>
    <cellStyle name="Normal 4 8 3 2 2 2 2 2 3" xfId="23150"/>
    <cellStyle name="Normal 4 8 3 2 2 2 2 2 3 2" xfId="45572"/>
    <cellStyle name="Normal 4 8 3 2 2 2 2 2 4" xfId="34223"/>
    <cellStyle name="Normal 4 8 3 2 2 2 2 3" xfId="14118"/>
    <cellStyle name="Normal 4 8 3 2 2 2 2 3 2" xfId="37539"/>
    <cellStyle name="Normal 4 8 3 2 2 2 2 4" xfId="20325"/>
    <cellStyle name="Normal 4 8 3 2 2 2 2 4 2" xfId="42860"/>
    <cellStyle name="Normal 4 8 3 2 2 2 2 5" xfId="30907"/>
    <cellStyle name="Normal 4 8 3 2 2 2 3" xfId="9072"/>
    <cellStyle name="Normal 4 8 3 2 2 2 3 2" xfId="15776"/>
    <cellStyle name="Normal 4 8 3 2 2 2 3 2 2" xfId="39197"/>
    <cellStyle name="Normal 4 8 3 2 2 2 3 3" xfId="21386"/>
    <cellStyle name="Normal 4 8 3 2 2 2 3 3 2" xfId="43837"/>
    <cellStyle name="Normal 4 8 3 2 2 2 3 4" xfId="32565"/>
    <cellStyle name="Normal 4 8 3 2 2 2 4" xfId="12460"/>
    <cellStyle name="Normal 4 8 3 2 2 2 4 2" xfId="22338"/>
    <cellStyle name="Normal 4 8 3 2 2 2 4 2 2" xfId="44760"/>
    <cellStyle name="Normal 4 8 3 2 2 2 4 3" xfId="35881"/>
    <cellStyle name="Normal 4 8 3 2 2 2 5" xfId="19486"/>
    <cellStyle name="Normal 4 8 3 2 2 2 5 2" xfId="42028"/>
    <cellStyle name="Normal 4 8 3 2 2 2 6" xfId="29249"/>
    <cellStyle name="Normal 4 8 3 2 2 3" xfId="6497"/>
    <cellStyle name="Normal 4 8 3 2 2 3 2" xfId="9831"/>
    <cellStyle name="Normal 4 8 3 2 2 3 2 2" xfId="16535"/>
    <cellStyle name="Normal 4 8 3 2 2 3 2 2 2" xfId="39956"/>
    <cellStyle name="Normal 4 8 3 2 2 3 2 3" xfId="22745"/>
    <cellStyle name="Normal 4 8 3 2 2 3 2 3 2" xfId="45167"/>
    <cellStyle name="Normal 4 8 3 2 2 3 2 4" xfId="33324"/>
    <cellStyle name="Normal 4 8 3 2 2 3 3" xfId="13219"/>
    <cellStyle name="Normal 4 8 3 2 2 3 3 2" xfId="36640"/>
    <cellStyle name="Normal 4 8 3 2 2 3 4" xfId="19909"/>
    <cellStyle name="Normal 4 8 3 2 2 3 4 2" xfId="42444"/>
    <cellStyle name="Normal 4 8 3 2 2 3 5" xfId="30008"/>
    <cellStyle name="Normal 4 8 3 2 2 4" xfId="8164"/>
    <cellStyle name="Normal 4 8 3 2 2 4 2" xfId="14877"/>
    <cellStyle name="Normal 4 8 3 2 2 4 2 2" xfId="38298"/>
    <cellStyle name="Normal 4 8 3 2 2 4 3" xfId="20927"/>
    <cellStyle name="Normal 4 8 3 2 2 4 3 2" xfId="43378"/>
    <cellStyle name="Normal 4 8 3 2 2 4 4" xfId="31666"/>
    <cellStyle name="Normal 4 8 3 2 2 5" xfId="11559"/>
    <cellStyle name="Normal 4 8 3 2 2 5 2" xfId="21914"/>
    <cellStyle name="Normal 4 8 3 2 2 5 2 2" xfId="44346"/>
    <cellStyle name="Normal 4 8 3 2 2 5 3" xfId="34982"/>
    <cellStyle name="Normal 4 8 3 2 2 6" xfId="18774"/>
    <cellStyle name="Normal 4 8 3 2 2 6 2" xfId="41603"/>
    <cellStyle name="Normal 4 8 3 2 2 7" xfId="25912"/>
    <cellStyle name="Normal 4 8 3 2 2 7 2" xfId="48157"/>
    <cellStyle name="Normal 4 8 3 2 2 8" xfId="28350"/>
    <cellStyle name="Normal 4 8 3 2 3" xfId="2821"/>
    <cellStyle name="Normal 4 8 3 2 3 2" xfId="5913"/>
    <cellStyle name="Normal 4 8 3 2 3 2 2" xfId="7695"/>
    <cellStyle name="Normal 4 8 3 2 3 2 2 2" xfId="11024"/>
    <cellStyle name="Normal 4 8 3 2 3 2 2 2 2" xfId="17728"/>
    <cellStyle name="Normal 4 8 3 2 3 2 2 2 2 2" xfId="41149"/>
    <cellStyle name="Normal 4 8 3 2 3 2 2 2 3" xfId="34517"/>
    <cellStyle name="Normal 4 8 3 2 3 2 2 3" xfId="14412"/>
    <cellStyle name="Normal 4 8 3 2 3 2 2 3 2" xfId="37833"/>
    <cellStyle name="Normal 4 8 3 2 3 2 2 4" xfId="22945"/>
    <cellStyle name="Normal 4 8 3 2 3 2 2 4 2" xfId="45367"/>
    <cellStyle name="Normal 4 8 3 2 3 2 2 5" xfId="31201"/>
    <cellStyle name="Normal 4 8 3 2 3 2 3" xfId="9366"/>
    <cellStyle name="Normal 4 8 3 2 3 2 3 2" xfId="16070"/>
    <cellStyle name="Normal 4 8 3 2 3 2 3 2 2" xfId="39491"/>
    <cellStyle name="Normal 4 8 3 2 3 2 3 3" xfId="32859"/>
    <cellStyle name="Normal 4 8 3 2 3 2 4" xfId="12754"/>
    <cellStyle name="Normal 4 8 3 2 3 2 4 2" xfId="36175"/>
    <cellStyle name="Normal 4 8 3 2 3 2 5" xfId="20117"/>
    <cellStyle name="Normal 4 8 3 2 3 2 5 2" xfId="42652"/>
    <cellStyle name="Normal 4 8 3 2 3 2 6" xfId="29543"/>
    <cellStyle name="Normal 4 8 3 2 3 3" xfId="6796"/>
    <cellStyle name="Normal 4 8 3 2 3 3 2" xfId="10128"/>
    <cellStyle name="Normal 4 8 3 2 3 3 2 2" xfId="16832"/>
    <cellStyle name="Normal 4 8 3 2 3 3 2 2 2" xfId="40253"/>
    <cellStyle name="Normal 4 8 3 2 3 3 2 3" xfId="33621"/>
    <cellStyle name="Normal 4 8 3 2 3 3 3" xfId="13516"/>
    <cellStyle name="Normal 4 8 3 2 3 3 3 2" xfId="36937"/>
    <cellStyle name="Normal 4 8 3 2 3 3 4" xfId="21385"/>
    <cellStyle name="Normal 4 8 3 2 3 3 4 2" xfId="43836"/>
    <cellStyle name="Normal 4 8 3 2 3 3 5" xfId="30305"/>
    <cellStyle name="Normal 4 8 3 2 3 4" xfId="8462"/>
    <cellStyle name="Normal 4 8 3 2 3 4 2" xfId="15174"/>
    <cellStyle name="Normal 4 8 3 2 3 4 2 2" xfId="38595"/>
    <cellStyle name="Normal 4 8 3 2 3 4 3" xfId="22128"/>
    <cellStyle name="Normal 4 8 3 2 3 4 3 2" xfId="44552"/>
    <cellStyle name="Normal 4 8 3 2 3 4 4" xfId="31963"/>
    <cellStyle name="Normal 4 8 3 2 3 5" xfId="11856"/>
    <cellStyle name="Normal 4 8 3 2 3 5 2" xfId="35279"/>
    <cellStyle name="Normal 4 8 3 2 3 6" xfId="19267"/>
    <cellStyle name="Normal 4 8 3 2 3 6 2" xfId="41820"/>
    <cellStyle name="Normal 4 8 3 2 3 7" xfId="28647"/>
    <cellStyle name="Normal 4 8 3 2 4" xfId="4066"/>
    <cellStyle name="Normal 4 8 3 2 4 2" xfId="7065"/>
    <cellStyle name="Normal 4 8 3 2 4 2 2" xfId="10397"/>
    <cellStyle name="Normal 4 8 3 2 4 2 2 2" xfId="17101"/>
    <cellStyle name="Normal 4 8 3 2 4 2 2 2 2" xfId="40522"/>
    <cellStyle name="Normal 4 8 3 2 4 2 2 3" xfId="33890"/>
    <cellStyle name="Normal 4 8 3 2 4 2 3" xfId="13785"/>
    <cellStyle name="Normal 4 8 3 2 4 2 3 2" xfId="37206"/>
    <cellStyle name="Normal 4 8 3 2 4 2 4" xfId="22540"/>
    <cellStyle name="Normal 4 8 3 2 4 2 4 2" xfId="44962"/>
    <cellStyle name="Normal 4 8 3 2 4 2 5" xfId="30574"/>
    <cellStyle name="Normal 4 8 3 2 4 3" xfId="8732"/>
    <cellStyle name="Normal 4 8 3 2 4 3 2" xfId="15443"/>
    <cellStyle name="Normal 4 8 3 2 4 3 2 2" xfId="38864"/>
    <cellStyle name="Normal 4 8 3 2 4 3 3" xfId="32232"/>
    <cellStyle name="Normal 4 8 3 2 4 4" xfId="12125"/>
    <cellStyle name="Normal 4 8 3 2 4 4 2" xfId="35548"/>
    <cellStyle name="Normal 4 8 3 2 4 5" xfId="19699"/>
    <cellStyle name="Normal 4 8 3 2 4 5 2" xfId="42236"/>
    <cellStyle name="Normal 4 8 3 2 4 6" xfId="28916"/>
    <cellStyle name="Normal 4 8 3 2 5" xfId="6323"/>
    <cellStyle name="Normal 4 8 3 2 5 2" xfId="9657"/>
    <cellStyle name="Normal 4 8 3 2 5 2 2" xfId="16361"/>
    <cellStyle name="Normal 4 8 3 2 5 2 2 2" xfId="39782"/>
    <cellStyle name="Normal 4 8 3 2 5 2 3" xfId="33150"/>
    <cellStyle name="Normal 4 8 3 2 5 3" xfId="13045"/>
    <cellStyle name="Normal 4 8 3 2 5 3 2" xfId="36466"/>
    <cellStyle name="Normal 4 8 3 2 5 4" xfId="20926"/>
    <cellStyle name="Normal 4 8 3 2 5 4 2" xfId="43377"/>
    <cellStyle name="Normal 4 8 3 2 5 5" xfId="29834"/>
    <cellStyle name="Normal 4 8 3 2 6" xfId="7989"/>
    <cellStyle name="Normal 4 8 3 2 6 2" xfId="14703"/>
    <cellStyle name="Normal 4 8 3 2 6 2 2" xfId="38124"/>
    <cellStyle name="Normal 4 8 3 2 6 3" xfId="21690"/>
    <cellStyle name="Normal 4 8 3 2 6 3 2" xfId="44139"/>
    <cellStyle name="Normal 4 8 3 2 6 4" xfId="31492"/>
    <cellStyle name="Normal 4 8 3 2 7" xfId="11385"/>
    <cellStyle name="Normal 4 8 3 2 7 2" xfId="34808"/>
    <cellStyle name="Normal 4 8 3 2 8" xfId="18080"/>
    <cellStyle name="Normal 4 8 3 2 8 2" xfId="41368"/>
    <cellStyle name="Normal 4 8 3 2 9" xfId="23681"/>
    <cellStyle name="Normal 4 8 3 2 9 2" xfId="45970"/>
    <cellStyle name="Normal 4 8 3 3" xfId="2336"/>
    <cellStyle name="Normal 4 8 3 3 2" xfId="5575"/>
    <cellStyle name="Normal 4 8 3 3 2 2" xfId="7398"/>
    <cellStyle name="Normal 4 8 3 3 2 2 2" xfId="10729"/>
    <cellStyle name="Normal 4 8 3 3 2 2 2 2" xfId="17433"/>
    <cellStyle name="Normal 4 8 3 3 2 2 2 2 2" xfId="40854"/>
    <cellStyle name="Normal 4 8 3 3 2 2 2 3" xfId="23149"/>
    <cellStyle name="Normal 4 8 3 3 2 2 2 3 2" xfId="45571"/>
    <cellStyle name="Normal 4 8 3 3 2 2 2 4" xfId="34222"/>
    <cellStyle name="Normal 4 8 3 3 2 2 3" xfId="14117"/>
    <cellStyle name="Normal 4 8 3 3 2 2 3 2" xfId="37538"/>
    <cellStyle name="Normal 4 8 3 3 2 2 4" xfId="20324"/>
    <cellStyle name="Normal 4 8 3 3 2 2 4 2" xfId="42859"/>
    <cellStyle name="Normal 4 8 3 3 2 2 5" xfId="30906"/>
    <cellStyle name="Normal 4 8 3 3 2 3" xfId="9071"/>
    <cellStyle name="Normal 4 8 3 3 2 3 2" xfId="15775"/>
    <cellStyle name="Normal 4 8 3 3 2 3 2 2" xfId="39196"/>
    <cellStyle name="Normal 4 8 3 3 2 3 3" xfId="21387"/>
    <cellStyle name="Normal 4 8 3 3 2 3 3 2" xfId="43838"/>
    <cellStyle name="Normal 4 8 3 3 2 3 4" xfId="32564"/>
    <cellStyle name="Normal 4 8 3 3 2 4" xfId="12459"/>
    <cellStyle name="Normal 4 8 3 3 2 4 2" xfId="22337"/>
    <cellStyle name="Normal 4 8 3 3 2 4 2 2" xfId="44759"/>
    <cellStyle name="Normal 4 8 3 3 2 4 3" xfId="35880"/>
    <cellStyle name="Normal 4 8 3 3 2 5" xfId="19485"/>
    <cellStyle name="Normal 4 8 3 3 2 5 2" xfId="42027"/>
    <cellStyle name="Normal 4 8 3 3 2 6" xfId="29248"/>
    <cellStyle name="Normal 4 8 3 3 3" xfId="6496"/>
    <cellStyle name="Normal 4 8 3 3 3 2" xfId="9830"/>
    <cellStyle name="Normal 4 8 3 3 3 2 2" xfId="16534"/>
    <cellStyle name="Normal 4 8 3 3 3 2 2 2" xfId="39955"/>
    <cellStyle name="Normal 4 8 3 3 3 2 3" xfId="22744"/>
    <cellStyle name="Normal 4 8 3 3 3 2 3 2" xfId="45166"/>
    <cellStyle name="Normal 4 8 3 3 3 2 4" xfId="33323"/>
    <cellStyle name="Normal 4 8 3 3 3 3" xfId="13218"/>
    <cellStyle name="Normal 4 8 3 3 3 3 2" xfId="36639"/>
    <cellStyle name="Normal 4 8 3 3 3 4" xfId="19908"/>
    <cellStyle name="Normal 4 8 3 3 3 4 2" xfId="42443"/>
    <cellStyle name="Normal 4 8 3 3 3 5" xfId="30007"/>
    <cellStyle name="Normal 4 8 3 3 4" xfId="8163"/>
    <cellStyle name="Normal 4 8 3 3 4 2" xfId="14876"/>
    <cellStyle name="Normal 4 8 3 3 4 2 2" xfId="38297"/>
    <cellStyle name="Normal 4 8 3 3 4 3" xfId="20928"/>
    <cellStyle name="Normal 4 8 3 3 4 3 2" xfId="43379"/>
    <cellStyle name="Normal 4 8 3 3 4 4" xfId="31665"/>
    <cellStyle name="Normal 4 8 3 3 5" xfId="11558"/>
    <cellStyle name="Normal 4 8 3 3 5 2" xfId="21913"/>
    <cellStyle name="Normal 4 8 3 3 5 2 2" xfId="44345"/>
    <cellStyle name="Normal 4 8 3 3 5 3" xfId="34981"/>
    <cellStyle name="Normal 4 8 3 3 6" xfId="18773"/>
    <cellStyle name="Normal 4 8 3 3 6 2" xfId="41602"/>
    <cellStyle name="Normal 4 8 3 3 7" xfId="25911"/>
    <cellStyle name="Normal 4 8 3 3 7 2" xfId="48156"/>
    <cellStyle name="Normal 4 8 3 3 8" xfId="28349"/>
    <cellStyle name="Normal 4 8 3 4" xfId="2689"/>
    <cellStyle name="Normal 4 8 3 4 2" xfId="5782"/>
    <cellStyle name="Normal 4 8 3 4 2 2" xfId="7564"/>
    <cellStyle name="Normal 4 8 3 4 2 2 2" xfId="10893"/>
    <cellStyle name="Normal 4 8 3 4 2 2 2 2" xfId="17597"/>
    <cellStyle name="Normal 4 8 3 4 2 2 2 2 2" xfId="41018"/>
    <cellStyle name="Normal 4 8 3 4 2 2 2 3" xfId="34386"/>
    <cellStyle name="Normal 4 8 3 4 2 2 3" xfId="14281"/>
    <cellStyle name="Normal 4 8 3 4 2 2 3 2" xfId="37702"/>
    <cellStyle name="Normal 4 8 3 4 2 2 4" xfId="22944"/>
    <cellStyle name="Normal 4 8 3 4 2 2 4 2" xfId="45366"/>
    <cellStyle name="Normal 4 8 3 4 2 2 5" xfId="31070"/>
    <cellStyle name="Normal 4 8 3 4 2 3" xfId="9235"/>
    <cellStyle name="Normal 4 8 3 4 2 3 2" xfId="15939"/>
    <cellStyle name="Normal 4 8 3 4 2 3 2 2" xfId="39360"/>
    <cellStyle name="Normal 4 8 3 4 2 3 3" xfId="32728"/>
    <cellStyle name="Normal 4 8 3 4 2 4" xfId="12623"/>
    <cellStyle name="Normal 4 8 3 4 2 4 2" xfId="36044"/>
    <cellStyle name="Normal 4 8 3 4 2 5" xfId="20116"/>
    <cellStyle name="Normal 4 8 3 4 2 5 2" xfId="42651"/>
    <cellStyle name="Normal 4 8 3 4 2 6" xfId="29412"/>
    <cellStyle name="Normal 4 8 3 4 3" xfId="6665"/>
    <cellStyle name="Normal 4 8 3 4 3 2" xfId="9997"/>
    <cellStyle name="Normal 4 8 3 4 3 2 2" xfId="16701"/>
    <cellStyle name="Normal 4 8 3 4 3 2 2 2" xfId="40122"/>
    <cellStyle name="Normal 4 8 3 4 3 2 3" xfId="33490"/>
    <cellStyle name="Normal 4 8 3 4 3 3" xfId="13385"/>
    <cellStyle name="Normal 4 8 3 4 3 3 2" xfId="36806"/>
    <cellStyle name="Normal 4 8 3 4 3 4" xfId="21384"/>
    <cellStyle name="Normal 4 8 3 4 3 4 2" xfId="43835"/>
    <cellStyle name="Normal 4 8 3 4 3 5" xfId="30174"/>
    <cellStyle name="Normal 4 8 3 4 4" xfId="8331"/>
    <cellStyle name="Normal 4 8 3 4 4 2" xfId="15043"/>
    <cellStyle name="Normal 4 8 3 4 4 2 2" xfId="38464"/>
    <cellStyle name="Normal 4 8 3 4 4 3" xfId="22127"/>
    <cellStyle name="Normal 4 8 3 4 4 3 2" xfId="44551"/>
    <cellStyle name="Normal 4 8 3 4 4 4" xfId="31832"/>
    <cellStyle name="Normal 4 8 3 4 5" xfId="11725"/>
    <cellStyle name="Normal 4 8 3 4 5 2" xfId="35148"/>
    <cellStyle name="Normal 4 8 3 4 6" xfId="19266"/>
    <cellStyle name="Normal 4 8 3 4 6 2" xfId="41819"/>
    <cellStyle name="Normal 4 8 3 4 7" xfId="28516"/>
    <cellStyle name="Normal 4 8 3 5" xfId="4065"/>
    <cellStyle name="Normal 4 8 3 5 2" xfId="7064"/>
    <cellStyle name="Normal 4 8 3 5 2 2" xfId="10396"/>
    <cellStyle name="Normal 4 8 3 5 2 2 2" xfId="17100"/>
    <cellStyle name="Normal 4 8 3 5 2 2 2 2" xfId="40521"/>
    <cellStyle name="Normal 4 8 3 5 2 2 3" xfId="33889"/>
    <cellStyle name="Normal 4 8 3 5 2 3" xfId="13784"/>
    <cellStyle name="Normal 4 8 3 5 2 3 2" xfId="37205"/>
    <cellStyle name="Normal 4 8 3 5 2 4" xfId="22539"/>
    <cellStyle name="Normal 4 8 3 5 2 4 2" xfId="44961"/>
    <cellStyle name="Normal 4 8 3 5 2 5" xfId="30573"/>
    <cellStyle name="Normal 4 8 3 5 3" xfId="8731"/>
    <cellStyle name="Normal 4 8 3 5 3 2" xfId="15442"/>
    <cellStyle name="Normal 4 8 3 5 3 2 2" xfId="38863"/>
    <cellStyle name="Normal 4 8 3 5 3 3" xfId="32231"/>
    <cellStyle name="Normal 4 8 3 5 4" xfId="12124"/>
    <cellStyle name="Normal 4 8 3 5 4 2" xfId="35547"/>
    <cellStyle name="Normal 4 8 3 5 5" xfId="19698"/>
    <cellStyle name="Normal 4 8 3 5 5 2" xfId="42235"/>
    <cellStyle name="Normal 4 8 3 5 6" xfId="28915"/>
    <cellStyle name="Normal 4 8 3 6" xfId="6192"/>
    <cellStyle name="Normal 4 8 3 6 2" xfId="9526"/>
    <cellStyle name="Normal 4 8 3 6 2 2" xfId="16230"/>
    <cellStyle name="Normal 4 8 3 6 2 2 2" xfId="39651"/>
    <cellStyle name="Normal 4 8 3 6 2 3" xfId="33019"/>
    <cellStyle name="Normal 4 8 3 6 3" xfId="12914"/>
    <cellStyle name="Normal 4 8 3 6 3 2" xfId="36335"/>
    <cellStyle name="Normal 4 8 3 6 4" xfId="20925"/>
    <cellStyle name="Normal 4 8 3 6 4 2" xfId="43376"/>
    <cellStyle name="Normal 4 8 3 6 5" xfId="29703"/>
    <cellStyle name="Normal 4 8 3 7" xfId="7858"/>
    <cellStyle name="Normal 4 8 3 7 2" xfId="14572"/>
    <cellStyle name="Normal 4 8 3 7 2 2" xfId="37993"/>
    <cellStyle name="Normal 4 8 3 7 3" xfId="21689"/>
    <cellStyle name="Normal 4 8 3 7 3 2" xfId="44138"/>
    <cellStyle name="Normal 4 8 3 7 4" xfId="31361"/>
    <cellStyle name="Normal 4 8 3 8" xfId="11254"/>
    <cellStyle name="Normal 4 8 3 8 2" xfId="34677"/>
    <cellStyle name="Normal 4 8 3 9" xfId="18079"/>
    <cellStyle name="Normal 4 8 3 9 2" xfId="41367"/>
    <cellStyle name="Normal 4 8 4" xfId="1718"/>
    <cellStyle name="Normal 4 8 4 10" xfId="28071"/>
    <cellStyle name="Normal 4 8 4 2" xfId="2338"/>
    <cellStyle name="Normal 4 8 4 2 2" xfId="5577"/>
    <cellStyle name="Normal 4 8 4 2 2 2" xfId="7400"/>
    <cellStyle name="Normal 4 8 4 2 2 2 2" xfId="10731"/>
    <cellStyle name="Normal 4 8 4 2 2 2 2 2" xfId="17435"/>
    <cellStyle name="Normal 4 8 4 2 2 2 2 2 2" xfId="40856"/>
    <cellStyle name="Normal 4 8 4 2 2 2 2 3" xfId="23151"/>
    <cellStyle name="Normal 4 8 4 2 2 2 2 3 2" xfId="45573"/>
    <cellStyle name="Normal 4 8 4 2 2 2 2 4" xfId="34224"/>
    <cellStyle name="Normal 4 8 4 2 2 2 3" xfId="14119"/>
    <cellStyle name="Normal 4 8 4 2 2 2 3 2" xfId="37540"/>
    <cellStyle name="Normal 4 8 4 2 2 2 4" xfId="20326"/>
    <cellStyle name="Normal 4 8 4 2 2 2 4 2" xfId="42861"/>
    <cellStyle name="Normal 4 8 4 2 2 2 5" xfId="30908"/>
    <cellStyle name="Normal 4 8 4 2 2 3" xfId="9073"/>
    <cellStyle name="Normal 4 8 4 2 2 3 2" xfId="15777"/>
    <cellStyle name="Normal 4 8 4 2 2 3 2 2" xfId="39198"/>
    <cellStyle name="Normal 4 8 4 2 2 3 3" xfId="21389"/>
    <cellStyle name="Normal 4 8 4 2 2 3 3 2" xfId="43840"/>
    <cellStyle name="Normal 4 8 4 2 2 3 4" xfId="32566"/>
    <cellStyle name="Normal 4 8 4 2 2 4" xfId="12461"/>
    <cellStyle name="Normal 4 8 4 2 2 4 2" xfId="22339"/>
    <cellStyle name="Normal 4 8 4 2 2 4 2 2" xfId="44761"/>
    <cellStyle name="Normal 4 8 4 2 2 4 3" xfId="35882"/>
    <cellStyle name="Normal 4 8 4 2 2 5" xfId="19487"/>
    <cellStyle name="Normal 4 8 4 2 2 5 2" xfId="42029"/>
    <cellStyle name="Normal 4 8 4 2 2 6" xfId="29250"/>
    <cellStyle name="Normal 4 8 4 2 3" xfId="6498"/>
    <cellStyle name="Normal 4 8 4 2 3 2" xfId="9832"/>
    <cellStyle name="Normal 4 8 4 2 3 2 2" xfId="16536"/>
    <cellStyle name="Normal 4 8 4 2 3 2 2 2" xfId="39957"/>
    <cellStyle name="Normal 4 8 4 2 3 2 3" xfId="22746"/>
    <cellStyle name="Normal 4 8 4 2 3 2 3 2" xfId="45168"/>
    <cellStyle name="Normal 4 8 4 2 3 2 4" xfId="33325"/>
    <cellStyle name="Normal 4 8 4 2 3 3" xfId="13220"/>
    <cellStyle name="Normal 4 8 4 2 3 3 2" xfId="36641"/>
    <cellStyle name="Normal 4 8 4 2 3 4" xfId="19910"/>
    <cellStyle name="Normal 4 8 4 2 3 4 2" xfId="42445"/>
    <cellStyle name="Normal 4 8 4 2 3 5" xfId="30009"/>
    <cellStyle name="Normal 4 8 4 2 4" xfId="8165"/>
    <cellStyle name="Normal 4 8 4 2 4 2" xfId="14878"/>
    <cellStyle name="Normal 4 8 4 2 4 2 2" xfId="38299"/>
    <cellStyle name="Normal 4 8 4 2 4 3" xfId="20930"/>
    <cellStyle name="Normal 4 8 4 2 4 3 2" xfId="43381"/>
    <cellStyle name="Normal 4 8 4 2 4 4" xfId="31667"/>
    <cellStyle name="Normal 4 8 4 2 5" xfId="11560"/>
    <cellStyle name="Normal 4 8 4 2 5 2" xfId="21915"/>
    <cellStyle name="Normal 4 8 4 2 5 2 2" xfId="44347"/>
    <cellStyle name="Normal 4 8 4 2 5 3" xfId="34983"/>
    <cellStyle name="Normal 4 8 4 2 6" xfId="18775"/>
    <cellStyle name="Normal 4 8 4 2 6 2" xfId="41604"/>
    <cellStyle name="Normal 4 8 4 2 7" xfId="25913"/>
    <cellStyle name="Normal 4 8 4 2 7 2" xfId="48158"/>
    <cellStyle name="Normal 4 8 4 2 8" xfId="28351"/>
    <cellStyle name="Normal 4 8 4 3" xfId="2716"/>
    <cellStyle name="Normal 4 8 4 3 2" xfId="5808"/>
    <cellStyle name="Normal 4 8 4 3 2 2" xfId="7590"/>
    <cellStyle name="Normal 4 8 4 3 2 2 2" xfId="10919"/>
    <cellStyle name="Normal 4 8 4 3 2 2 2 2" xfId="17623"/>
    <cellStyle name="Normal 4 8 4 3 2 2 2 2 2" xfId="41044"/>
    <cellStyle name="Normal 4 8 4 3 2 2 2 3" xfId="34412"/>
    <cellStyle name="Normal 4 8 4 3 2 2 3" xfId="14307"/>
    <cellStyle name="Normal 4 8 4 3 2 2 3 2" xfId="37728"/>
    <cellStyle name="Normal 4 8 4 3 2 2 4" xfId="22946"/>
    <cellStyle name="Normal 4 8 4 3 2 2 4 2" xfId="45368"/>
    <cellStyle name="Normal 4 8 4 3 2 2 5" xfId="31096"/>
    <cellStyle name="Normal 4 8 4 3 2 3" xfId="9261"/>
    <cellStyle name="Normal 4 8 4 3 2 3 2" xfId="15965"/>
    <cellStyle name="Normal 4 8 4 3 2 3 2 2" xfId="39386"/>
    <cellStyle name="Normal 4 8 4 3 2 3 3" xfId="32754"/>
    <cellStyle name="Normal 4 8 4 3 2 4" xfId="12649"/>
    <cellStyle name="Normal 4 8 4 3 2 4 2" xfId="36070"/>
    <cellStyle name="Normal 4 8 4 3 2 5" xfId="20118"/>
    <cellStyle name="Normal 4 8 4 3 2 5 2" xfId="42653"/>
    <cellStyle name="Normal 4 8 4 3 2 6" xfId="29438"/>
    <cellStyle name="Normal 4 8 4 3 3" xfId="6691"/>
    <cellStyle name="Normal 4 8 4 3 3 2" xfId="10023"/>
    <cellStyle name="Normal 4 8 4 3 3 2 2" xfId="16727"/>
    <cellStyle name="Normal 4 8 4 3 3 2 2 2" xfId="40148"/>
    <cellStyle name="Normal 4 8 4 3 3 2 3" xfId="33516"/>
    <cellStyle name="Normal 4 8 4 3 3 3" xfId="13411"/>
    <cellStyle name="Normal 4 8 4 3 3 3 2" xfId="36832"/>
    <cellStyle name="Normal 4 8 4 3 3 4" xfId="21388"/>
    <cellStyle name="Normal 4 8 4 3 3 4 2" xfId="43839"/>
    <cellStyle name="Normal 4 8 4 3 3 5" xfId="30200"/>
    <cellStyle name="Normal 4 8 4 3 4" xfId="8357"/>
    <cellStyle name="Normal 4 8 4 3 4 2" xfId="15069"/>
    <cellStyle name="Normal 4 8 4 3 4 2 2" xfId="38490"/>
    <cellStyle name="Normal 4 8 4 3 4 3" xfId="22129"/>
    <cellStyle name="Normal 4 8 4 3 4 3 2" xfId="44553"/>
    <cellStyle name="Normal 4 8 4 3 4 4" xfId="31858"/>
    <cellStyle name="Normal 4 8 4 3 5" xfId="11751"/>
    <cellStyle name="Normal 4 8 4 3 5 2" xfId="35174"/>
    <cellStyle name="Normal 4 8 4 3 6" xfId="19268"/>
    <cellStyle name="Normal 4 8 4 3 6 2" xfId="41821"/>
    <cellStyle name="Normal 4 8 4 3 7" xfId="28542"/>
    <cellStyle name="Normal 4 8 4 4" xfId="4067"/>
    <cellStyle name="Normal 4 8 4 4 2" xfId="7066"/>
    <cellStyle name="Normal 4 8 4 4 2 2" xfId="10398"/>
    <cellStyle name="Normal 4 8 4 4 2 2 2" xfId="17102"/>
    <cellStyle name="Normal 4 8 4 4 2 2 2 2" xfId="40523"/>
    <cellStyle name="Normal 4 8 4 4 2 2 3" xfId="33891"/>
    <cellStyle name="Normal 4 8 4 4 2 3" xfId="13786"/>
    <cellStyle name="Normal 4 8 4 4 2 3 2" xfId="37207"/>
    <cellStyle name="Normal 4 8 4 4 2 4" xfId="22541"/>
    <cellStyle name="Normal 4 8 4 4 2 4 2" xfId="44963"/>
    <cellStyle name="Normal 4 8 4 4 2 5" xfId="30575"/>
    <cellStyle name="Normal 4 8 4 4 3" xfId="8733"/>
    <cellStyle name="Normal 4 8 4 4 3 2" xfId="15444"/>
    <cellStyle name="Normal 4 8 4 4 3 2 2" xfId="38865"/>
    <cellStyle name="Normal 4 8 4 4 3 3" xfId="32233"/>
    <cellStyle name="Normal 4 8 4 4 4" xfId="12126"/>
    <cellStyle name="Normal 4 8 4 4 4 2" xfId="35549"/>
    <cellStyle name="Normal 4 8 4 4 5" xfId="19700"/>
    <cellStyle name="Normal 4 8 4 4 5 2" xfId="42237"/>
    <cellStyle name="Normal 4 8 4 4 6" xfId="28917"/>
    <cellStyle name="Normal 4 8 4 5" xfId="6218"/>
    <cellStyle name="Normal 4 8 4 5 2" xfId="9552"/>
    <cellStyle name="Normal 4 8 4 5 2 2" xfId="16256"/>
    <cellStyle name="Normal 4 8 4 5 2 2 2" xfId="39677"/>
    <cellStyle name="Normal 4 8 4 5 2 3" xfId="33045"/>
    <cellStyle name="Normal 4 8 4 5 3" xfId="12940"/>
    <cellStyle name="Normal 4 8 4 5 3 2" xfId="36361"/>
    <cellStyle name="Normal 4 8 4 5 4" xfId="20929"/>
    <cellStyle name="Normal 4 8 4 5 4 2" xfId="43380"/>
    <cellStyle name="Normal 4 8 4 5 5" xfId="29729"/>
    <cellStyle name="Normal 4 8 4 6" xfId="7884"/>
    <cellStyle name="Normal 4 8 4 6 2" xfId="14598"/>
    <cellStyle name="Normal 4 8 4 6 2 2" xfId="38019"/>
    <cellStyle name="Normal 4 8 4 6 3" xfId="21691"/>
    <cellStyle name="Normal 4 8 4 6 3 2" xfId="44140"/>
    <cellStyle name="Normal 4 8 4 6 4" xfId="31387"/>
    <cellStyle name="Normal 4 8 4 7" xfId="11280"/>
    <cellStyle name="Normal 4 8 4 7 2" xfId="34703"/>
    <cellStyle name="Normal 4 8 4 8" xfId="18081"/>
    <cellStyle name="Normal 4 8 4 8 2" xfId="41369"/>
    <cellStyle name="Normal 4 8 4 9" xfId="23682"/>
    <cellStyle name="Normal 4 8 4 9 2" xfId="45971"/>
    <cellStyle name="Normal 4 8 5" xfId="2331"/>
    <cellStyle name="Normal 4 8 5 2" xfId="5570"/>
    <cellStyle name="Normal 4 8 5 2 2" xfId="7393"/>
    <cellStyle name="Normal 4 8 5 2 2 2" xfId="10724"/>
    <cellStyle name="Normal 4 8 5 2 2 2 2" xfId="17428"/>
    <cellStyle name="Normal 4 8 5 2 2 2 2 2" xfId="40849"/>
    <cellStyle name="Normal 4 8 5 2 2 2 3" xfId="23144"/>
    <cellStyle name="Normal 4 8 5 2 2 2 3 2" xfId="45566"/>
    <cellStyle name="Normal 4 8 5 2 2 2 4" xfId="34217"/>
    <cellStyle name="Normal 4 8 5 2 2 3" xfId="14112"/>
    <cellStyle name="Normal 4 8 5 2 2 3 2" xfId="37533"/>
    <cellStyle name="Normal 4 8 5 2 2 4" xfId="20319"/>
    <cellStyle name="Normal 4 8 5 2 2 4 2" xfId="42854"/>
    <cellStyle name="Normal 4 8 5 2 2 5" xfId="30901"/>
    <cellStyle name="Normal 4 8 5 2 3" xfId="9066"/>
    <cellStyle name="Normal 4 8 5 2 3 2" xfId="15770"/>
    <cellStyle name="Normal 4 8 5 2 3 2 2" xfId="39191"/>
    <cellStyle name="Normal 4 8 5 2 3 3" xfId="21390"/>
    <cellStyle name="Normal 4 8 5 2 3 3 2" xfId="43841"/>
    <cellStyle name="Normal 4 8 5 2 3 4" xfId="32559"/>
    <cellStyle name="Normal 4 8 5 2 4" xfId="12454"/>
    <cellStyle name="Normal 4 8 5 2 4 2" xfId="22332"/>
    <cellStyle name="Normal 4 8 5 2 4 2 2" xfId="44754"/>
    <cellStyle name="Normal 4 8 5 2 4 3" xfId="35875"/>
    <cellStyle name="Normal 4 8 5 2 5" xfId="19480"/>
    <cellStyle name="Normal 4 8 5 2 5 2" xfId="42022"/>
    <cellStyle name="Normal 4 8 5 2 6" xfId="29243"/>
    <cellStyle name="Normal 4 8 5 3" xfId="6491"/>
    <cellStyle name="Normal 4 8 5 3 2" xfId="9825"/>
    <cellStyle name="Normal 4 8 5 3 2 2" xfId="16529"/>
    <cellStyle name="Normal 4 8 5 3 2 2 2" xfId="39950"/>
    <cellStyle name="Normal 4 8 5 3 2 3" xfId="22739"/>
    <cellStyle name="Normal 4 8 5 3 2 3 2" xfId="45161"/>
    <cellStyle name="Normal 4 8 5 3 2 4" xfId="33318"/>
    <cellStyle name="Normal 4 8 5 3 3" xfId="13213"/>
    <cellStyle name="Normal 4 8 5 3 3 2" xfId="36634"/>
    <cellStyle name="Normal 4 8 5 3 4" xfId="19903"/>
    <cellStyle name="Normal 4 8 5 3 4 2" xfId="42438"/>
    <cellStyle name="Normal 4 8 5 3 5" xfId="30002"/>
    <cellStyle name="Normal 4 8 5 4" xfId="8158"/>
    <cellStyle name="Normal 4 8 5 4 2" xfId="14871"/>
    <cellStyle name="Normal 4 8 5 4 2 2" xfId="38292"/>
    <cellStyle name="Normal 4 8 5 4 3" xfId="20931"/>
    <cellStyle name="Normal 4 8 5 4 3 2" xfId="43382"/>
    <cellStyle name="Normal 4 8 5 4 4" xfId="31660"/>
    <cellStyle name="Normal 4 8 5 5" xfId="11553"/>
    <cellStyle name="Normal 4 8 5 5 2" xfId="21908"/>
    <cellStyle name="Normal 4 8 5 5 2 2" xfId="44340"/>
    <cellStyle name="Normal 4 8 5 5 3" xfId="34976"/>
    <cellStyle name="Normal 4 8 5 6" xfId="18768"/>
    <cellStyle name="Normal 4 8 5 6 2" xfId="41597"/>
    <cellStyle name="Normal 4 8 5 7" xfId="25906"/>
    <cellStyle name="Normal 4 8 5 7 2" xfId="48151"/>
    <cellStyle name="Normal 4 8 5 8" xfId="28344"/>
    <cellStyle name="Normal 4 8 6" xfId="2583"/>
    <cellStyle name="Normal 4 8 6 2" xfId="5677"/>
    <cellStyle name="Normal 4 8 6 2 2" xfId="7460"/>
    <cellStyle name="Normal 4 8 6 2 2 2" xfId="10789"/>
    <cellStyle name="Normal 4 8 6 2 2 2 2" xfId="17493"/>
    <cellStyle name="Normal 4 8 6 2 2 2 2 2" xfId="40914"/>
    <cellStyle name="Normal 4 8 6 2 2 2 3" xfId="34282"/>
    <cellStyle name="Normal 4 8 6 2 2 3" xfId="14177"/>
    <cellStyle name="Normal 4 8 6 2 2 3 2" xfId="37598"/>
    <cellStyle name="Normal 4 8 6 2 2 4" xfId="20603"/>
    <cellStyle name="Normal 4 8 6 2 2 4 2" xfId="43054"/>
    <cellStyle name="Normal 4 8 6 2 2 5" xfId="30966"/>
    <cellStyle name="Normal 4 8 6 2 3" xfId="9131"/>
    <cellStyle name="Normal 4 8 6 2 3 2" xfId="15835"/>
    <cellStyle name="Normal 4 8 6 2 3 2 2" xfId="39256"/>
    <cellStyle name="Normal 4 8 6 2 3 3" xfId="21521"/>
    <cellStyle name="Normal 4 8 6 2 3 3 2" xfId="43972"/>
    <cellStyle name="Normal 4 8 6 2 3 4" xfId="32624"/>
    <cellStyle name="Normal 4 8 6 2 4" xfId="12519"/>
    <cellStyle name="Normal 4 8 6 2 4 2" xfId="22939"/>
    <cellStyle name="Normal 4 8 6 2 4 2 2" xfId="45361"/>
    <cellStyle name="Normal 4 8 6 2 4 3" xfId="35940"/>
    <cellStyle name="Normal 4 8 6 2 5" xfId="20111"/>
    <cellStyle name="Normal 4 8 6 2 5 2" xfId="42646"/>
    <cellStyle name="Normal 4 8 6 2 6" xfId="29308"/>
    <cellStyle name="Normal 4 8 6 3" xfId="6560"/>
    <cellStyle name="Normal 4 8 6 3 2" xfId="9892"/>
    <cellStyle name="Normal 4 8 6 3 2 2" xfId="16596"/>
    <cellStyle name="Normal 4 8 6 3 2 2 2" xfId="40017"/>
    <cellStyle name="Normal 4 8 6 3 2 3" xfId="33385"/>
    <cellStyle name="Normal 4 8 6 3 3" xfId="13280"/>
    <cellStyle name="Normal 4 8 6 3 3 2" xfId="36701"/>
    <cellStyle name="Normal 4 8 6 3 4" xfId="20505"/>
    <cellStyle name="Normal 4 8 6 3 4 2" xfId="42958"/>
    <cellStyle name="Normal 4 8 6 3 5" xfId="30069"/>
    <cellStyle name="Normal 4 8 6 4" xfId="8226"/>
    <cellStyle name="Normal 4 8 6 4 2" xfId="14938"/>
    <cellStyle name="Normal 4 8 6 4 2 2" xfId="38359"/>
    <cellStyle name="Normal 4 8 6 4 3" xfId="21062"/>
    <cellStyle name="Normal 4 8 6 4 3 2" xfId="43513"/>
    <cellStyle name="Normal 4 8 6 4 4" xfId="31727"/>
    <cellStyle name="Normal 4 8 6 5" xfId="11620"/>
    <cellStyle name="Normal 4 8 6 5 2" xfId="22122"/>
    <cellStyle name="Normal 4 8 6 5 2 2" xfId="44546"/>
    <cellStyle name="Normal 4 8 6 5 3" xfId="35043"/>
    <cellStyle name="Normal 4 8 6 6" xfId="19261"/>
    <cellStyle name="Normal 4 8 6 6 2" xfId="41814"/>
    <cellStyle name="Normal 4 8 6 7" xfId="28411"/>
    <cellStyle name="Normal 4 8 7" xfId="4060"/>
    <cellStyle name="Normal 4 8 7 2" xfId="7059"/>
    <cellStyle name="Normal 4 8 7 2 2" xfId="10391"/>
    <cellStyle name="Normal 4 8 7 2 2 2" xfId="17095"/>
    <cellStyle name="Normal 4 8 7 2 2 2 2" xfId="40516"/>
    <cellStyle name="Normal 4 8 7 2 2 3" xfId="33884"/>
    <cellStyle name="Normal 4 8 7 2 3" xfId="13779"/>
    <cellStyle name="Normal 4 8 7 2 3 2" xfId="37200"/>
    <cellStyle name="Normal 4 8 7 2 4" xfId="20555"/>
    <cellStyle name="Normal 4 8 7 2 4 2" xfId="43006"/>
    <cellStyle name="Normal 4 8 7 2 5" xfId="30568"/>
    <cellStyle name="Normal 4 8 7 3" xfId="8726"/>
    <cellStyle name="Normal 4 8 7 3 2" xfId="15437"/>
    <cellStyle name="Normal 4 8 7 3 2 2" xfId="38858"/>
    <cellStyle name="Normal 4 8 7 3 3" xfId="21375"/>
    <cellStyle name="Normal 4 8 7 3 3 2" xfId="43826"/>
    <cellStyle name="Normal 4 8 7 3 4" xfId="32226"/>
    <cellStyle name="Normal 4 8 7 4" xfId="12119"/>
    <cellStyle name="Normal 4 8 7 4 2" xfId="22534"/>
    <cellStyle name="Normal 4 8 7 4 2 2" xfId="44956"/>
    <cellStyle name="Normal 4 8 7 4 3" xfId="35542"/>
    <cellStyle name="Normal 4 8 7 5" xfId="19693"/>
    <cellStyle name="Normal 4 8 7 5 2" xfId="42230"/>
    <cellStyle name="Normal 4 8 7 6" xfId="28910"/>
    <cellStyle name="Normal 4 8 8" xfId="6087"/>
    <cellStyle name="Normal 4 8 8 2" xfId="9421"/>
    <cellStyle name="Normal 4 8 8 2 2" xfId="16125"/>
    <cellStyle name="Normal 4 8 8 2 2 2" xfId="39546"/>
    <cellStyle name="Normal 4 8 8 2 3" xfId="32914"/>
    <cellStyle name="Normal 4 8 8 3" xfId="12809"/>
    <cellStyle name="Normal 4 8 8 3 2" xfId="36230"/>
    <cellStyle name="Normal 4 8 8 4" xfId="19094"/>
    <cellStyle name="Normal 4 8 8 4 2" xfId="41660"/>
    <cellStyle name="Normal 4 8 8 5" xfId="29598"/>
    <cellStyle name="Normal 4 8 9" xfId="7752"/>
    <cellStyle name="Normal 4 8 9 2" xfId="14467"/>
    <cellStyle name="Normal 4 8 9 2 2" xfId="37888"/>
    <cellStyle name="Normal 4 8 9 3" xfId="20916"/>
    <cellStyle name="Normal 4 8 9 3 2" xfId="43367"/>
    <cellStyle name="Normal 4 8 9 4" xfId="31256"/>
    <cellStyle name="Normal 4 9" xfId="1475"/>
    <cellStyle name="Normal 4 9 10" xfId="23683"/>
    <cellStyle name="Normal 4 9 10 2" xfId="45972"/>
    <cellStyle name="Normal 4 9 11" xfId="28005"/>
    <cellStyle name="Normal 4 9 2" xfId="1784"/>
    <cellStyle name="Normal 4 9 2 10" xfId="28136"/>
    <cellStyle name="Normal 4 9 2 2" xfId="2340"/>
    <cellStyle name="Normal 4 9 2 2 2" xfId="5579"/>
    <cellStyle name="Normal 4 9 2 2 2 2" xfId="7402"/>
    <cellStyle name="Normal 4 9 2 2 2 2 2" xfId="10733"/>
    <cellStyle name="Normal 4 9 2 2 2 2 2 2" xfId="17437"/>
    <cellStyle name="Normal 4 9 2 2 2 2 2 2 2" xfId="40858"/>
    <cellStyle name="Normal 4 9 2 2 2 2 2 3" xfId="23153"/>
    <cellStyle name="Normal 4 9 2 2 2 2 2 3 2" xfId="45575"/>
    <cellStyle name="Normal 4 9 2 2 2 2 2 4" xfId="34226"/>
    <cellStyle name="Normal 4 9 2 2 2 2 3" xfId="14121"/>
    <cellStyle name="Normal 4 9 2 2 2 2 3 2" xfId="37542"/>
    <cellStyle name="Normal 4 9 2 2 2 2 4" xfId="20328"/>
    <cellStyle name="Normal 4 9 2 2 2 2 4 2" xfId="42863"/>
    <cellStyle name="Normal 4 9 2 2 2 2 5" xfId="30910"/>
    <cellStyle name="Normal 4 9 2 2 2 3" xfId="9075"/>
    <cellStyle name="Normal 4 9 2 2 2 3 2" xfId="15779"/>
    <cellStyle name="Normal 4 9 2 2 2 3 2 2" xfId="39200"/>
    <cellStyle name="Normal 4 9 2 2 2 3 3" xfId="21393"/>
    <cellStyle name="Normal 4 9 2 2 2 3 3 2" xfId="43844"/>
    <cellStyle name="Normal 4 9 2 2 2 3 4" xfId="32568"/>
    <cellStyle name="Normal 4 9 2 2 2 4" xfId="12463"/>
    <cellStyle name="Normal 4 9 2 2 2 4 2" xfId="22341"/>
    <cellStyle name="Normal 4 9 2 2 2 4 2 2" xfId="44763"/>
    <cellStyle name="Normal 4 9 2 2 2 4 3" xfId="35884"/>
    <cellStyle name="Normal 4 9 2 2 2 5" xfId="19489"/>
    <cellStyle name="Normal 4 9 2 2 2 5 2" xfId="42031"/>
    <cellStyle name="Normal 4 9 2 2 2 6" xfId="29252"/>
    <cellStyle name="Normal 4 9 2 2 3" xfId="6500"/>
    <cellStyle name="Normal 4 9 2 2 3 2" xfId="9834"/>
    <cellStyle name="Normal 4 9 2 2 3 2 2" xfId="16538"/>
    <cellStyle name="Normal 4 9 2 2 3 2 2 2" xfId="39959"/>
    <cellStyle name="Normal 4 9 2 2 3 2 3" xfId="22748"/>
    <cellStyle name="Normal 4 9 2 2 3 2 3 2" xfId="45170"/>
    <cellStyle name="Normal 4 9 2 2 3 2 4" xfId="33327"/>
    <cellStyle name="Normal 4 9 2 2 3 3" xfId="13222"/>
    <cellStyle name="Normal 4 9 2 2 3 3 2" xfId="36643"/>
    <cellStyle name="Normal 4 9 2 2 3 4" xfId="19912"/>
    <cellStyle name="Normal 4 9 2 2 3 4 2" xfId="42447"/>
    <cellStyle name="Normal 4 9 2 2 3 5" xfId="30011"/>
    <cellStyle name="Normal 4 9 2 2 4" xfId="8167"/>
    <cellStyle name="Normal 4 9 2 2 4 2" xfId="14880"/>
    <cellStyle name="Normal 4 9 2 2 4 2 2" xfId="38301"/>
    <cellStyle name="Normal 4 9 2 2 4 3" xfId="20934"/>
    <cellStyle name="Normal 4 9 2 2 4 3 2" xfId="43385"/>
    <cellStyle name="Normal 4 9 2 2 4 4" xfId="31669"/>
    <cellStyle name="Normal 4 9 2 2 5" xfId="11562"/>
    <cellStyle name="Normal 4 9 2 2 5 2" xfId="21917"/>
    <cellStyle name="Normal 4 9 2 2 5 2 2" xfId="44349"/>
    <cellStyle name="Normal 4 9 2 2 5 3" xfId="34985"/>
    <cellStyle name="Normal 4 9 2 2 6" xfId="18777"/>
    <cellStyle name="Normal 4 9 2 2 6 2" xfId="41606"/>
    <cellStyle name="Normal 4 9 2 2 7" xfId="25915"/>
    <cellStyle name="Normal 4 9 2 2 7 2" xfId="48160"/>
    <cellStyle name="Normal 4 9 2 2 8" xfId="28353"/>
    <cellStyle name="Normal 4 9 2 3" xfId="2781"/>
    <cellStyle name="Normal 4 9 2 3 2" xfId="5873"/>
    <cellStyle name="Normal 4 9 2 3 2 2" xfId="7655"/>
    <cellStyle name="Normal 4 9 2 3 2 2 2" xfId="10984"/>
    <cellStyle name="Normal 4 9 2 3 2 2 2 2" xfId="17688"/>
    <cellStyle name="Normal 4 9 2 3 2 2 2 2 2" xfId="41109"/>
    <cellStyle name="Normal 4 9 2 3 2 2 2 3" xfId="34477"/>
    <cellStyle name="Normal 4 9 2 3 2 2 3" xfId="14372"/>
    <cellStyle name="Normal 4 9 2 3 2 2 3 2" xfId="37793"/>
    <cellStyle name="Normal 4 9 2 3 2 2 4" xfId="22948"/>
    <cellStyle name="Normal 4 9 2 3 2 2 4 2" xfId="45370"/>
    <cellStyle name="Normal 4 9 2 3 2 2 5" xfId="31161"/>
    <cellStyle name="Normal 4 9 2 3 2 3" xfId="9326"/>
    <cellStyle name="Normal 4 9 2 3 2 3 2" xfId="16030"/>
    <cellStyle name="Normal 4 9 2 3 2 3 2 2" xfId="39451"/>
    <cellStyle name="Normal 4 9 2 3 2 3 3" xfId="32819"/>
    <cellStyle name="Normal 4 9 2 3 2 4" xfId="12714"/>
    <cellStyle name="Normal 4 9 2 3 2 4 2" xfId="36135"/>
    <cellStyle name="Normal 4 9 2 3 2 5" xfId="20120"/>
    <cellStyle name="Normal 4 9 2 3 2 5 2" xfId="42655"/>
    <cellStyle name="Normal 4 9 2 3 2 6" xfId="29503"/>
    <cellStyle name="Normal 4 9 2 3 3" xfId="6756"/>
    <cellStyle name="Normal 4 9 2 3 3 2" xfId="10088"/>
    <cellStyle name="Normal 4 9 2 3 3 2 2" xfId="16792"/>
    <cellStyle name="Normal 4 9 2 3 3 2 2 2" xfId="40213"/>
    <cellStyle name="Normal 4 9 2 3 3 2 3" xfId="33581"/>
    <cellStyle name="Normal 4 9 2 3 3 3" xfId="13476"/>
    <cellStyle name="Normal 4 9 2 3 3 3 2" xfId="36897"/>
    <cellStyle name="Normal 4 9 2 3 3 4" xfId="21392"/>
    <cellStyle name="Normal 4 9 2 3 3 4 2" xfId="43843"/>
    <cellStyle name="Normal 4 9 2 3 3 5" xfId="30265"/>
    <cellStyle name="Normal 4 9 2 3 4" xfId="8422"/>
    <cellStyle name="Normal 4 9 2 3 4 2" xfId="15134"/>
    <cellStyle name="Normal 4 9 2 3 4 2 2" xfId="38555"/>
    <cellStyle name="Normal 4 9 2 3 4 3" xfId="22131"/>
    <cellStyle name="Normal 4 9 2 3 4 3 2" xfId="44555"/>
    <cellStyle name="Normal 4 9 2 3 4 4" xfId="31923"/>
    <cellStyle name="Normal 4 9 2 3 5" xfId="11816"/>
    <cellStyle name="Normal 4 9 2 3 5 2" xfId="35239"/>
    <cellStyle name="Normal 4 9 2 3 6" xfId="19270"/>
    <cellStyle name="Normal 4 9 2 3 6 2" xfId="41823"/>
    <cellStyle name="Normal 4 9 2 3 7" xfId="28607"/>
    <cellStyle name="Normal 4 9 2 4" xfId="4069"/>
    <cellStyle name="Normal 4 9 2 4 2" xfId="7068"/>
    <cellStyle name="Normal 4 9 2 4 2 2" xfId="10400"/>
    <cellStyle name="Normal 4 9 2 4 2 2 2" xfId="17104"/>
    <cellStyle name="Normal 4 9 2 4 2 2 2 2" xfId="40525"/>
    <cellStyle name="Normal 4 9 2 4 2 2 3" xfId="33893"/>
    <cellStyle name="Normal 4 9 2 4 2 3" xfId="13788"/>
    <cellStyle name="Normal 4 9 2 4 2 3 2" xfId="37209"/>
    <cellStyle name="Normal 4 9 2 4 2 4" xfId="22543"/>
    <cellStyle name="Normal 4 9 2 4 2 4 2" xfId="44965"/>
    <cellStyle name="Normal 4 9 2 4 2 5" xfId="30577"/>
    <cellStyle name="Normal 4 9 2 4 3" xfId="8735"/>
    <cellStyle name="Normal 4 9 2 4 3 2" xfId="15446"/>
    <cellStyle name="Normal 4 9 2 4 3 2 2" xfId="38867"/>
    <cellStyle name="Normal 4 9 2 4 3 3" xfId="32235"/>
    <cellStyle name="Normal 4 9 2 4 4" xfId="12128"/>
    <cellStyle name="Normal 4 9 2 4 4 2" xfId="35551"/>
    <cellStyle name="Normal 4 9 2 4 5" xfId="19702"/>
    <cellStyle name="Normal 4 9 2 4 5 2" xfId="42239"/>
    <cellStyle name="Normal 4 9 2 4 6" xfId="28919"/>
    <cellStyle name="Normal 4 9 2 5" xfId="6283"/>
    <cellStyle name="Normal 4 9 2 5 2" xfId="9617"/>
    <cellStyle name="Normal 4 9 2 5 2 2" xfId="16321"/>
    <cellStyle name="Normal 4 9 2 5 2 2 2" xfId="39742"/>
    <cellStyle name="Normal 4 9 2 5 2 3" xfId="33110"/>
    <cellStyle name="Normal 4 9 2 5 3" xfId="13005"/>
    <cellStyle name="Normal 4 9 2 5 3 2" xfId="36426"/>
    <cellStyle name="Normal 4 9 2 5 4" xfId="20933"/>
    <cellStyle name="Normal 4 9 2 5 4 2" xfId="43384"/>
    <cellStyle name="Normal 4 9 2 5 5" xfId="29794"/>
    <cellStyle name="Normal 4 9 2 6" xfId="7949"/>
    <cellStyle name="Normal 4 9 2 6 2" xfId="14663"/>
    <cellStyle name="Normal 4 9 2 6 2 2" xfId="38084"/>
    <cellStyle name="Normal 4 9 2 6 3" xfId="21693"/>
    <cellStyle name="Normal 4 9 2 6 3 2" xfId="44142"/>
    <cellStyle name="Normal 4 9 2 6 4" xfId="31452"/>
    <cellStyle name="Normal 4 9 2 7" xfId="11345"/>
    <cellStyle name="Normal 4 9 2 7 2" xfId="34768"/>
    <cellStyle name="Normal 4 9 2 8" xfId="18083"/>
    <cellStyle name="Normal 4 9 2 8 2" xfId="41371"/>
    <cellStyle name="Normal 4 9 2 9" xfId="23684"/>
    <cellStyle name="Normal 4 9 2 9 2" xfId="45973"/>
    <cellStyle name="Normal 4 9 3" xfId="2339"/>
    <cellStyle name="Normal 4 9 3 2" xfId="5578"/>
    <cellStyle name="Normal 4 9 3 2 2" xfId="7401"/>
    <cellStyle name="Normal 4 9 3 2 2 2" xfId="10732"/>
    <cellStyle name="Normal 4 9 3 2 2 2 2" xfId="17436"/>
    <cellStyle name="Normal 4 9 3 2 2 2 2 2" xfId="40857"/>
    <cellStyle name="Normal 4 9 3 2 2 2 3" xfId="23152"/>
    <cellStyle name="Normal 4 9 3 2 2 2 3 2" xfId="45574"/>
    <cellStyle name="Normal 4 9 3 2 2 2 4" xfId="34225"/>
    <cellStyle name="Normal 4 9 3 2 2 3" xfId="14120"/>
    <cellStyle name="Normal 4 9 3 2 2 3 2" xfId="37541"/>
    <cellStyle name="Normal 4 9 3 2 2 4" xfId="20327"/>
    <cellStyle name="Normal 4 9 3 2 2 4 2" xfId="42862"/>
    <cellStyle name="Normal 4 9 3 2 2 5" xfId="30909"/>
    <cellStyle name="Normal 4 9 3 2 3" xfId="9074"/>
    <cellStyle name="Normal 4 9 3 2 3 2" xfId="15778"/>
    <cellStyle name="Normal 4 9 3 2 3 2 2" xfId="39199"/>
    <cellStyle name="Normal 4 9 3 2 3 3" xfId="21394"/>
    <cellStyle name="Normal 4 9 3 2 3 3 2" xfId="43845"/>
    <cellStyle name="Normal 4 9 3 2 3 4" xfId="32567"/>
    <cellStyle name="Normal 4 9 3 2 4" xfId="12462"/>
    <cellStyle name="Normal 4 9 3 2 4 2" xfId="22340"/>
    <cellStyle name="Normal 4 9 3 2 4 2 2" xfId="44762"/>
    <cellStyle name="Normal 4 9 3 2 4 3" xfId="35883"/>
    <cellStyle name="Normal 4 9 3 2 5" xfId="19488"/>
    <cellStyle name="Normal 4 9 3 2 5 2" xfId="42030"/>
    <cellStyle name="Normal 4 9 3 2 6" xfId="29251"/>
    <cellStyle name="Normal 4 9 3 3" xfId="6499"/>
    <cellStyle name="Normal 4 9 3 3 2" xfId="9833"/>
    <cellStyle name="Normal 4 9 3 3 2 2" xfId="16537"/>
    <cellStyle name="Normal 4 9 3 3 2 2 2" xfId="39958"/>
    <cellStyle name="Normal 4 9 3 3 2 3" xfId="22747"/>
    <cellStyle name="Normal 4 9 3 3 2 3 2" xfId="45169"/>
    <cellStyle name="Normal 4 9 3 3 2 4" xfId="33326"/>
    <cellStyle name="Normal 4 9 3 3 3" xfId="13221"/>
    <cellStyle name="Normal 4 9 3 3 3 2" xfId="36642"/>
    <cellStyle name="Normal 4 9 3 3 4" xfId="19911"/>
    <cellStyle name="Normal 4 9 3 3 4 2" xfId="42446"/>
    <cellStyle name="Normal 4 9 3 3 5" xfId="30010"/>
    <cellStyle name="Normal 4 9 3 4" xfId="8166"/>
    <cellStyle name="Normal 4 9 3 4 2" xfId="14879"/>
    <cellStyle name="Normal 4 9 3 4 2 2" xfId="38300"/>
    <cellStyle name="Normal 4 9 3 4 3" xfId="20935"/>
    <cellStyle name="Normal 4 9 3 4 3 2" xfId="43386"/>
    <cellStyle name="Normal 4 9 3 4 4" xfId="31668"/>
    <cellStyle name="Normal 4 9 3 5" xfId="11561"/>
    <cellStyle name="Normal 4 9 3 5 2" xfId="21916"/>
    <cellStyle name="Normal 4 9 3 5 2 2" xfId="44348"/>
    <cellStyle name="Normal 4 9 3 5 3" xfId="34984"/>
    <cellStyle name="Normal 4 9 3 6" xfId="18776"/>
    <cellStyle name="Normal 4 9 3 6 2" xfId="41605"/>
    <cellStyle name="Normal 4 9 3 7" xfId="25914"/>
    <cellStyle name="Normal 4 9 3 7 2" xfId="48159"/>
    <cellStyle name="Normal 4 9 3 8" xfId="28352"/>
    <cellStyle name="Normal 4 9 4" xfId="2649"/>
    <cellStyle name="Normal 4 9 4 2" xfId="5742"/>
    <cellStyle name="Normal 4 9 4 2 2" xfId="7524"/>
    <cellStyle name="Normal 4 9 4 2 2 2" xfId="10853"/>
    <cellStyle name="Normal 4 9 4 2 2 2 2" xfId="17557"/>
    <cellStyle name="Normal 4 9 4 2 2 2 2 2" xfId="40978"/>
    <cellStyle name="Normal 4 9 4 2 2 2 3" xfId="34346"/>
    <cellStyle name="Normal 4 9 4 2 2 3" xfId="14241"/>
    <cellStyle name="Normal 4 9 4 2 2 3 2" xfId="37662"/>
    <cellStyle name="Normal 4 9 4 2 2 4" xfId="22947"/>
    <cellStyle name="Normal 4 9 4 2 2 4 2" xfId="45369"/>
    <cellStyle name="Normal 4 9 4 2 2 5" xfId="31030"/>
    <cellStyle name="Normal 4 9 4 2 3" xfId="9195"/>
    <cellStyle name="Normal 4 9 4 2 3 2" xfId="15899"/>
    <cellStyle name="Normal 4 9 4 2 3 2 2" xfId="39320"/>
    <cellStyle name="Normal 4 9 4 2 3 3" xfId="32688"/>
    <cellStyle name="Normal 4 9 4 2 4" xfId="12583"/>
    <cellStyle name="Normal 4 9 4 2 4 2" xfId="36004"/>
    <cellStyle name="Normal 4 9 4 2 5" xfId="20119"/>
    <cellStyle name="Normal 4 9 4 2 5 2" xfId="42654"/>
    <cellStyle name="Normal 4 9 4 2 6" xfId="29372"/>
    <cellStyle name="Normal 4 9 4 3" xfId="6625"/>
    <cellStyle name="Normal 4 9 4 3 2" xfId="9957"/>
    <cellStyle name="Normal 4 9 4 3 2 2" xfId="16661"/>
    <cellStyle name="Normal 4 9 4 3 2 2 2" xfId="40082"/>
    <cellStyle name="Normal 4 9 4 3 2 3" xfId="33450"/>
    <cellStyle name="Normal 4 9 4 3 3" xfId="13345"/>
    <cellStyle name="Normal 4 9 4 3 3 2" xfId="36766"/>
    <cellStyle name="Normal 4 9 4 3 4" xfId="21391"/>
    <cellStyle name="Normal 4 9 4 3 4 2" xfId="43842"/>
    <cellStyle name="Normal 4 9 4 3 5" xfId="30134"/>
    <cellStyle name="Normal 4 9 4 4" xfId="8291"/>
    <cellStyle name="Normal 4 9 4 4 2" xfId="15003"/>
    <cellStyle name="Normal 4 9 4 4 2 2" xfId="38424"/>
    <cellStyle name="Normal 4 9 4 4 3" xfId="22130"/>
    <cellStyle name="Normal 4 9 4 4 3 2" xfId="44554"/>
    <cellStyle name="Normal 4 9 4 4 4" xfId="31792"/>
    <cellStyle name="Normal 4 9 4 5" xfId="11685"/>
    <cellStyle name="Normal 4 9 4 5 2" xfId="35108"/>
    <cellStyle name="Normal 4 9 4 6" xfId="19269"/>
    <cellStyle name="Normal 4 9 4 6 2" xfId="41822"/>
    <cellStyle name="Normal 4 9 4 7" xfId="28476"/>
    <cellStyle name="Normal 4 9 5" xfId="4068"/>
    <cellStyle name="Normal 4 9 5 2" xfId="7067"/>
    <cellStyle name="Normal 4 9 5 2 2" xfId="10399"/>
    <cellStyle name="Normal 4 9 5 2 2 2" xfId="17103"/>
    <cellStyle name="Normal 4 9 5 2 2 2 2" xfId="40524"/>
    <cellStyle name="Normal 4 9 5 2 2 3" xfId="33892"/>
    <cellStyle name="Normal 4 9 5 2 3" xfId="13787"/>
    <cellStyle name="Normal 4 9 5 2 3 2" xfId="37208"/>
    <cellStyle name="Normal 4 9 5 2 4" xfId="22542"/>
    <cellStyle name="Normal 4 9 5 2 4 2" xfId="44964"/>
    <cellStyle name="Normal 4 9 5 2 5" xfId="30576"/>
    <cellStyle name="Normal 4 9 5 3" xfId="8734"/>
    <cellStyle name="Normal 4 9 5 3 2" xfId="15445"/>
    <cellStyle name="Normal 4 9 5 3 2 2" xfId="38866"/>
    <cellStyle name="Normal 4 9 5 3 3" xfId="32234"/>
    <cellStyle name="Normal 4 9 5 4" xfId="12127"/>
    <cellStyle name="Normal 4 9 5 4 2" xfId="35550"/>
    <cellStyle name="Normal 4 9 5 5" xfId="19701"/>
    <cellStyle name="Normal 4 9 5 5 2" xfId="42238"/>
    <cellStyle name="Normal 4 9 5 6" xfId="28918"/>
    <cellStyle name="Normal 4 9 6" xfId="6152"/>
    <cellStyle name="Normal 4 9 6 2" xfId="9486"/>
    <cellStyle name="Normal 4 9 6 2 2" xfId="16190"/>
    <cellStyle name="Normal 4 9 6 2 2 2" xfId="39611"/>
    <cellStyle name="Normal 4 9 6 2 3" xfId="32979"/>
    <cellStyle name="Normal 4 9 6 3" xfId="12874"/>
    <cellStyle name="Normal 4 9 6 3 2" xfId="36295"/>
    <cellStyle name="Normal 4 9 6 4" xfId="20932"/>
    <cellStyle name="Normal 4 9 6 4 2" xfId="43383"/>
    <cellStyle name="Normal 4 9 6 5" xfId="29663"/>
    <cellStyle name="Normal 4 9 7" xfId="7818"/>
    <cellStyle name="Normal 4 9 7 2" xfId="14532"/>
    <cellStyle name="Normal 4 9 7 2 2" xfId="37953"/>
    <cellStyle name="Normal 4 9 7 3" xfId="21692"/>
    <cellStyle name="Normal 4 9 7 3 2" xfId="44141"/>
    <cellStyle name="Normal 4 9 7 4" xfId="31321"/>
    <cellStyle name="Normal 4 9 8" xfId="11214"/>
    <cellStyle name="Normal 4 9 8 2" xfId="34637"/>
    <cellStyle name="Normal 4 9 9" xfId="18082"/>
    <cellStyle name="Normal 4 9 9 2" xfId="41370"/>
    <cellStyle name="Normal 40" xfId="735"/>
    <cellStyle name="Normal 40 2" xfId="809"/>
    <cellStyle name="Normal 40 2 2" xfId="4071"/>
    <cellStyle name="Normal 40 2 3" xfId="4070"/>
    <cellStyle name="Normal 40 3" xfId="4072"/>
    <cellStyle name="Normal 41" xfId="737"/>
    <cellStyle name="Normal 41 2" xfId="4073"/>
    <cellStyle name="Normal 42" xfId="738"/>
    <cellStyle name="Normal 42 2" xfId="4074"/>
    <cellStyle name="Normal 43" xfId="739"/>
    <cellStyle name="Normal 43 2" xfId="4075"/>
    <cellStyle name="Normal 44" xfId="740"/>
    <cellStyle name="Normal 44 2" xfId="4076"/>
    <cellStyle name="Normal 45" xfId="736"/>
    <cellStyle name="Normal 45 2" xfId="4077"/>
    <cellStyle name="Normal 45 2 2" xfId="18778"/>
    <cellStyle name="Normal 45 3" xfId="4078"/>
    <cellStyle name="Normal 46" xfId="741"/>
    <cellStyle name="Normal 46 2" xfId="4079"/>
    <cellStyle name="Normal 46 2 2" xfId="4080"/>
    <cellStyle name="Normal 46 3" xfId="4081"/>
    <cellStyle name="Normal 46 4" xfId="4082"/>
    <cellStyle name="Normal 47" xfId="763"/>
    <cellStyle name="Normal 47 2" xfId="4083"/>
    <cellStyle name="Normal 47 2 2" xfId="4084"/>
    <cellStyle name="Normal 47 3" xfId="4085"/>
    <cellStyle name="Normal 47 4" xfId="4086"/>
    <cellStyle name="Normal 48" xfId="765"/>
    <cellStyle name="Normal 48 2" xfId="4087"/>
    <cellStyle name="Normal 48 2 2" xfId="4088"/>
    <cellStyle name="Normal 48 3" xfId="4089"/>
    <cellStyle name="Normal 48 4" xfId="4090"/>
    <cellStyle name="Normal 49" xfId="762"/>
    <cellStyle name="Normal 49 2" xfId="4091"/>
    <cellStyle name="Normal 49 2 2" xfId="4092"/>
    <cellStyle name="Normal 49 3" xfId="4093"/>
    <cellStyle name="Normal 49 4" xfId="4094"/>
    <cellStyle name="Normal 5" xfId="510"/>
    <cellStyle name="Normal 5 2" xfId="511"/>
    <cellStyle name="Normal 5 2 10" xfId="20936"/>
    <cellStyle name="Normal 5 2 10 2" xfId="43387"/>
    <cellStyle name="Normal 5 2 11" xfId="21694"/>
    <cellStyle name="Normal 5 2 11 2" xfId="44143"/>
    <cellStyle name="Normal 5 2 2" xfId="1154"/>
    <cellStyle name="Normal 5 2 2 2" xfId="4096"/>
    <cellStyle name="Normal 5 2 2 3" xfId="4095"/>
    <cellStyle name="Normal 5 2 3" xfId="1091"/>
    <cellStyle name="Normal 5 2 3 2" xfId="18781"/>
    <cellStyle name="Normal 5 2 4" xfId="1629"/>
    <cellStyle name="Normal 5 2 4 2" xfId="18782"/>
    <cellStyle name="Normal 5 2 5" xfId="1628"/>
    <cellStyle name="Normal 5 2 5 10" xfId="23685"/>
    <cellStyle name="Normal 5 2 5 10 2" xfId="45974"/>
    <cellStyle name="Normal 5 2 5 11" xfId="28047"/>
    <cellStyle name="Normal 5 2 5 2" xfId="1826"/>
    <cellStyle name="Normal 5 2 5 2 10" xfId="28178"/>
    <cellStyle name="Normal 5 2 5 2 2" xfId="2343"/>
    <cellStyle name="Normal 5 2 5 2 2 2" xfId="5582"/>
    <cellStyle name="Normal 5 2 5 2 2 2 2" xfId="7405"/>
    <cellStyle name="Normal 5 2 5 2 2 2 2 2" xfId="10736"/>
    <cellStyle name="Normal 5 2 5 2 2 2 2 2 2" xfId="17440"/>
    <cellStyle name="Normal 5 2 5 2 2 2 2 2 2 2" xfId="40861"/>
    <cellStyle name="Normal 5 2 5 2 2 2 2 2 3" xfId="23156"/>
    <cellStyle name="Normal 5 2 5 2 2 2 2 2 3 2" xfId="45578"/>
    <cellStyle name="Normal 5 2 5 2 2 2 2 2 4" xfId="34229"/>
    <cellStyle name="Normal 5 2 5 2 2 2 2 3" xfId="14124"/>
    <cellStyle name="Normal 5 2 5 2 2 2 2 3 2" xfId="37545"/>
    <cellStyle name="Normal 5 2 5 2 2 2 2 4" xfId="20331"/>
    <cellStyle name="Normal 5 2 5 2 2 2 2 4 2" xfId="42866"/>
    <cellStyle name="Normal 5 2 5 2 2 2 2 5" xfId="30913"/>
    <cellStyle name="Normal 5 2 5 2 2 2 3" xfId="9078"/>
    <cellStyle name="Normal 5 2 5 2 2 2 3 2" xfId="15782"/>
    <cellStyle name="Normal 5 2 5 2 2 2 3 2 2" xfId="39203"/>
    <cellStyle name="Normal 5 2 5 2 2 2 3 3" xfId="21398"/>
    <cellStyle name="Normal 5 2 5 2 2 2 3 3 2" xfId="43849"/>
    <cellStyle name="Normal 5 2 5 2 2 2 3 4" xfId="32571"/>
    <cellStyle name="Normal 5 2 5 2 2 2 4" xfId="12466"/>
    <cellStyle name="Normal 5 2 5 2 2 2 4 2" xfId="22344"/>
    <cellStyle name="Normal 5 2 5 2 2 2 4 2 2" xfId="44766"/>
    <cellStyle name="Normal 5 2 5 2 2 2 4 3" xfId="35887"/>
    <cellStyle name="Normal 5 2 5 2 2 2 5" xfId="19492"/>
    <cellStyle name="Normal 5 2 5 2 2 2 5 2" xfId="42034"/>
    <cellStyle name="Normal 5 2 5 2 2 2 6" xfId="29255"/>
    <cellStyle name="Normal 5 2 5 2 2 3" xfId="6503"/>
    <cellStyle name="Normal 5 2 5 2 2 3 2" xfId="9837"/>
    <cellStyle name="Normal 5 2 5 2 2 3 2 2" xfId="16541"/>
    <cellStyle name="Normal 5 2 5 2 2 3 2 2 2" xfId="39962"/>
    <cellStyle name="Normal 5 2 5 2 2 3 2 3" xfId="22751"/>
    <cellStyle name="Normal 5 2 5 2 2 3 2 3 2" xfId="45173"/>
    <cellStyle name="Normal 5 2 5 2 2 3 2 4" xfId="33330"/>
    <cellStyle name="Normal 5 2 5 2 2 3 3" xfId="13225"/>
    <cellStyle name="Normal 5 2 5 2 2 3 3 2" xfId="36646"/>
    <cellStyle name="Normal 5 2 5 2 2 3 4" xfId="19915"/>
    <cellStyle name="Normal 5 2 5 2 2 3 4 2" xfId="42450"/>
    <cellStyle name="Normal 5 2 5 2 2 3 5" xfId="30014"/>
    <cellStyle name="Normal 5 2 5 2 2 4" xfId="8170"/>
    <cellStyle name="Normal 5 2 5 2 2 4 2" xfId="14883"/>
    <cellStyle name="Normal 5 2 5 2 2 4 2 2" xfId="38304"/>
    <cellStyle name="Normal 5 2 5 2 2 4 3" xfId="20939"/>
    <cellStyle name="Normal 5 2 5 2 2 4 3 2" xfId="43390"/>
    <cellStyle name="Normal 5 2 5 2 2 4 4" xfId="31672"/>
    <cellStyle name="Normal 5 2 5 2 2 5" xfId="11565"/>
    <cellStyle name="Normal 5 2 5 2 2 5 2" xfId="21920"/>
    <cellStyle name="Normal 5 2 5 2 2 5 2 2" xfId="44352"/>
    <cellStyle name="Normal 5 2 5 2 2 5 3" xfId="34988"/>
    <cellStyle name="Normal 5 2 5 2 2 6" xfId="18784"/>
    <cellStyle name="Normal 5 2 5 2 2 6 2" xfId="41609"/>
    <cellStyle name="Normal 5 2 5 2 2 7" xfId="25917"/>
    <cellStyle name="Normal 5 2 5 2 2 7 2" xfId="48162"/>
    <cellStyle name="Normal 5 2 5 2 2 8" xfId="28356"/>
    <cellStyle name="Normal 5 2 5 2 3" xfId="2823"/>
    <cellStyle name="Normal 5 2 5 2 3 2" xfId="5915"/>
    <cellStyle name="Normal 5 2 5 2 3 2 2" xfId="7697"/>
    <cellStyle name="Normal 5 2 5 2 3 2 2 2" xfId="11026"/>
    <cellStyle name="Normal 5 2 5 2 3 2 2 2 2" xfId="17730"/>
    <cellStyle name="Normal 5 2 5 2 3 2 2 2 2 2" xfId="41151"/>
    <cellStyle name="Normal 5 2 5 2 3 2 2 2 3" xfId="34519"/>
    <cellStyle name="Normal 5 2 5 2 3 2 2 3" xfId="14414"/>
    <cellStyle name="Normal 5 2 5 2 3 2 2 3 2" xfId="37835"/>
    <cellStyle name="Normal 5 2 5 2 3 2 2 4" xfId="22951"/>
    <cellStyle name="Normal 5 2 5 2 3 2 2 4 2" xfId="45373"/>
    <cellStyle name="Normal 5 2 5 2 3 2 2 5" xfId="31203"/>
    <cellStyle name="Normal 5 2 5 2 3 2 3" xfId="9368"/>
    <cellStyle name="Normal 5 2 5 2 3 2 3 2" xfId="16072"/>
    <cellStyle name="Normal 5 2 5 2 3 2 3 2 2" xfId="39493"/>
    <cellStyle name="Normal 5 2 5 2 3 2 3 3" xfId="32861"/>
    <cellStyle name="Normal 5 2 5 2 3 2 4" xfId="12756"/>
    <cellStyle name="Normal 5 2 5 2 3 2 4 2" xfId="36177"/>
    <cellStyle name="Normal 5 2 5 2 3 2 5" xfId="20123"/>
    <cellStyle name="Normal 5 2 5 2 3 2 5 2" xfId="42658"/>
    <cellStyle name="Normal 5 2 5 2 3 2 6" xfId="29545"/>
    <cellStyle name="Normal 5 2 5 2 3 3" xfId="6798"/>
    <cellStyle name="Normal 5 2 5 2 3 3 2" xfId="10130"/>
    <cellStyle name="Normal 5 2 5 2 3 3 2 2" xfId="16834"/>
    <cellStyle name="Normal 5 2 5 2 3 3 2 2 2" xfId="40255"/>
    <cellStyle name="Normal 5 2 5 2 3 3 2 3" xfId="33623"/>
    <cellStyle name="Normal 5 2 5 2 3 3 3" xfId="13518"/>
    <cellStyle name="Normal 5 2 5 2 3 3 3 2" xfId="36939"/>
    <cellStyle name="Normal 5 2 5 2 3 3 4" xfId="21397"/>
    <cellStyle name="Normal 5 2 5 2 3 3 4 2" xfId="43848"/>
    <cellStyle name="Normal 5 2 5 2 3 3 5" xfId="30307"/>
    <cellStyle name="Normal 5 2 5 2 3 4" xfId="8464"/>
    <cellStyle name="Normal 5 2 5 2 3 4 2" xfId="15176"/>
    <cellStyle name="Normal 5 2 5 2 3 4 2 2" xfId="38597"/>
    <cellStyle name="Normal 5 2 5 2 3 4 3" xfId="22134"/>
    <cellStyle name="Normal 5 2 5 2 3 4 3 2" xfId="44558"/>
    <cellStyle name="Normal 5 2 5 2 3 4 4" xfId="31965"/>
    <cellStyle name="Normal 5 2 5 2 3 5" xfId="11858"/>
    <cellStyle name="Normal 5 2 5 2 3 5 2" xfId="35281"/>
    <cellStyle name="Normal 5 2 5 2 3 6" xfId="19273"/>
    <cellStyle name="Normal 5 2 5 2 3 6 2" xfId="41826"/>
    <cellStyle name="Normal 5 2 5 2 3 7" xfId="28649"/>
    <cellStyle name="Normal 5 2 5 2 4" xfId="4098"/>
    <cellStyle name="Normal 5 2 5 2 4 2" xfId="7070"/>
    <cellStyle name="Normal 5 2 5 2 4 2 2" xfId="10402"/>
    <cellStyle name="Normal 5 2 5 2 4 2 2 2" xfId="17106"/>
    <cellStyle name="Normal 5 2 5 2 4 2 2 2 2" xfId="40527"/>
    <cellStyle name="Normal 5 2 5 2 4 2 2 3" xfId="33895"/>
    <cellStyle name="Normal 5 2 5 2 4 2 3" xfId="13790"/>
    <cellStyle name="Normal 5 2 5 2 4 2 3 2" xfId="37211"/>
    <cellStyle name="Normal 5 2 5 2 4 2 4" xfId="22546"/>
    <cellStyle name="Normal 5 2 5 2 4 2 4 2" xfId="44968"/>
    <cellStyle name="Normal 5 2 5 2 4 2 5" xfId="30579"/>
    <cellStyle name="Normal 5 2 5 2 4 3" xfId="8737"/>
    <cellStyle name="Normal 5 2 5 2 4 3 2" xfId="15448"/>
    <cellStyle name="Normal 5 2 5 2 4 3 2 2" xfId="38869"/>
    <cellStyle name="Normal 5 2 5 2 4 3 3" xfId="32237"/>
    <cellStyle name="Normal 5 2 5 2 4 4" xfId="12130"/>
    <cellStyle name="Normal 5 2 5 2 4 4 2" xfId="35553"/>
    <cellStyle name="Normal 5 2 5 2 4 5" xfId="19705"/>
    <cellStyle name="Normal 5 2 5 2 4 5 2" xfId="42242"/>
    <cellStyle name="Normal 5 2 5 2 4 6" xfId="28921"/>
    <cellStyle name="Normal 5 2 5 2 5" xfId="6325"/>
    <cellStyle name="Normal 5 2 5 2 5 2" xfId="9659"/>
    <cellStyle name="Normal 5 2 5 2 5 2 2" xfId="16363"/>
    <cellStyle name="Normal 5 2 5 2 5 2 2 2" xfId="39784"/>
    <cellStyle name="Normal 5 2 5 2 5 2 3" xfId="33152"/>
    <cellStyle name="Normal 5 2 5 2 5 3" xfId="13047"/>
    <cellStyle name="Normal 5 2 5 2 5 3 2" xfId="36468"/>
    <cellStyle name="Normal 5 2 5 2 5 4" xfId="20938"/>
    <cellStyle name="Normal 5 2 5 2 5 4 2" xfId="43389"/>
    <cellStyle name="Normal 5 2 5 2 5 5" xfId="29836"/>
    <cellStyle name="Normal 5 2 5 2 6" xfId="7991"/>
    <cellStyle name="Normal 5 2 5 2 6 2" xfId="14705"/>
    <cellStyle name="Normal 5 2 5 2 6 2 2" xfId="38126"/>
    <cellStyle name="Normal 5 2 5 2 6 3" xfId="21696"/>
    <cellStyle name="Normal 5 2 5 2 6 3 2" xfId="44145"/>
    <cellStyle name="Normal 5 2 5 2 6 4" xfId="31494"/>
    <cellStyle name="Normal 5 2 5 2 7" xfId="11387"/>
    <cellStyle name="Normal 5 2 5 2 7 2" xfId="34810"/>
    <cellStyle name="Normal 5 2 5 2 8" xfId="18086"/>
    <cellStyle name="Normal 5 2 5 2 8 2" xfId="41374"/>
    <cellStyle name="Normal 5 2 5 2 9" xfId="23686"/>
    <cellStyle name="Normal 5 2 5 2 9 2" xfId="45975"/>
    <cellStyle name="Normal 5 2 5 3" xfId="2342"/>
    <cellStyle name="Normal 5 2 5 3 2" xfId="5581"/>
    <cellStyle name="Normal 5 2 5 3 2 2" xfId="7404"/>
    <cellStyle name="Normal 5 2 5 3 2 2 2" xfId="10735"/>
    <cellStyle name="Normal 5 2 5 3 2 2 2 2" xfId="17439"/>
    <cellStyle name="Normal 5 2 5 3 2 2 2 2 2" xfId="40860"/>
    <cellStyle name="Normal 5 2 5 3 2 2 2 3" xfId="23155"/>
    <cellStyle name="Normal 5 2 5 3 2 2 2 3 2" xfId="45577"/>
    <cellStyle name="Normal 5 2 5 3 2 2 2 4" xfId="34228"/>
    <cellStyle name="Normal 5 2 5 3 2 2 3" xfId="14123"/>
    <cellStyle name="Normal 5 2 5 3 2 2 3 2" xfId="37544"/>
    <cellStyle name="Normal 5 2 5 3 2 2 4" xfId="20330"/>
    <cellStyle name="Normal 5 2 5 3 2 2 4 2" xfId="42865"/>
    <cellStyle name="Normal 5 2 5 3 2 2 5" xfId="30912"/>
    <cellStyle name="Normal 5 2 5 3 2 3" xfId="9077"/>
    <cellStyle name="Normal 5 2 5 3 2 3 2" xfId="15781"/>
    <cellStyle name="Normal 5 2 5 3 2 3 2 2" xfId="39202"/>
    <cellStyle name="Normal 5 2 5 3 2 3 3" xfId="21399"/>
    <cellStyle name="Normal 5 2 5 3 2 3 3 2" xfId="43850"/>
    <cellStyle name="Normal 5 2 5 3 2 3 4" xfId="32570"/>
    <cellStyle name="Normal 5 2 5 3 2 4" xfId="12465"/>
    <cellStyle name="Normal 5 2 5 3 2 4 2" xfId="22343"/>
    <cellStyle name="Normal 5 2 5 3 2 4 2 2" xfId="44765"/>
    <cellStyle name="Normal 5 2 5 3 2 4 3" xfId="35886"/>
    <cellStyle name="Normal 5 2 5 3 2 5" xfId="19491"/>
    <cellStyle name="Normal 5 2 5 3 2 5 2" xfId="42033"/>
    <cellStyle name="Normal 5 2 5 3 2 6" xfId="29254"/>
    <cellStyle name="Normal 5 2 5 3 3" xfId="6502"/>
    <cellStyle name="Normal 5 2 5 3 3 2" xfId="9836"/>
    <cellStyle name="Normal 5 2 5 3 3 2 2" xfId="16540"/>
    <cellStyle name="Normal 5 2 5 3 3 2 2 2" xfId="39961"/>
    <cellStyle name="Normal 5 2 5 3 3 2 3" xfId="22750"/>
    <cellStyle name="Normal 5 2 5 3 3 2 3 2" xfId="45172"/>
    <cellStyle name="Normal 5 2 5 3 3 2 4" xfId="33329"/>
    <cellStyle name="Normal 5 2 5 3 3 3" xfId="13224"/>
    <cellStyle name="Normal 5 2 5 3 3 3 2" xfId="36645"/>
    <cellStyle name="Normal 5 2 5 3 3 4" xfId="19914"/>
    <cellStyle name="Normal 5 2 5 3 3 4 2" xfId="42449"/>
    <cellStyle name="Normal 5 2 5 3 3 5" xfId="30013"/>
    <cellStyle name="Normal 5 2 5 3 4" xfId="8169"/>
    <cellStyle name="Normal 5 2 5 3 4 2" xfId="14882"/>
    <cellStyle name="Normal 5 2 5 3 4 2 2" xfId="38303"/>
    <cellStyle name="Normal 5 2 5 3 4 3" xfId="20940"/>
    <cellStyle name="Normal 5 2 5 3 4 3 2" xfId="43391"/>
    <cellStyle name="Normal 5 2 5 3 4 4" xfId="31671"/>
    <cellStyle name="Normal 5 2 5 3 5" xfId="11564"/>
    <cellStyle name="Normal 5 2 5 3 5 2" xfId="21919"/>
    <cellStyle name="Normal 5 2 5 3 5 2 2" xfId="44351"/>
    <cellStyle name="Normal 5 2 5 3 5 3" xfId="34987"/>
    <cellStyle name="Normal 5 2 5 3 6" xfId="18783"/>
    <cellStyle name="Normal 5 2 5 3 6 2" xfId="41608"/>
    <cellStyle name="Normal 5 2 5 3 7" xfId="25916"/>
    <cellStyle name="Normal 5 2 5 3 7 2" xfId="48161"/>
    <cellStyle name="Normal 5 2 5 3 8" xfId="28355"/>
    <cellStyle name="Normal 5 2 5 4" xfId="2691"/>
    <cellStyle name="Normal 5 2 5 4 2" xfId="5784"/>
    <cellStyle name="Normal 5 2 5 4 2 2" xfId="7566"/>
    <cellStyle name="Normal 5 2 5 4 2 2 2" xfId="10895"/>
    <cellStyle name="Normal 5 2 5 4 2 2 2 2" xfId="17599"/>
    <cellStyle name="Normal 5 2 5 4 2 2 2 2 2" xfId="41020"/>
    <cellStyle name="Normal 5 2 5 4 2 2 2 3" xfId="34388"/>
    <cellStyle name="Normal 5 2 5 4 2 2 3" xfId="14283"/>
    <cellStyle name="Normal 5 2 5 4 2 2 3 2" xfId="37704"/>
    <cellStyle name="Normal 5 2 5 4 2 2 4" xfId="22950"/>
    <cellStyle name="Normal 5 2 5 4 2 2 4 2" xfId="45372"/>
    <cellStyle name="Normal 5 2 5 4 2 2 5" xfId="31072"/>
    <cellStyle name="Normal 5 2 5 4 2 3" xfId="9237"/>
    <cellStyle name="Normal 5 2 5 4 2 3 2" xfId="15941"/>
    <cellStyle name="Normal 5 2 5 4 2 3 2 2" xfId="39362"/>
    <cellStyle name="Normal 5 2 5 4 2 3 3" xfId="32730"/>
    <cellStyle name="Normal 5 2 5 4 2 4" xfId="12625"/>
    <cellStyle name="Normal 5 2 5 4 2 4 2" xfId="36046"/>
    <cellStyle name="Normal 5 2 5 4 2 5" xfId="20122"/>
    <cellStyle name="Normal 5 2 5 4 2 5 2" xfId="42657"/>
    <cellStyle name="Normal 5 2 5 4 2 6" xfId="29414"/>
    <cellStyle name="Normal 5 2 5 4 3" xfId="6667"/>
    <cellStyle name="Normal 5 2 5 4 3 2" xfId="9999"/>
    <cellStyle name="Normal 5 2 5 4 3 2 2" xfId="16703"/>
    <cellStyle name="Normal 5 2 5 4 3 2 2 2" xfId="40124"/>
    <cellStyle name="Normal 5 2 5 4 3 2 3" xfId="33492"/>
    <cellStyle name="Normal 5 2 5 4 3 3" xfId="13387"/>
    <cellStyle name="Normal 5 2 5 4 3 3 2" xfId="36808"/>
    <cellStyle name="Normal 5 2 5 4 3 4" xfId="21396"/>
    <cellStyle name="Normal 5 2 5 4 3 4 2" xfId="43847"/>
    <cellStyle name="Normal 5 2 5 4 3 5" xfId="30176"/>
    <cellStyle name="Normal 5 2 5 4 4" xfId="8333"/>
    <cellStyle name="Normal 5 2 5 4 4 2" xfId="15045"/>
    <cellStyle name="Normal 5 2 5 4 4 2 2" xfId="38466"/>
    <cellStyle name="Normal 5 2 5 4 4 3" xfId="22133"/>
    <cellStyle name="Normal 5 2 5 4 4 3 2" xfId="44557"/>
    <cellStyle name="Normal 5 2 5 4 4 4" xfId="31834"/>
    <cellStyle name="Normal 5 2 5 4 5" xfId="11727"/>
    <cellStyle name="Normal 5 2 5 4 5 2" xfId="35150"/>
    <cellStyle name="Normal 5 2 5 4 6" xfId="19272"/>
    <cellStyle name="Normal 5 2 5 4 6 2" xfId="41825"/>
    <cellStyle name="Normal 5 2 5 4 7" xfId="28518"/>
    <cellStyle name="Normal 5 2 5 5" xfId="4097"/>
    <cellStyle name="Normal 5 2 5 5 2" xfId="7069"/>
    <cellStyle name="Normal 5 2 5 5 2 2" xfId="10401"/>
    <cellStyle name="Normal 5 2 5 5 2 2 2" xfId="17105"/>
    <cellStyle name="Normal 5 2 5 5 2 2 2 2" xfId="40526"/>
    <cellStyle name="Normal 5 2 5 5 2 2 3" xfId="33894"/>
    <cellStyle name="Normal 5 2 5 5 2 3" xfId="13789"/>
    <cellStyle name="Normal 5 2 5 5 2 3 2" xfId="37210"/>
    <cellStyle name="Normal 5 2 5 5 2 4" xfId="22545"/>
    <cellStyle name="Normal 5 2 5 5 2 4 2" xfId="44967"/>
    <cellStyle name="Normal 5 2 5 5 2 5" xfId="30578"/>
    <cellStyle name="Normal 5 2 5 5 3" xfId="8736"/>
    <cellStyle name="Normal 5 2 5 5 3 2" xfId="15447"/>
    <cellStyle name="Normal 5 2 5 5 3 2 2" xfId="38868"/>
    <cellStyle name="Normal 5 2 5 5 3 3" xfId="32236"/>
    <cellStyle name="Normal 5 2 5 5 4" xfId="12129"/>
    <cellStyle name="Normal 5 2 5 5 4 2" xfId="35552"/>
    <cellStyle name="Normal 5 2 5 5 5" xfId="19704"/>
    <cellStyle name="Normal 5 2 5 5 5 2" xfId="42241"/>
    <cellStyle name="Normal 5 2 5 5 6" xfId="28920"/>
    <cellStyle name="Normal 5 2 5 6" xfId="6194"/>
    <cellStyle name="Normal 5 2 5 6 2" xfId="9528"/>
    <cellStyle name="Normal 5 2 5 6 2 2" xfId="16232"/>
    <cellStyle name="Normal 5 2 5 6 2 2 2" xfId="39653"/>
    <cellStyle name="Normal 5 2 5 6 2 3" xfId="33021"/>
    <cellStyle name="Normal 5 2 5 6 3" xfId="12916"/>
    <cellStyle name="Normal 5 2 5 6 3 2" xfId="36337"/>
    <cellStyle name="Normal 5 2 5 6 4" xfId="20937"/>
    <cellStyle name="Normal 5 2 5 6 4 2" xfId="43388"/>
    <cellStyle name="Normal 5 2 5 6 5" xfId="29705"/>
    <cellStyle name="Normal 5 2 5 7" xfId="7860"/>
    <cellStyle name="Normal 5 2 5 7 2" xfId="14574"/>
    <cellStyle name="Normal 5 2 5 7 2 2" xfId="37995"/>
    <cellStyle name="Normal 5 2 5 7 3" xfId="21695"/>
    <cellStyle name="Normal 5 2 5 7 3 2" xfId="44144"/>
    <cellStyle name="Normal 5 2 5 7 4" xfId="31363"/>
    <cellStyle name="Normal 5 2 5 8" xfId="11256"/>
    <cellStyle name="Normal 5 2 5 8 2" xfId="34679"/>
    <cellStyle name="Normal 5 2 5 9" xfId="18085"/>
    <cellStyle name="Normal 5 2 5 9 2" xfId="41373"/>
    <cellStyle name="Normal 5 2 6" xfId="2341"/>
    <cellStyle name="Normal 5 2 6 2" xfId="5580"/>
    <cellStyle name="Normal 5 2 6 2 2" xfId="7403"/>
    <cellStyle name="Normal 5 2 6 2 2 2" xfId="10734"/>
    <cellStyle name="Normal 5 2 6 2 2 2 2" xfId="17438"/>
    <cellStyle name="Normal 5 2 6 2 2 2 2 2" xfId="40859"/>
    <cellStyle name="Normal 5 2 6 2 2 2 3" xfId="23154"/>
    <cellStyle name="Normal 5 2 6 2 2 2 3 2" xfId="45576"/>
    <cellStyle name="Normal 5 2 6 2 2 2 4" xfId="34227"/>
    <cellStyle name="Normal 5 2 6 2 2 3" xfId="14122"/>
    <cellStyle name="Normal 5 2 6 2 2 3 2" xfId="37543"/>
    <cellStyle name="Normal 5 2 6 2 2 4" xfId="20329"/>
    <cellStyle name="Normal 5 2 6 2 2 4 2" xfId="42864"/>
    <cellStyle name="Normal 5 2 6 2 2 5" xfId="30911"/>
    <cellStyle name="Normal 5 2 6 2 3" xfId="9076"/>
    <cellStyle name="Normal 5 2 6 2 3 2" xfId="15780"/>
    <cellStyle name="Normal 5 2 6 2 3 2 2" xfId="39201"/>
    <cellStyle name="Normal 5 2 6 2 3 3" xfId="21400"/>
    <cellStyle name="Normal 5 2 6 2 3 3 2" xfId="43851"/>
    <cellStyle name="Normal 5 2 6 2 3 4" xfId="32569"/>
    <cellStyle name="Normal 5 2 6 2 4" xfId="12464"/>
    <cellStyle name="Normal 5 2 6 2 4 2" xfId="22342"/>
    <cellStyle name="Normal 5 2 6 2 4 2 2" xfId="44764"/>
    <cellStyle name="Normal 5 2 6 2 4 3" xfId="35885"/>
    <cellStyle name="Normal 5 2 6 2 5" xfId="19490"/>
    <cellStyle name="Normal 5 2 6 2 5 2" xfId="42032"/>
    <cellStyle name="Normal 5 2 6 2 6" xfId="29253"/>
    <cellStyle name="Normal 5 2 6 3" xfId="6501"/>
    <cellStyle name="Normal 5 2 6 3 2" xfId="9835"/>
    <cellStyle name="Normal 5 2 6 3 2 2" xfId="16539"/>
    <cellStyle name="Normal 5 2 6 3 2 2 2" xfId="39960"/>
    <cellStyle name="Normal 5 2 6 3 2 3" xfId="22749"/>
    <cellStyle name="Normal 5 2 6 3 2 3 2" xfId="45171"/>
    <cellStyle name="Normal 5 2 6 3 2 4" xfId="33328"/>
    <cellStyle name="Normal 5 2 6 3 3" xfId="13223"/>
    <cellStyle name="Normal 5 2 6 3 3 2" xfId="36644"/>
    <cellStyle name="Normal 5 2 6 3 4" xfId="19913"/>
    <cellStyle name="Normal 5 2 6 3 4 2" xfId="42448"/>
    <cellStyle name="Normal 5 2 6 3 5" xfId="30012"/>
    <cellStyle name="Normal 5 2 6 4" xfId="8168"/>
    <cellStyle name="Normal 5 2 6 4 2" xfId="14881"/>
    <cellStyle name="Normal 5 2 6 4 2 2" xfId="38302"/>
    <cellStyle name="Normal 5 2 6 4 3" xfId="20941"/>
    <cellStyle name="Normal 5 2 6 4 3 2" xfId="43392"/>
    <cellStyle name="Normal 5 2 6 4 4" xfId="31670"/>
    <cellStyle name="Normal 5 2 6 5" xfId="11563"/>
    <cellStyle name="Normal 5 2 6 5 2" xfId="21918"/>
    <cellStyle name="Normal 5 2 6 5 2 2" xfId="44350"/>
    <cellStyle name="Normal 5 2 6 5 3" xfId="34986"/>
    <cellStyle name="Normal 5 2 6 6" xfId="18780"/>
    <cellStyle name="Normal 5 2 6 6 2" xfId="41607"/>
    <cellStyle name="Normal 5 2 6 7" xfId="28354"/>
    <cellStyle name="Normal 5 2 7" xfId="19271"/>
    <cellStyle name="Normal 5 2 7 2" xfId="20121"/>
    <cellStyle name="Normal 5 2 7 2 2" xfId="20605"/>
    <cellStyle name="Normal 5 2 7 2 2 2" xfId="43056"/>
    <cellStyle name="Normal 5 2 7 2 3" xfId="21523"/>
    <cellStyle name="Normal 5 2 7 2 3 2" xfId="43974"/>
    <cellStyle name="Normal 5 2 7 2 4" xfId="22949"/>
    <cellStyle name="Normal 5 2 7 2 4 2" xfId="45371"/>
    <cellStyle name="Normal 5 2 7 2 5" xfId="42656"/>
    <cellStyle name="Normal 5 2 7 3" xfId="20507"/>
    <cellStyle name="Normal 5 2 7 3 2" xfId="42960"/>
    <cellStyle name="Normal 5 2 7 4" xfId="21064"/>
    <cellStyle name="Normal 5 2 7 4 2" xfId="43515"/>
    <cellStyle name="Normal 5 2 7 5" xfId="22132"/>
    <cellStyle name="Normal 5 2 7 5 2" xfId="44556"/>
    <cellStyle name="Normal 5 2 7 6" xfId="41824"/>
    <cellStyle name="Normal 5 2 8" xfId="19703"/>
    <cellStyle name="Normal 5 2 8 2" xfId="20557"/>
    <cellStyle name="Normal 5 2 8 2 2" xfId="43008"/>
    <cellStyle name="Normal 5 2 8 3" xfId="21395"/>
    <cellStyle name="Normal 5 2 8 3 2" xfId="43846"/>
    <cellStyle name="Normal 5 2 8 4" xfId="22544"/>
    <cellStyle name="Normal 5 2 8 4 2" xfId="44966"/>
    <cellStyle name="Normal 5 2 8 5" xfId="42240"/>
    <cellStyle name="Normal 5 2 9" xfId="18084"/>
    <cellStyle name="Normal 5 2 9 2" xfId="41372"/>
    <cellStyle name="Normal 5 3" xfId="512"/>
    <cellStyle name="Normal 5 3 2" xfId="871"/>
    <cellStyle name="Normal 5 3 2 2" xfId="4100"/>
    <cellStyle name="Normal 5 3 2 3" xfId="4099"/>
    <cellStyle name="Normal 5 3 3" xfId="4101"/>
    <cellStyle name="Normal 5 3 3 2" xfId="23462"/>
    <cellStyle name="Normal 5 3 3 2 2" xfId="45798"/>
    <cellStyle name="Normal 5 3 4" xfId="5005"/>
    <cellStyle name="Normal 5 3 4 2" xfId="7162"/>
    <cellStyle name="Normal 5 3 4 2 2" xfId="10494"/>
    <cellStyle name="Normal 5 3 4 2 2 2" xfId="17198"/>
    <cellStyle name="Normal 5 3 4 2 2 2 2" xfId="40619"/>
    <cellStyle name="Normal 5 3 4 2 2 3" xfId="33987"/>
    <cellStyle name="Normal 5 3 4 2 3" xfId="13882"/>
    <cellStyle name="Normal 5 3 4 2 3 2" xfId="37303"/>
    <cellStyle name="Normal 5 3 4 2 4" xfId="26005"/>
    <cellStyle name="Normal 5 3 4 2 4 2" xfId="48250"/>
    <cellStyle name="Normal 5 3 4 2 5" xfId="30671"/>
    <cellStyle name="Normal 5 3 4 3" xfId="8832"/>
    <cellStyle name="Normal 5 3 4 3 2" xfId="15540"/>
    <cellStyle name="Normal 5 3 4 3 2 2" xfId="38961"/>
    <cellStyle name="Normal 5 3 4 3 3" xfId="32329"/>
    <cellStyle name="Normal 5 3 4 4" xfId="12222"/>
    <cellStyle name="Normal 5 3 4 4 2" xfId="35645"/>
    <cellStyle name="Normal 5 3 4 5" xfId="23794"/>
    <cellStyle name="Normal 5 3 4 5 2" xfId="46060"/>
    <cellStyle name="Normal 5 3 4 6" xfId="29013"/>
    <cellStyle name="Normal 5 3 5" xfId="23295"/>
    <cellStyle name="Normal 5 3 5 2" xfId="45666"/>
    <cellStyle name="Normal 5 4" xfId="872"/>
    <cellStyle name="Normal 5 4 2" xfId="4102"/>
    <cellStyle name="Normal 5 4 2 2" xfId="18785"/>
    <cellStyle name="Normal 5 4 3" xfId="4103"/>
    <cellStyle name="Normal 5 5" xfId="1153"/>
    <cellStyle name="Normal 5 5 2" xfId="4105"/>
    <cellStyle name="Normal 5 5 2 10" xfId="28922"/>
    <cellStyle name="Normal 5 5 2 2" xfId="4106"/>
    <cellStyle name="Normal 5 5 2 2 2" xfId="7072"/>
    <cellStyle name="Normal 5 5 2 2 2 2" xfId="10404"/>
    <cellStyle name="Normal 5 5 2 2 2 2 2" xfId="17108"/>
    <cellStyle name="Normal 5 5 2 2 2 2 2 2" xfId="27169"/>
    <cellStyle name="Normal 5 5 2 2 2 2 2 2 2" xfId="49414"/>
    <cellStyle name="Normal 5 5 2 2 2 2 2 3" xfId="24956"/>
    <cellStyle name="Normal 5 5 2 2 2 2 2 3 2" xfId="47201"/>
    <cellStyle name="Normal 5 5 2 2 2 2 2 4" xfId="40529"/>
    <cellStyle name="Normal 5 5 2 2 2 2 3" xfId="25536"/>
    <cellStyle name="Normal 5 5 2 2 2 2 3 2" xfId="27841"/>
    <cellStyle name="Normal 5 5 2 2 2 2 3 2 2" xfId="50086"/>
    <cellStyle name="Normal 5 5 2 2 2 2 3 3" xfId="47781"/>
    <cellStyle name="Normal 5 5 2 2 2 2 4" xfId="26495"/>
    <cellStyle name="Normal 5 5 2 2 2 2 4 2" xfId="48740"/>
    <cellStyle name="Normal 5 5 2 2 2 2 5" xfId="24291"/>
    <cellStyle name="Normal 5 5 2 2 2 2 5 2" xfId="46537"/>
    <cellStyle name="Normal 5 5 2 2 2 2 6" xfId="33897"/>
    <cellStyle name="Normal 5 5 2 2 2 3" xfId="13792"/>
    <cellStyle name="Normal 5 5 2 2 2 3 2" xfId="26837"/>
    <cellStyle name="Normal 5 5 2 2 2 3 2 2" xfId="49082"/>
    <cellStyle name="Normal 5 5 2 2 2 3 3" xfId="24624"/>
    <cellStyle name="Normal 5 5 2 2 2 3 3 2" xfId="46869"/>
    <cellStyle name="Normal 5 5 2 2 2 3 4" xfId="37213"/>
    <cellStyle name="Normal 5 5 2 2 2 4" xfId="25200"/>
    <cellStyle name="Normal 5 5 2 2 2 4 2" xfId="27505"/>
    <cellStyle name="Normal 5 5 2 2 2 4 2 2" xfId="49750"/>
    <cellStyle name="Normal 5 5 2 2 2 4 3" xfId="47445"/>
    <cellStyle name="Normal 5 5 2 2 2 5" xfId="26166"/>
    <cellStyle name="Normal 5 5 2 2 2 5 2" xfId="48411"/>
    <cellStyle name="Normal 5 5 2 2 2 6" xfId="23975"/>
    <cellStyle name="Normal 5 5 2 2 2 6 2" xfId="46221"/>
    <cellStyle name="Normal 5 5 2 2 2 7" xfId="30581"/>
    <cellStyle name="Normal 5 5 2 2 3" xfId="8739"/>
    <cellStyle name="Normal 5 5 2 2 3 2" xfId="15450"/>
    <cellStyle name="Normal 5 5 2 2 3 2 2" xfId="27003"/>
    <cellStyle name="Normal 5 5 2 2 3 2 2 2" xfId="49248"/>
    <cellStyle name="Normal 5 5 2 2 3 2 3" xfId="24790"/>
    <cellStyle name="Normal 5 5 2 2 3 2 3 2" xfId="47035"/>
    <cellStyle name="Normal 5 5 2 2 3 2 4" xfId="38871"/>
    <cellStyle name="Normal 5 5 2 2 3 3" xfId="25368"/>
    <cellStyle name="Normal 5 5 2 2 3 3 2" xfId="27673"/>
    <cellStyle name="Normal 5 5 2 2 3 3 2 2" xfId="49918"/>
    <cellStyle name="Normal 5 5 2 2 3 3 3" xfId="47613"/>
    <cellStyle name="Normal 5 5 2 2 3 4" xfId="26330"/>
    <cellStyle name="Normal 5 5 2 2 3 4 2" xfId="48575"/>
    <cellStyle name="Normal 5 5 2 2 3 5" xfId="24126"/>
    <cellStyle name="Normal 5 5 2 2 3 5 2" xfId="46372"/>
    <cellStyle name="Normal 5 5 2 2 3 6" xfId="32239"/>
    <cellStyle name="Normal 5 5 2 2 4" xfId="12132"/>
    <cellStyle name="Normal 5 5 2 2 4 2" xfId="26671"/>
    <cellStyle name="Normal 5 5 2 2 4 2 2" xfId="48916"/>
    <cellStyle name="Normal 5 5 2 2 4 3" xfId="24458"/>
    <cellStyle name="Normal 5 5 2 2 4 3 2" xfId="46703"/>
    <cellStyle name="Normal 5 5 2 2 4 4" xfId="35555"/>
    <cellStyle name="Normal 5 5 2 2 5" xfId="23688"/>
    <cellStyle name="Normal 5 5 2 2 5 2" xfId="27337"/>
    <cellStyle name="Normal 5 5 2 2 5 2 2" xfId="49582"/>
    <cellStyle name="Normal 5 5 2 2 5 3" xfId="45977"/>
    <cellStyle name="Normal 5 5 2 2 6" xfId="25919"/>
    <cellStyle name="Normal 5 5 2 2 6 2" xfId="48164"/>
    <cellStyle name="Normal 5 5 2 2 7" xfId="28923"/>
    <cellStyle name="Normal 5 5 2 3" xfId="4107"/>
    <cellStyle name="Normal 5 5 2 3 2" xfId="7073"/>
    <cellStyle name="Normal 5 5 2 3 2 2" xfId="10405"/>
    <cellStyle name="Normal 5 5 2 3 2 2 2" xfId="17109"/>
    <cellStyle name="Normal 5 5 2 3 2 2 2 2" xfId="27129"/>
    <cellStyle name="Normal 5 5 2 3 2 2 2 2 2" xfId="49374"/>
    <cellStyle name="Normal 5 5 2 3 2 2 2 3" xfId="24916"/>
    <cellStyle name="Normal 5 5 2 3 2 2 2 3 2" xfId="47161"/>
    <cellStyle name="Normal 5 5 2 3 2 2 2 4" xfId="40530"/>
    <cellStyle name="Normal 5 5 2 3 2 2 3" xfId="25494"/>
    <cellStyle name="Normal 5 5 2 3 2 2 3 2" xfId="27799"/>
    <cellStyle name="Normal 5 5 2 3 2 2 3 2 2" xfId="50044"/>
    <cellStyle name="Normal 5 5 2 3 2 2 3 3" xfId="47739"/>
    <cellStyle name="Normal 5 5 2 3 2 2 4" xfId="26455"/>
    <cellStyle name="Normal 5 5 2 3 2 2 4 2" xfId="48700"/>
    <cellStyle name="Normal 5 5 2 3 2 2 5" xfId="24251"/>
    <cellStyle name="Normal 5 5 2 3 2 2 5 2" xfId="46497"/>
    <cellStyle name="Normal 5 5 2 3 2 2 6" xfId="33898"/>
    <cellStyle name="Normal 5 5 2 3 2 3" xfId="13793"/>
    <cellStyle name="Normal 5 5 2 3 2 3 2" xfId="26797"/>
    <cellStyle name="Normal 5 5 2 3 2 3 2 2" xfId="49042"/>
    <cellStyle name="Normal 5 5 2 3 2 3 3" xfId="24584"/>
    <cellStyle name="Normal 5 5 2 3 2 3 3 2" xfId="46829"/>
    <cellStyle name="Normal 5 5 2 3 2 3 4" xfId="37214"/>
    <cellStyle name="Normal 5 5 2 3 2 4" xfId="25158"/>
    <cellStyle name="Normal 5 5 2 3 2 4 2" xfId="27463"/>
    <cellStyle name="Normal 5 5 2 3 2 4 2 2" xfId="49708"/>
    <cellStyle name="Normal 5 5 2 3 2 4 3" xfId="47403"/>
    <cellStyle name="Normal 5 5 2 3 2 5" xfId="26126"/>
    <cellStyle name="Normal 5 5 2 3 2 5 2" xfId="48371"/>
    <cellStyle name="Normal 5 5 2 3 2 6" xfId="23935"/>
    <cellStyle name="Normal 5 5 2 3 2 6 2" xfId="46181"/>
    <cellStyle name="Normal 5 5 2 3 2 7" xfId="30582"/>
    <cellStyle name="Normal 5 5 2 3 3" xfId="8740"/>
    <cellStyle name="Normal 5 5 2 3 3 2" xfId="15451"/>
    <cellStyle name="Normal 5 5 2 3 3 2 2" xfId="26963"/>
    <cellStyle name="Normal 5 5 2 3 3 2 2 2" xfId="49208"/>
    <cellStyle name="Normal 5 5 2 3 3 2 3" xfId="24750"/>
    <cellStyle name="Normal 5 5 2 3 3 2 3 2" xfId="46995"/>
    <cellStyle name="Normal 5 5 2 3 3 2 4" xfId="38872"/>
    <cellStyle name="Normal 5 5 2 3 3 3" xfId="25326"/>
    <cellStyle name="Normal 5 5 2 3 3 3 2" xfId="27631"/>
    <cellStyle name="Normal 5 5 2 3 3 3 2 2" xfId="49876"/>
    <cellStyle name="Normal 5 5 2 3 3 3 3" xfId="47571"/>
    <cellStyle name="Normal 5 5 2 3 3 4" xfId="26290"/>
    <cellStyle name="Normal 5 5 2 3 3 4 2" xfId="48535"/>
    <cellStyle name="Normal 5 5 2 3 3 5" xfId="24086"/>
    <cellStyle name="Normal 5 5 2 3 3 5 2" xfId="46332"/>
    <cellStyle name="Normal 5 5 2 3 3 6" xfId="32240"/>
    <cellStyle name="Normal 5 5 2 3 4" xfId="12133"/>
    <cellStyle name="Normal 5 5 2 3 4 2" xfId="26631"/>
    <cellStyle name="Normal 5 5 2 3 4 2 2" xfId="48876"/>
    <cellStyle name="Normal 5 5 2 3 4 3" xfId="24418"/>
    <cellStyle name="Normal 5 5 2 3 4 3 2" xfId="46663"/>
    <cellStyle name="Normal 5 5 2 3 4 4" xfId="35556"/>
    <cellStyle name="Normal 5 5 2 3 5" xfId="23689"/>
    <cellStyle name="Normal 5 5 2 3 5 2" xfId="27295"/>
    <cellStyle name="Normal 5 5 2 3 5 2 2" xfId="49540"/>
    <cellStyle name="Normal 5 5 2 3 5 3" xfId="45978"/>
    <cellStyle name="Normal 5 5 2 3 6" xfId="25920"/>
    <cellStyle name="Normal 5 5 2 3 6 2" xfId="48165"/>
    <cellStyle name="Normal 5 5 2 3 7" xfId="28924"/>
    <cellStyle name="Normal 5 5 2 4" xfId="7071"/>
    <cellStyle name="Normal 5 5 2 4 2" xfId="10403"/>
    <cellStyle name="Normal 5 5 2 4 2 2" xfId="17107"/>
    <cellStyle name="Normal 5 5 2 4 2 2 2" xfId="24998"/>
    <cellStyle name="Normal 5 5 2 4 2 2 2 2" xfId="27211"/>
    <cellStyle name="Normal 5 5 2 4 2 2 2 2 2" xfId="49456"/>
    <cellStyle name="Normal 5 5 2 4 2 2 2 3" xfId="47243"/>
    <cellStyle name="Normal 5 5 2 4 2 2 3" xfId="25578"/>
    <cellStyle name="Normal 5 5 2 4 2 2 3 2" xfId="27883"/>
    <cellStyle name="Normal 5 5 2 4 2 2 3 2 2" xfId="50128"/>
    <cellStyle name="Normal 5 5 2 4 2 2 3 3" xfId="47823"/>
    <cellStyle name="Normal 5 5 2 4 2 2 4" xfId="26537"/>
    <cellStyle name="Normal 5 5 2 4 2 2 4 2" xfId="48782"/>
    <cellStyle name="Normal 5 5 2 4 2 2 5" xfId="24333"/>
    <cellStyle name="Normal 5 5 2 4 2 2 5 2" xfId="46579"/>
    <cellStyle name="Normal 5 5 2 4 2 2 6" xfId="40528"/>
    <cellStyle name="Normal 5 5 2 4 2 3" xfId="24666"/>
    <cellStyle name="Normal 5 5 2 4 2 3 2" xfId="26879"/>
    <cellStyle name="Normal 5 5 2 4 2 3 2 2" xfId="49124"/>
    <cellStyle name="Normal 5 5 2 4 2 3 3" xfId="46911"/>
    <cellStyle name="Normal 5 5 2 4 2 4" xfId="25242"/>
    <cellStyle name="Normal 5 5 2 4 2 4 2" xfId="27547"/>
    <cellStyle name="Normal 5 5 2 4 2 4 2 2" xfId="49792"/>
    <cellStyle name="Normal 5 5 2 4 2 4 3" xfId="47487"/>
    <cellStyle name="Normal 5 5 2 4 2 5" xfId="26207"/>
    <cellStyle name="Normal 5 5 2 4 2 5 2" xfId="48452"/>
    <cellStyle name="Normal 5 5 2 4 2 6" xfId="24016"/>
    <cellStyle name="Normal 5 5 2 4 2 6 2" xfId="46262"/>
    <cellStyle name="Normal 5 5 2 4 2 7" xfId="33896"/>
    <cellStyle name="Normal 5 5 2 4 3" xfId="13791"/>
    <cellStyle name="Normal 5 5 2 4 3 2" xfId="24832"/>
    <cellStyle name="Normal 5 5 2 4 3 2 2" xfId="27045"/>
    <cellStyle name="Normal 5 5 2 4 3 2 2 2" xfId="49290"/>
    <cellStyle name="Normal 5 5 2 4 3 2 3" xfId="47077"/>
    <cellStyle name="Normal 5 5 2 4 3 3" xfId="25410"/>
    <cellStyle name="Normal 5 5 2 4 3 3 2" xfId="27715"/>
    <cellStyle name="Normal 5 5 2 4 3 3 2 2" xfId="49960"/>
    <cellStyle name="Normal 5 5 2 4 3 3 3" xfId="47655"/>
    <cellStyle name="Normal 5 5 2 4 3 4" xfId="26372"/>
    <cellStyle name="Normal 5 5 2 4 3 4 2" xfId="48617"/>
    <cellStyle name="Normal 5 5 2 4 3 5" xfId="24168"/>
    <cellStyle name="Normal 5 5 2 4 3 5 2" xfId="46414"/>
    <cellStyle name="Normal 5 5 2 4 3 6" xfId="37212"/>
    <cellStyle name="Normal 5 5 2 4 4" xfId="24500"/>
    <cellStyle name="Normal 5 5 2 4 4 2" xfId="26713"/>
    <cellStyle name="Normal 5 5 2 4 4 2 2" xfId="48958"/>
    <cellStyle name="Normal 5 5 2 4 4 3" xfId="46745"/>
    <cellStyle name="Normal 5 5 2 4 5" xfId="25074"/>
    <cellStyle name="Normal 5 5 2 4 5 2" xfId="27379"/>
    <cellStyle name="Normal 5 5 2 4 5 2 2" xfId="49624"/>
    <cellStyle name="Normal 5 5 2 4 5 3" xfId="47319"/>
    <cellStyle name="Normal 5 5 2 4 6" xfId="26054"/>
    <cellStyle name="Normal 5 5 2 4 6 2" xfId="48299"/>
    <cellStyle name="Normal 5 5 2 4 7" xfId="23863"/>
    <cellStyle name="Normal 5 5 2 4 7 2" xfId="46109"/>
    <cellStyle name="Normal 5 5 2 4 8" xfId="30580"/>
    <cellStyle name="Normal 5 5 2 5" xfId="8738"/>
    <cellStyle name="Normal 5 5 2 5 2" xfId="15449"/>
    <cellStyle name="Normal 5 5 2 5 2 2" xfId="24874"/>
    <cellStyle name="Normal 5 5 2 5 2 2 2" xfId="27087"/>
    <cellStyle name="Normal 5 5 2 5 2 2 2 2" xfId="49332"/>
    <cellStyle name="Normal 5 5 2 5 2 2 3" xfId="47119"/>
    <cellStyle name="Normal 5 5 2 5 2 3" xfId="25452"/>
    <cellStyle name="Normal 5 5 2 5 2 3 2" xfId="27757"/>
    <cellStyle name="Normal 5 5 2 5 2 3 2 2" xfId="50002"/>
    <cellStyle name="Normal 5 5 2 5 2 3 3" xfId="47697"/>
    <cellStyle name="Normal 5 5 2 5 2 4" xfId="26414"/>
    <cellStyle name="Normal 5 5 2 5 2 4 2" xfId="48659"/>
    <cellStyle name="Normal 5 5 2 5 2 5" xfId="24210"/>
    <cellStyle name="Normal 5 5 2 5 2 5 2" xfId="46456"/>
    <cellStyle name="Normal 5 5 2 5 2 6" xfId="38870"/>
    <cellStyle name="Normal 5 5 2 5 3" xfId="24542"/>
    <cellStyle name="Normal 5 5 2 5 3 2" xfId="26755"/>
    <cellStyle name="Normal 5 5 2 5 3 2 2" xfId="49000"/>
    <cellStyle name="Normal 5 5 2 5 3 3" xfId="46787"/>
    <cellStyle name="Normal 5 5 2 5 4" xfId="25116"/>
    <cellStyle name="Normal 5 5 2 5 4 2" xfId="27421"/>
    <cellStyle name="Normal 5 5 2 5 4 2 2" xfId="49666"/>
    <cellStyle name="Normal 5 5 2 5 4 3" xfId="47361"/>
    <cellStyle name="Normal 5 5 2 5 5" xfId="26086"/>
    <cellStyle name="Normal 5 5 2 5 5 2" xfId="48331"/>
    <cellStyle name="Normal 5 5 2 5 6" xfId="23895"/>
    <cellStyle name="Normal 5 5 2 5 6 2" xfId="46141"/>
    <cellStyle name="Normal 5 5 2 5 7" xfId="32238"/>
    <cellStyle name="Normal 5 5 2 6" xfId="12131"/>
    <cellStyle name="Normal 5 5 2 6 2" xfId="24708"/>
    <cellStyle name="Normal 5 5 2 6 2 2" xfId="26921"/>
    <cellStyle name="Normal 5 5 2 6 2 2 2" xfId="49166"/>
    <cellStyle name="Normal 5 5 2 6 2 3" xfId="46953"/>
    <cellStyle name="Normal 5 5 2 6 3" xfId="25284"/>
    <cellStyle name="Normal 5 5 2 6 3 2" xfId="27589"/>
    <cellStyle name="Normal 5 5 2 6 3 2 2" xfId="49834"/>
    <cellStyle name="Normal 5 5 2 6 3 3" xfId="47529"/>
    <cellStyle name="Normal 5 5 2 6 4" xfId="26249"/>
    <cellStyle name="Normal 5 5 2 6 4 2" xfId="48494"/>
    <cellStyle name="Normal 5 5 2 6 5" xfId="24045"/>
    <cellStyle name="Normal 5 5 2 6 5 2" xfId="46291"/>
    <cellStyle name="Normal 5 5 2 6 6" xfId="35554"/>
    <cellStyle name="Normal 5 5 2 7" xfId="18786"/>
    <cellStyle name="Normal 5 5 2 7 2" xfId="26589"/>
    <cellStyle name="Normal 5 5 2 7 2 2" xfId="48834"/>
    <cellStyle name="Normal 5 5 2 7 3" xfId="24376"/>
    <cellStyle name="Normal 5 5 2 7 3 2" xfId="46621"/>
    <cellStyle name="Normal 5 5 2 8" xfId="23687"/>
    <cellStyle name="Normal 5 5 2 8 2" xfId="27253"/>
    <cellStyle name="Normal 5 5 2 8 2 2" xfId="49498"/>
    <cellStyle name="Normal 5 5 2 8 3" xfId="45976"/>
    <cellStyle name="Normal 5 5 2 9" xfId="25918"/>
    <cellStyle name="Normal 5 5 2 9 2" xfId="48163"/>
    <cellStyle name="Normal 5 5 3" xfId="4108"/>
    <cellStyle name="Normal 5 5 3 2" xfId="7074"/>
    <cellStyle name="Normal 5 5 3 2 2" xfId="10406"/>
    <cellStyle name="Normal 5 5 3 2 2 2" xfId="17110"/>
    <cellStyle name="Normal 5 5 3 2 2 2 2" xfId="27149"/>
    <cellStyle name="Normal 5 5 3 2 2 2 2 2" xfId="49394"/>
    <cellStyle name="Normal 5 5 3 2 2 2 3" xfId="24936"/>
    <cellStyle name="Normal 5 5 3 2 2 2 3 2" xfId="47181"/>
    <cellStyle name="Normal 5 5 3 2 2 2 4" xfId="40531"/>
    <cellStyle name="Normal 5 5 3 2 2 3" xfId="25515"/>
    <cellStyle name="Normal 5 5 3 2 2 3 2" xfId="27820"/>
    <cellStyle name="Normal 5 5 3 2 2 3 2 2" xfId="50065"/>
    <cellStyle name="Normal 5 5 3 2 2 3 3" xfId="47760"/>
    <cellStyle name="Normal 5 5 3 2 2 4" xfId="26475"/>
    <cellStyle name="Normal 5 5 3 2 2 4 2" xfId="48720"/>
    <cellStyle name="Normal 5 5 3 2 2 5" xfId="24271"/>
    <cellStyle name="Normal 5 5 3 2 2 5 2" xfId="46517"/>
    <cellStyle name="Normal 5 5 3 2 2 6" xfId="33899"/>
    <cellStyle name="Normal 5 5 3 2 3" xfId="13794"/>
    <cellStyle name="Normal 5 5 3 2 3 2" xfId="26817"/>
    <cellStyle name="Normal 5 5 3 2 3 2 2" xfId="49062"/>
    <cellStyle name="Normal 5 5 3 2 3 3" xfId="24604"/>
    <cellStyle name="Normal 5 5 3 2 3 3 2" xfId="46849"/>
    <cellStyle name="Normal 5 5 3 2 3 4" xfId="37215"/>
    <cellStyle name="Normal 5 5 3 2 4" xfId="25179"/>
    <cellStyle name="Normal 5 5 3 2 4 2" xfId="27484"/>
    <cellStyle name="Normal 5 5 3 2 4 2 2" xfId="49729"/>
    <cellStyle name="Normal 5 5 3 2 4 3" xfId="47424"/>
    <cellStyle name="Normal 5 5 3 2 5" xfId="26146"/>
    <cellStyle name="Normal 5 5 3 2 5 2" xfId="48391"/>
    <cellStyle name="Normal 5 5 3 2 6" xfId="23955"/>
    <cellStyle name="Normal 5 5 3 2 6 2" xfId="46201"/>
    <cellStyle name="Normal 5 5 3 2 7" xfId="30583"/>
    <cellStyle name="Normal 5 5 3 3" xfId="8741"/>
    <cellStyle name="Normal 5 5 3 3 2" xfId="15452"/>
    <cellStyle name="Normal 5 5 3 3 2 2" xfId="26983"/>
    <cellStyle name="Normal 5 5 3 3 2 2 2" xfId="49228"/>
    <cellStyle name="Normal 5 5 3 3 2 3" xfId="24770"/>
    <cellStyle name="Normal 5 5 3 3 2 3 2" xfId="47015"/>
    <cellStyle name="Normal 5 5 3 3 2 4" xfId="38873"/>
    <cellStyle name="Normal 5 5 3 3 3" xfId="25347"/>
    <cellStyle name="Normal 5 5 3 3 3 2" xfId="27652"/>
    <cellStyle name="Normal 5 5 3 3 3 2 2" xfId="49897"/>
    <cellStyle name="Normal 5 5 3 3 3 3" xfId="47592"/>
    <cellStyle name="Normal 5 5 3 3 4" xfId="26310"/>
    <cellStyle name="Normal 5 5 3 3 4 2" xfId="48555"/>
    <cellStyle name="Normal 5 5 3 3 5" xfId="24106"/>
    <cellStyle name="Normal 5 5 3 3 5 2" xfId="46352"/>
    <cellStyle name="Normal 5 5 3 3 6" xfId="32241"/>
    <cellStyle name="Normal 5 5 3 4" xfId="12134"/>
    <cellStyle name="Normal 5 5 3 4 2" xfId="26651"/>
    <cellStyle name="Normal 5 5 3 4 2 2" xfId="48896"/>
    <cellStyle name="Normal 5 5 3 4 3" xfId="24438"/>
    <cellStyle name="Normal 5 5 3 4 3 2" xfId="46683"/>
    <cellStyle name="Normal 5 5 3 4 4" xfId="35557"/>
    <cellStyle name="Normal 5 5 3 5" xfId="23690"/>
    <cellStyle name="Normal 5 5 3 5 2" xfId="27316"/>
    <cellStyle name="Normal 5 5 3 5 2 2" xfId="49561"/>
    <cellStyle name="Normal 5 5 3 5 3" xfId="45979"/>
    <cellStyle name="Normal 5 5 3 6" xfId="25921"/>
    <cellStyle name="Normal 5 5 3 6 2" xfId="48166"/>
    <cellStyle name="Normal 5 5 3 7" xfId="28925"/>
    <cellStyle name="Normal 5 5 4" xfId="4109"/>
    <cellStyle name="Normal 5 5 4 2" xfId="7075"/>
    <cellStyle name="Normal 5 5 4 2 2" xfId="10407"/>
    <cellStyle name="Normal 5 5 4 2 2 2" xfId="17111"/>
    <cellStyle name="Normal 5 5 4 2 2 2 2" xfId="27108"/>
    <cellStyle name="Normal 5 5 4 2 2 2 2 2" xfId="49353"/>
    <cellStyle name="Normal 5 5 4 2 2 2 3" xfId="24895"/>
    <cellStyle name="Normal 5 5 4 2 2 2 3 2" xfId="47140"/>
    <cellStyle name="Normal 5 5 4 2 2 2 4" xfId="40532"/>
    <cellStyle name="Normal 5 5 4 2 2 3" xfId="25473"/>
    <cellStyle name="Normal 5 5 4 2 2 3 2" xfId="27778"/>
    <cellStyle name="Normal 5 5 4 2 2 3 2 2" xfId="50023"/>
    <cellStyle name="Normal 5 5 4 2 2 3 3" xfId="47718"/>
    <cellStyle name="Normal 5 5 4 2 2 4" xfId="26435"/>
    <cellStyle name="Normal 5 5 4 2 2 4 2" xfId="48680"/>
    <cellStyle name="Normal 5 5 4 2 2 5" xfId="24231"/>
    <cellStyle name="Normal 5 5 4 2 2 5 2" xfId="46477"/>
    <cellStyle name="Normal 5 5 4 2 2 6" xfId="33900"/>
    <cellStyle name="Normal 5 5 4 2 3" xfId="13795"/>
    <cellStyle name="Normal 5 5 4 2 3 2" xfId="26776"/>
    <cellStyle name="Normal 5 5 4 2 3 2 2" xfId="49021"/>
    <cellStyle name="Normal 5 5 4 2 3 3" xfId="24563"/>
    <cellStyle name="Normal 5 5 4 2 3 3 2" xfId="46808"/>
    <cellStyle name="Normal 5 5 4 2 3 4" xfId="37216"/>
    <cellStyle name="Normal 5 5 4 2 4" xfId="25137"/>
    <cellStyle name="Normal 5 5 4 2 4 2" xfId="27442"/>
    <cellStyle name="Normal 5 5 4 2 4 2 2" xfId="49687"/>
    <cellStyle name="Normal 5 5 4 2 4 3" xfId="47382"/>
    <cellStyle name="Normal 5 5 4 2 5" xfId="26106"/>
    <cellStyle name="Normal 5 5 4 2 5 2" xfId="48351"/>
    <cellStyle name="Normal 5 5 4 2 6" xfId="23915"/>
    <cellStyle name="Normal 5 5 4 2 6 2" xfId="46161"/>
    <cellStyle name="Normal 5 5 4 2 7" xfId="30584"/>
    <cellStyle name="Normal 5 5 4 3" xfId="8742"/>
    <cellStyle name="Normal 5 5 4 3 2" xfId="15453"/>
    <cellStyle name="Normal 5 5 4 3 2 2" xfId="26942"/>
    <cellStyle name="Normal 5 5 4 3 2 2 2" xfId="49187"/>
    <cellStyle name="Normal 5 5 4 3 2 3" xfId="24729"/>
    <cellStyle name="Normal 5 5 4 3 2 3 2" xfId="46974"/>
    <cellStyle name="Normal 5 5 4 3 2 4" xfId="38874"/>
    <cellStyle name="Normal 5 5 4 3 3" xfId="25305"/>
    <cellStyle name="Normal 5 5 4 3 3 2" xfId="27610"/>
    <cellStyle name="Normal 5 5 4 3 3 2 2" xfId="49855"/>
    <cellStyle name="Normal 5 5 4 3 3 3" xfId="47550"/>
    <cellStyle name="Normal 5 5 4 3 4" xfId="26270"/>
    <cellStyle name="Normal 5 5 4 3 4 2" xfId="48515"/>
    <cellStyle name="Normal 5 5 4 3 5" xfId="24066"/>
    <cellStyle name="Normal 5 5 4 3 5 2" xfId="46312"/>
    <cellStyle name="Normal 5 5 4 3 6" xfId="32242"/>
    <cellStyle name="Normal 5 5 4 4" xfId="12135"/>
    <cellStyle name="Normal 5 5 4 4 2" xfId="26610"/>
    <cellStyle name="Normal 5 5 4 4 2 2" xfId="48855"/>
    <cellStyle name="Normal 5 5 4 4 3" xfId="24397"/>
    <cellStyle name="Normal 5 5 4 4 3 2" xfId="46642"/>
    <cellStyle name="Normal 5 5 4 4 4" xfId="35558"/>
    <cellStyle name="Normal 5 5 4 5" xfId="23691"/>
    <cellStyle name="Normal 5 5 4 5 2" xfId="27274"/>
    <cellStyle name="Normal 5 5 4 5 2 2" xfId="49519"/>
    <cellStyle name="Normal 5 5 4 5 3" xfId="45980"/>
    <cellStyle name="Normal 5 5 4 6" xfId="25922"/>
    <cellStyle name="Normal 5 5 4 6 2" xfId="48167"/>
    <cellStyle name="Normal 5 5 4 7" xfId="28926"/>
    <cellStyle name="Normal 5 5 5" xfId="4110"/>
    <cellStyle name="Normal 5 5 5 2" xfId="7076"/>
    <cellStyle name="Normal 5 5 5 2 2" xfId="10408"/>
    <cellStyle name="Normal 5 5 5 2 2 2" xfId="17112"/>
    <cellStyle name="Normal 5 5 5 2 2 2 2" xfId="27190"/>
    <cellStyle name="Normal 5 5 5 2 2 2 2 2" xfId="49435"/>
    <cellStyle name="Normal 5 5 5 2 2 2 3" xfId="24977"/>
    <cellStyle name="Normal 5 5 5 2 2 2 3 2" xfId="47222"/>
    <cellStyle name="Normal 5 5 5 2 2 2 4" xfId="40533"/>
    <cellStyle name="Normal 5 5 5 2 2 3" xfId="25557"/>
    <cellStyle name="Normal 5 5 5 2 2 3 2" xfId="27862"/>
    <cellStyle name="Normal 5 5 5 2 2 3 2 2" xfId="50107"/>
    <cellStyle name="Normal 5 5 5 2 2 3 3" xfId="47802"/>
    <cellStyle name="Normal 5 5 5 2 2 4" xfId="26516"/>
    <cellStyle name="Normal 5 5 5 2 2 4 2" xfId="48761"/>
    <cellStyle name="Normal 5 5 5 2 2 5" xfId="24312"/>
    <cellStyle name="Normal 5 5 5 2 2 5 2" xfId="46558"/>
    <cellStyle name="Normal 5 5 5 2 2 6" xfId="33901"/>
    <cellStyle name="Normal 5 5 5 2 3" xfId="13796"/>
    <cellStyle name="Normal 5 5 5 2 3 2" xfId="26858"/>
    <cellStyle name="Normal 5 5 5 2 3 2 2" xfId="49103"/>
    <cellStyle name="Normal 5 5 5 2 3 3" xfId="24645"/>
    <cellStyle name="Normal 5 5 5 2 3 3 2" xfId="46890"/>
    <cellStyle name="Normal 5 5 5 2 3 4" xfId="37217"/>
    <cellStyle name="Normal 5 5 5 2 4" xfId="25221"/>
    <cellStyle name="Normal 5 5 5 2 4 2" xfId="27526"/>
    <cellStyle name="Normal 5 5 5 2 4 2 2" xfId="49771"/>
    <cellStyle name="Normal 5 5 5 2 4 3" xfId="47466"/>
    <cellStyle name="Normal 5 5 5 2 5" xfId="26187"/>
    <cellStyle name="Normal 5 5 5 2 5 2" xfId="48432"/>
    <cellStyle name="Normal 5 5 5 2 6" xfId="23996"/>
    <cellStyle name="Normal 5 5 5 2 6 2" xfId="46242"/>
    <cellStyle name="Normal 5 5 5 2 7" xfId="30585"/>
    <cellStyle name="Normal 5 5 5 3" xfId="8743"/>
    <cellStyle name="Normal 5 5 5 3 2" xfId="15454"/>
    <cellStyle name="Normal 5 5 5 3 2 2" xfId="27024"/>
    <cellStyle name="Normal 5 5 5 3 2 2 2" xfId="49269"/>
    <cellStyle name="Normal 5 5 5 3 2 3" xfId="24811"/>
    <cellStyle name="Normal 5 5 5 3 2 3 2" xfId="47056"/>
    <cellStyle name="Normal 5 5 5 3 2 4" xfId="38875"/>
    <cellStyle name="Normal 5 5 5 3 3" xfId="25389"/>
    <cellStyle name="Normal 5 5 5 3 3 2" xfId="27694"/>
    <cellStyle name="Normal 5 5 5 3 3 2 2" xfId="49939"/>
    <cellStyle name="Normal 5 5 5 3 3 3" xfId="47634"/>
    <cellStyle name="Normal 5 5 5 3 4" xfId="26351"/>
    <cellStyle name="Normal 5 5 5 3 4 2" xfId="48596"/>
    <cellStyle name="Normal 5 5 5 3 5" xfId="24147"/>
    <cellStyle name="Normal 5 5 5 3 5 2" xfId="46393"/>
    <cellStyle name="Normal 5 5 5 3 6" xfId="32243"/>
    <cellStyle name="Normal 5 5 5 4" xfId="12136"/>
    <cellStyle name="Normal 5 5 5 4 2" xfId="26692"/>
    <cellStyle name="Normal 5 5 5 4 2 2" xfId="48937"/>
    <cellStyle name="Normal 5 5 5 4 3" xfId="24479"/>
    <cellStyle name="Normal 5 5 5 4 3 2" xfId="46724"/>
    <cellStyle name="Normal 5 5 5 4 4" xfId="35559"/>
    <cellStyle name="Normal 5 5 5 5" xfId="23692"/>
    <cellStyle name="Normal 5 5 5 5 2" xfId="27358"/>
    <cellStyle name="Normal 5 5 5 5 2 2" xfId="49603"/>
    <cellStyle name="Normal 5 5 5 5 3" xfId="45981"/>
    <cellStyle name="Normal 5 5 5 6" xfId="25923"/>
    <cellStyle name="Normal 5 5 5 6 2" xfId="48168"/>
    <cellStyle name="Normal 5 5 5 7" xfId="28927"/>
    <cellStyle name="Normal 5 5 6" xfId="4111"/>
    <cellStyle name="Normal 5 5 6 2" xfId="24189"/>
    <cellStyle name="Normal 5 5 6 2 2" xfId="24853"/>
    <cellStyle name="Normal 5 5 6 2 2 2" xfId="27066"/>
    <cellStyle name="Normal 5 5 6 2 2 2 2" xfId="49311"/>
    <cellStyle name="Normal 5 5 6 2 2 3" xfId="47098"/>
    <cellStyle name="Normal 5 5 6 2 3" xfId="25431"/>
    <cellStyle name="Normal 5 5 6 2 3 2" xfId="27736"/>
    <cellStyle name="Normal 5 5 6 2 3 2 2" xfId="49981"/>
    <cellStyle name="Normal 5 5 6 2 3 3" xfId="47676"/>
    <cellStyle name="Normal 5 5 6 2 4" xfId="26393"/>
    <cellStyle name="Normal 5 5 6 2 4 2" xfId="48638"/>
    <cellStyle name="Normal 5 5 6 2 5" xfId="46435"/>
    <cellStyle name="Normal 5 5 6 3" xfId="24521"/>
    <cellStyle name="Normal 5 5 6 3 2" xfId="26734"/>
    <cellStyle name="Normal 5 5 6 3 2 2" xfId="48979"/>
    <cellStyle name="Normal 5 5 6 3 3" xfId="46766"/>
    <cellStyle name="Normal 5 5 6 4" xfId="25095"/>
    <cellStyle name="Normal 5 5 6 4 2" xfId="27400"/>
    <cellStyle name="Normal 5 5 6 4 2 2" xfId="49645"/>
    <cellStyle name="Normal 5 5 6 4 3" xfId="47340"/>
    <cellStyle name="Normal 5 5 6 5" xfId="23877"/>
    <cellStyle name="Normal 5 5 6 5 2" xfId="26068"/>
    <cellStyle name="Normal 5 5 6 5 2 2" xfId="48313"/>
    <cellStyle name="Normal 5 5 6 5 3" xfId="46123"/>
    <cellStyle name="Normal 5 5 7" xfId="5120"/>
    <cellStyle name="Normal 5 5 7 2" xfId="24687"/>
    <cellStyle name="Normal 5 5 7 2 2" xfId="26900"/>
    <cellStyle name="Normal 5 5 7 2 2 2" xfId="49145"/>
    <cellStyle name="Normal 5 5 7 2 3" xfId="46932"/>
    <cellStyle name="Normal 5 5 7 3" xfId="25263"/>
    <cellStyle name="Normal 5 5 7 3 2" xfId="27568"/>
    <cellStyle name="Normal 5 5 7 3 2 2" xfId="49813"/>
    <cellStyle name="Normal 5 5 7 3 3" xfId="47508"/>
    <cellStyle name="Normal 5 5 7 4" xfId="24026"/>
    <cellStyle name="Normal 5 5 7 4 2" xfId="26228"/>
    <cellStyle name="Normal 5 5 7 4 2 2" xfId="48473"/>
    <cellStyle name="Normal 5 5 7 4 3" xfId="46272"/>
    <cellStyle name="Normal 5 5 8" xfId="4104"/>
    <cellStyle name="Normal 5 5 8 2" xfId="26568"/>
    <cellStyle name="Normal 5 5 8 2 2" xfId="48813"/>
    <cellStyle name="Normal 5 5 8 3" xfId="24365"/>
    <cellStyle name="Normal 5 5 8 3 2" xfId="46610"/>
    <cellStyle name="Normal 5 5 9" xfId="25019"/>
    <cellStyle name="Normal 5 5 9 2" xfId="27232"/>
    <cellStyle name="Normal 5 5 9 2 2" xfId="49477"/>
    <cellStyle name="Normal 5 5 9 3" xfId="47264"/>
    <cellStyle name="Normal 5 6" xfId="1090"/>
    <cellStyle name="Normal 5 6 10" xfId="7746"/>
    <cellStyle name="Normal 5 6 10 2" xfId="14461"/>
    <cellStyle name="Normal 5 6 10 2 2" xfId="37882"/>
    <cellStyle name="Normal 5 6 10 3" xfId="20942"/>
    <cellStyle name="Normal 5 6 10 3 2" xfId="43393"/>
    <cellStyle name="Normal 5 6 10 4" xfId="31250"/>
    <cellStyle name="Normal 5 6 11" xfId="11143"/>
    <cellStyle name="Normal 5 6 11 2" xfId="21697"/>
    <cellStyle name="Normal 5 6 11 2 2" xfId="44146"/>
    <cellStyle name="Normal 5 6 11 3" xfId="34566"/>
    <cellStyle name="Normal 5 6 12" xfId="18087"/>
    <cellStyle name="Normal 5 6 12 2" xfId="41375"/>
    <cellStyle name="Normal 5 6 13" xfId="27934"/>
    <cellStyle name="Normal 5 6 2" xfId="1422"/>
    <cellStyle name="Normal 5 6 2 10" xfId="11171"/>
    <cellStyle name="Normal 5 6 2 10 2" xfId="21698"/>
    <cellStyle name="Normal 5 6 2 10 2 2" xfId="44147"/>
    <cellStyle name="Normal 5 6 2 10 3" xfId="34594"/>
    <cellStyle name="Normal 5 6 2 11" xfId="18088"/>
    <cellStyle name="Normal 5 6 2 11 2" xfId="41376"/>
    <cellStyle name="Normal 5 6 2 12" xfId="23693"/>
    <cellStyle name="Normal 5 6 2 12 2" xfId="45982"/>
    <cellStyle name="Normal 5 6 2 13" xfId="27962"/>
    <cellStyle name="Normal 5 6 2 2" xfId="1462"/>
    <cellStyle name="Normal 5 6 2 2 10" xfId="18089"/>
    <cellStyle name="Normal 5 6 2 2 10 2" xfId="41377"/>
    <cellStyle name="Normal 5 6 2 2 11" xfId="23694"/>
    <cellStyle name="Normal 5 6 2 2 11 2" xfId="45983"/>
    <cellStyle name="Normal 5 6 2 2 12" xfId="27998"/>
    <cellStyle name="Normal 5 6 2 2 2" xfId="1632"/>
    <cellStyle name="Normal 5 6 2 2 2 10" xfId="23695"/>
    <cellStyle name="Normal 5 6 2 2 2 10 2" xfId="45984"/>
    <cellStyle name="Normal 5 6 2 2 2 11" xfId="28050"/>
    <cellStyle name="Normal 5 6 2 2 2 2" xfId="1829"/>
    <cellStyle name="Normal 5 6 2 2 2 2 10" xfId="28181"/>
    <cellStyle name="Normal 5 6 2 2 2 2 2" xfId="2348"/>
    <cellStyle name="Normal 5 6 2 2 2 2 2 2" xfId="5586"/>
    <cellStyle name="Normal 5 6 2 2 2 2 2 2 2" xfId="7409"/>
    <cellStyle name="Normal 5 6 2 2 2 2 2 2 2 2" xfId="10740"/>
    <cellStyle name="Normal 5 6 2 2 2 2 2 2 2 2 2" xfId="17444"/>
    <cellStyle name="Normal 5 6 2 2 2 2 2 2 2 2 2 2" xfId="40865"/>
    <cellStyle name="Normal 5 6 2 2 2 2 2 2 2 2 3" xfId="23161"/>
    <cellStyle name="Normal 5 6 2 2 2 2 2 2 2 2 3 2" xfId="45583"/>
    <cellStyle name="Normal 5 6 2 2 2 2 2 2 2 2 4" xfId="34233"/>
    <cellStyle name="Normal 5 6 2 2 2 2 2 2 2 3" xfId="14128"/>
    <cellStyle name="Normal 5 6 2 2 2 2 2 2 2 3 2" xfId="37549"/>
    <cellStyle name="Normal 5 6 2 2 2 2 2 2 2 4" xfId="20336"/>
    <cellStyle name="Normal 5 6 2 2 2 2 2 2 2 4 2" xfId="42871"/>
    <cellStyle name="Normal 5 6 2 2 2 2 2 2 2 5" xfId="30917"/>
    <cellStyle name="Normal 5 6 2 2 2 2 2 2 3" xfId="9082"/>
    <cellStyle name="Normal 5 6 2 2 2 2 2 2 3 2" xfId="15786"/>
    <cellStyle name="Normal 5 6 2 2 2 2 2 2 3 2 2" xfId="39207"/>
    <cellStyle name="Normal 5 6 2 2 2 2 2 2 3 3" xfId="21406"/>
    <cellStyle name="Normal 5 6 2 2 2 2 2 2 3 3 2" xfId="43857"/>
    <cellStyle name="Normal 5 6 2 2 2 2 2 2 3 4" xfId="32575"/>
    <cellStyle name="Normal 5 6 2 2 2 2 2 2 4" xfId="12470"/>
    <cellStyle name="Normal 5 6 2 2 2 2 2 2 4 2" xfId="22349"/>
    <cellStyle name="Normal 5 6 2 2 2 2 2 2 4 2 2" xfId="44771"/>
    <cellStyle name="Normal 5 6 2 2 2 2 2 2 4 3" xfId="35891"/>
    <cellStyle name="Normal 5 6 2 2 2 2 2 2 5" xfId="19497"/>
    <cellStyle name="Normal 5 6 2 2 2 2 2 2 5 2" xfId="42039"/>
    <cellStyle name="Normal 5 6 2 2 2 2 2 2 6" xfId="29259"/>
    <cellStyle name="Normal 5 6 2 2 2 2 2 3" xfId="6508"/>
    <cellStyle name="Normal 5 6 2 2 2 2 2 3 2" xfId="9842"/>
    <cellStyle name="Normal 5 6 2 2 2 2 2 3 2 2" xfId="16546"/>
    <cellStyle name="Normal 5 6 2 2 2 2 2 3 2 2 2" xfId="39967"/>
    <cellStyle name="Normal 5 6 2 2 2 2 2 3 2 3" xfId="22756"/>
    <cellStyle name="Normal 5 6 2 2 2 2 2 3 2 3 2" xfId="45178"/>
    <cellStyle name="Normal 5 6 2 2 2 2 2 3 2 4" xfId="33335"/>
    <cellStyle name="Normal 5 6 2 2 2 2 2 3 3" xfId="13230"/>
    <cellStyle name="Normal 5 6 2 2 2 2 2 3 3 2" xfId="36651"/>
    <cellStyle name="Normal 5 6 2 2 2 2 2 3 4" xfId="19920"/>
    <cellStyle name="Normal 5 6 2 2 2 2 2 3 4 2" xfId="42455"/>
    <cellStyle name="Normal 5 6 2 2 2 2 2 3 5" xfId="30019"/>
    <cellStyle name="Normal 5 6 2 2 2 2 2 4" xfId="8175"/>
    <cellStyle name="Normal 5 6 2 2 2 2 2 4 2" xfId="14888"/>
    <cellStyle name="Normal 5 6 2 2 2 2 2 4 2 2" xfId="38309"/>
    <cellStyle name="Normal 5 6 2 2 2 2 2 4 3" xfId="20947"/>
    <cellStyle name="Normal 5 6 2 2 2 2 2 4 3 2" xfId="43398"/>
    <cellStyle name="Normal 5 6 2 2 2 2 2 4 4" xfId="31677"/>
    <cellStyle name="Normal 5 6 2 2 2 2 2 5" xfId="11570"/>
    <cellStyle name="Normal 5 6 2 2 2 2 2 5 2" xfId="21925"/>
    <cellStyle name="Normal 5 6 2 2 2 2 2 5 2 2" xfId="44357"/>
    <cellStyle name="Normal 5 6 2 2 2 2 2 5 3" xfId="34993"/>
    <cellStyle name="Normal 5 6 2 2 2 2 2 6" xfId="18791"/>
    <cellStyle name="Normal 5 6 2 2 2 2 2 6 2" xfId="41614"/>
    <cellStyle name="Normal 5 6 2 2 2 2 2 7" xfId="25927"/>
    <cellStyle name="Normal 5 6 2 2 2 2 2 7 2" xfId="48172"/>
    <cellStyle name="Normal 5 6 2 2 2 2 2 8" xfId="28361"/>
    <cellStyle name="Normal 5 6 2 2 2 2 3" xfId="2826"/>
    <cellStyle name="Normal 5 6 2 2 2 2 3 2" xfId="5918"/>
    <cellStyle name="Normal 5 6 2 2 2 2 3 2 2" xfId="7700"/>
    <cellStyle name="Normal 5 6 2 2 2 2 3 2 2 2" xfId="11029"/>
    <cellStyle name="Normal 5 6 2 2 2 2 3 2 2 2 2" xfId="17733"/>
    <cellStyle name="Normal 5 6 2 2 2 2 3 2 2 2 2 2" xfId="41154"/>
    <cellStyle name="Normal 5 6 2 2 2 2 3 2 2 2 3" xfId="34522"/>
    <cellStyle name="Normal 5 6 2 2 2 2 3 2 2 3" xfId="14417"/>
    <cellStyle name="Normal 5 6 2 2 2 2 3 2 2 3 2" xfId="37838"/>
    <cellStyle name="Normal 5 6 2 2 2 2 3 2 2 4" xfId="22956"/>
    <cellStyle name="Normal 5 6 2 2 2 2 3 2 2 4 2" xfId="45378"/>
    <cellStyle name="Normal 5 6 2 2 2 2 3 2 2 5" xfId="31206"/>
    <cellStyle name="Normal 5 6 2 2 2 2 3 2 3" xfId="9371"/>
    <cellStyle name="Normal 5 6 2 2 2 2 3 2 3 2" xfId="16075"/>
    <cellStyle name="Normal 5 6 2 2 2 2 3 2 3 2 2" xfId="39496"/>
    <cellStyle name="Normal 5 6 2 2 2 2 3 2 3 3" xfId="32864"/>
    <cellStyle name="Normal 5 6 2 2 2 2 3 2 4" xfId="12759"/>
    <cellStyle name="Normal 5 6 2 2 2 2 3 2 4 2" xfId="36180"/>
    <cellStyle name="Normal 5 6 2 2 2 2 3 2 5" xfId="20128"/>
    <cellStyle name="Normal 5 6 2 2 2 2 3 2 5 2" xfId="42663"/>
    <cellStyle name="Normal 5 6 2 2 2 2 3 2 6" xfId="29548"/>
    <cellStyle name="Normal 5 6 2 2 2 2 3 3" xfId="6801"/>
    <cellStyle name="Normal 5 6 2 2 2 2 3 3 2" xfId="10133"/>
    <cellStyle name="Normal 5 6 2 2 2 2 3 3 2 2" xfId="16837"/>
    <cellStyle name="Normal 5 6 2 2 2 2 3 3 2 2 2" xfId="40258"/>
    <cellStyle name="Normal 5 6 2 2 2 2 3 3 2 3" xfId="33626"/>
    <cellStyle name="Normal 5 6 2 2 2 2 3 3 3" xfId="13521"/>
    <cellStyle name="Normal 5 6 2 2 2 2 3 3 3 2" xfId="36942"/>
    <cellStyle name="Normal 5 6 2 2 2 2 3 3 4" xfId="21405"/>
    <cellStyle name="Normal 5 6 2 2 2 2 3 3 4 2" xfId="43856"/>
    <cellStyle name="Normal 5 6 2 2 2 2 3 3 5" xfId="30310"/>
    <cellStyle name="Normal 5 6 2 2 2 2 3 4" xfId="8467"/>
    <cellStyle name="Normal 5 6 2 2 2 2 3 4 2" xfId="15179"/>
    <cellStyle name="Normal 5 6 2 2 2 2 3 4 2 2" xfId="38600"/>
    <cellStyle name="Normal 5 6 2 2 2 2 3 4 3" xfId="22139"/>
    <cellStyle name="Normal 5 6 2 2 2 2 3 4 3 2" xfId="44563"/>
    <cellStyle name="Normal 5 6 2 2 2 2 3 4 4" xfId="31968"/>
    <cellStyle name="Normal 5 6 2 2 2 2 3 5" xfId="11861"/>
    <cellStyle name="Normal 5 6 2 2 2 2 3 5 2" xfId="35284"/>
    <cellStyle name="Normal 5 6 2 2 2 2 3 6" xfId="19278"/>
    <cellStyle name="Normal 5 6 2 2 2 2 3 6 2" xfId="41831"/>
    <cellStyle name="Normal 5 6 2 2 2 2 3 7" xfId="28652"/>
    <cellStyle name="Normal 5 6 2 2 2 2 4" xfId="4116"/>
    <cellStyle name="Normal 5 6 2 2 2 2 4 2" xfId="7080"/>
    <cellStyle name="Normal 5 6 2 2 2 2 4 2 2" xfId="10412"/>
    <cellStyle name="Normal 5 6 2 2 2 2 4 2 2 2" xfId="17116"/>
    <cellStyle name="Normal 5 6 2 2 2 2 4 2 2 2 2" xfId="40537"/>
    <cellStyle name="Normal 5 6 2 2 2 2 4 2 2 3" xfId="33905"/>
    <cellStyle name="Normal 5 6 2 2 2 2 4 2 3" xfId="13800"/>
    <cellStyle name="Normal 5 6 2 2 2 2 4 2 3 2" xfId="37221"/>
    <cellStyle name="Normal 5 6 2 2 2 2 4 2 4" xfId="22551"/>
    <cellStyle name="Normal 5 6 2 2 2 2 4 2 4 2" xfId="44973"/>
    <cellStyle name="Normal 5 6 2 2 2 2 4 2 5" xfId="30589"/>
    <cellStyle name="Normal 5 6 2 2 2 2 4 3" xfId="8747"/>
    <cellStyle name="Normal 5 6 2 2 2 2 4 3 2" xfId="15458"/>
    <cellStyle name="Normal 5 6 2 2 2 2 4 3 2 2" xfId="38879"/>
    <cellStyle name="Normal 5 6 2 2 2 2 4 3 3" xfId="32247"/>
    <cellStyle name="Normal 5 6 2 2 2 2 4 4" xfId="12140"/>
    <cellStyle name="Normal 5 6 2 2 2 2 4 4 2" xfId="35563"/>
    <cellStyle name="Normal 5 6 2 2 2 2 4 5" xfId="19710"/>
    <cellStyle name="Normal 5 6 2 2 2 2 4 5 2" xfId="42247"/>
    <cellStyle name="Normal 5 6 2 2 2 2 4 6" xfId="28931"/>
    <cellStyle name="Normal 5 6 2 2 2 2 5" xfId="6328"/>
    <cellStyle name="Normal 5 6 2 2 2 2 5 2" xfId="9662"/>
    <cellStyle name="Normal 5 6 2 2 2 2 5 2 2" xfId="16366"/>
    <cellStyle name="Normal 5 6 2 2 2 2 5 2 2 2" xfId="39787"/>
    <cellStyle name="Normal 5 6 2 2 2 2 5 2 3" xfId="33155"/>
    <cellStyle name="Normal 5 6 2 2 2 2 5 3" xfId="13050"/>
    <cellStyle name="Normal 5 6 2 2 2 2 5 3 2" xfId="36471"/>
    <cellStyle name="Normal 5 6 2 2 2 2 5 4" xfId="20946"/>
    <cellStyle name="Normal 5 6 2 2 2 2 5 4 2" xfId="43397"/>
    <cellStyle name="Normal 5 6 2 2 2 2 5 5" xfId="29839"/>
    <cellStyle name="Normal 5 6 2 2 2 2 6" xfId="7994"/>
    <cellStyle name="Normal 5 6 2 2 2 2 6 2" xfId="14708"/>
    <cellStyle name="Normal 5 6 2 2 2 2 6 2 2" xfId="38129"/>
    <cellStyle name="Normal 5 6 2 2 2 2 6 3" xfId="21701"/>
    <cellStyle name="Normal 5 6 2 2 2 2 6 3 2" xfId="44150"/>
    <cellStyle name="Normal 5 6 2 2 2 2 6 4" xfId="31497"/>
    <cellStyle name="Normal 5 6 2 2 2 2 7" xfId="11390"/>
    <cellStyle name="Normal 5 6 2 2 2 2 7 2" xfId="34813"/>
    <cellStyle name="Normal 5 6 2 2 2 2 8" xfId="18091"/>
    <cellStyle name="Normal 5 6 2 2 2 2 8 2" xfId="41379"/>
    <cellStyle name="Normal 5 6 2 2 2 2 9" xfId="23696"/>
    <cellStyle name="Normal 5 6 2 2 2 2 9 2" xfId="45985"/>
    <cellStyle name="Normal 5 6 2 2 2 3" xfId="2347"/>
    <cellStyle name="Normal 5 6 2 2 2 3 2" xfId="5585"/>
    <cellStyle name="Normal 5 6 2 2 2 3 2 2" xfId="7408"/>
    <cellStyle name="Normal 5 6 2 2 2 3 2 2 2" xfId="10739"/>
    <cellStyle name="Normal 5 6 2 2 2 3 2 2 2 2" xfId="17443"/>
    <cellStyle name="Normal 5 6 2 2 2 3 2 2 2 2 2" xfId="40864"/>
    <cellStyle name="Normal 5 6 2 2 2 3 2 2 2 3" xfId="23160"/>
    <cellStyle name="Normal 5 6 2 2 2 3 2 2 2 3 2" xfId="45582"/>
    <cellStyle name="Normal 5 6 2 2 2 3 2 2 2 4" xfId="34232"/>
    <cellStyle name="Normal 5 6 2 2 2 3 2 2 3" xfId="14127"/>
    <cellStyle name="Normal 5 6 2 2 2 3 2 2 3 2" xfId="37548"/>
    <cellStyle name="Normal 5 6 2 2 2 3 2 2 4" xfId="20335"/>
    <cellStyle name="Normal 5 6 2 2 2 3 2 2 4 2" xfId="42870"/>
    <cellStyle name="Normal 5 6 2 2 2 3 2 2 5" xfId="30916"/>
    <cellStyle name="Normal 5 6 2 2 2 3 2 3" xfId="9081"/>
    <cellStyle name="Normal 5 6 2 2 2 3 2 3 2" xfId="15785"/>
    <cellStyle name="Normal 5 6 2 2 2 3 2 3 2 2" xfId="39206"/>
    <cellStyle name="Normal 5 6 2 2 2 3 2 3 3" xfId="21407"/>
    <cellStyle name="Normal 5 6 2 2 2 3 2 3 3 2" xfId="43858"/>
    <cellStyle name="Normal 5 6 2 2 2 3 2 3 4" xfId="32574"/>
    <cellStyle name="Normal 5 6 2 2 2 3 2 4" xfId="12469"/>
    <cellStyle name="Normal 5 6 2 2 2 3 2 4 2" xfId="22348"/>
    <cellStyle name="Normal 5 6 2 2 2 3 2 4 2 2" xfId="44770"/>
    <cellStyle name="Normal 5 6 2 2 2 3 2 4 3" xfId="35890"/>
    <cellStyle name="Normal 5 6 2 2 2 3 2 5" xfId="19496"/>
    <cellStyle name="Normal 5 6 2 2 2 3 2 5 2" xfId="42038"/>
    <cellStyle name="Normal 5 6 2 2 2 3 2 6" xfId="29258"/>
    <cellStyle name="Normal 5 6 2 2 2 3 3" xfId="6507"/>
    <cellStyle name="Normal 5 6 2 2 2 3 3 2" xfId="9841"/>
    <cellStyle name="Normal 5 6 2 2 2 3 3 2 2" xfId="16545"/>
    <cellStyle name="Normal 5 6 2 2 2 3 3 2 2 2" xfId="39966"/>
    <cellStyle name="Normal 5 6 2 2 2 3 3 2 3" xfId="22755"/>
    <cellStyle name="Normal 5 6 2 2 2 3 3 2 3 2" xfId="45177"/>
    <cellStyle name="Normal 5 6 2 2 2 3 3 2 4" xfId="33334"/>
    <cellStyle name="Normal 5 6 2 2 2 3 3 3" xfId="13229"/>
    <cellStyle name="Normal 5 6 2 2 2 3 3 3 2" xfId="36650"/>
    <cellStyle name="Normal 5 6 2 2 2 3 3 4" xfId="19919"/>
    <cellStyle name="Normal 5 6 2 2 2 3 3 4 2" xfId="42454"/>
    <cellStyle name="Normal 5 6 2 2 2 3 3 5" xfId="30018"/>
    <cellStyle name="Normal 5 6 2 2 2 3 4" xfId="8174"/>
    <cellStyle name="Normal 5 6 2 2 2 3 4 2" xfId="14887"/>
    <cellStyle name="Normal 5 6 2 2 2 3 4 2 2" xfId="38308"/>
    <cellStyle name="Normal 5 6 2 2 2 3 4 3" xfId="20948"/>
    <cellStyle name="Normal 5 6 2 2 2 3 4 3 2" xfId="43399"/>
    <cellStyle name="Normal 5 6 2 2 2 3 4 4" xfId="31676"/>
    <cellStyle name="Normal 5 6 2 2 2 3 5" xfId="11569"/>
    <cellStyle name="Normal 5 6 2 2 2 3 5 2" xfId="21924"/>
    <cellStyle name="Normal 5 6 2 2 2 3 5 2 2" xfId="44356"/>
    <cellStyle name="Normal 5 6 2 2 2 3 5 3" xfId="34992"/>
    <cellStyle name="Normal 5 6 2 2 2 3 6" xfId="18790"/>
    <cellStyle name="Normal 5 6 2 2 2 3 6 2" xfId="41613"/>
    <cellStyle name="Normal 5 6 2 2 2 3 7" xfId="25926"/>
    <cellStyle name="Normal 5 6 2 2 2 3 7 2" xfId="48171"/>
    <cellStyle name="Normal 5 6 2 2 2 3 8" xfId="28360"/>
    <cellStyle name="Normal 5 6 2 2 2 4" xfId="2694"/>
    <cellStyle name="Normal 5 6 2 2 2 4 2" xfId="5787"/>
    <cellStyle name="Normal 5 6 2 2 2 4 2 2" xfId="7569"/>
    <cellStyle name="Normal 5 6 2 2 2 4 2 2 2" xfId="10898"/>
    <cellStyle name="Normal 5 6 2 2 2 4 2 2 2 2" xfId="17602"/>
    <cellStyle name="Normal 5 6 2 2 2 4 2 2 2 2 2" xfId="41023"/>
    <cellStyle name="Normal 5 6 2 2 2 4 2 2 2 3" xfId="34391"/>
    <cellStyle name="Normal 5 6 2 2 2 4 2 2 3" xfId="14286"/>
    <cellStyle name="Normal 5 6 2 2 2 4 2 2 3 2" xfId="37707"/>
    <cellStyle name="Normal 5 6 2 2 2 4 2 2 4" xfId="22955"/>
    <cellStyle name="Normal 5 6 2 2 2 4 2 2 4 2" xfId="45377"/>
    <cellStyle name="Normal 5 6 2 2 2 4 2 2 5" xfId="31075"/>
    <cellStyle name="Normal 5 6 2 2 2 4 2 3" xfId="9240"/>
    <cellStyle name="Normal 5 6 2 2 2 4 2 3 2" xfId="15944"/>
    <cellStyle name="Normal 5 6 2 2 2 4 2 3 2 2" xfId="39365"/>
    <cellStyle name="Normal 5 6 2 2 2 4 2 3 3" xfId="32733"/>
    <cellStyle name="Normal 5 6 2 2 2 4 2 4" xfId="12628"/>
    <cellStyle name="Normal 5 6 2 2 2 4 2 4 2" xfId="36049"/>
    <cellStyle name="Normal 5 6 2 2 2 4 2 5" xfId="20127"/>
    <cellStyle name="Normal 5 6 2 2 2 4 2 5 2" xfId="42662"/>
    <cellStyle name="Normal 5 6 2 2 2 4 2 6" xfId="29417"/>
    <cellStyle name="Normal 5 6 2 2 2 4 3" xfId="6670"/>
    <cellStyle name="Normal 5 6 2 2 2 4 3 2" xfId="10002"/>
    <cellStyle name="Normal 5 6 2 2 2 4 3 2 2" xfId="16706"/>
    <cellStyle name="Normal 5 6 2 2 2 4 3 2 2 2" xfId="40127"/>
    <cellStyle name="Normal 5 6 2 2 2 4 3 2 3" xfId="33495"/>
    <cellStyle name="Normal 5 6 2 2 2 4 3 3" xfId="13390"/>
    <cellStyle name="Normal 5 6 2 2 2 4 3 3 2" xfId="36811"/>
    <cellStyle name="Normal 5 6 2 2 2 4 3 4" xfId="21404"/>
    <cellStyle name="Normal 5 6 2 2 2 4 3 4 2" xfId="43855"/>
    <cellStyle name="Normal 5 6 2 2 2 4 3 5" xfId="30179"/>
    <cellStyle name="Normal 5 6 2 2 2 4 4" xfId="8336"/>
    <cellStyle name="Normal 5 6 2 2 2 4 4 2" xfId="15048"/>
    <cellStyle name="Normal 5 6 2 2 2 4 4 2 2" xfId="38469"/>
    <cellStyle name="Normal 5 6 2 2 2 4 4 3" xfId="22138"/>
    <cellStyle name="Normal 5 6 2 2 2 4 4 3 2" xfId="44562"/>
    <cellStyle name="Normal 5 6 2 2 2 4 4 4" xfId="31837"/>
    <cellStyle name="Normal 5 6 2 2 2 4 5" xfId="11730"/>
    <cellStyle name="Normal 5 6 2 2 2 4 5 2" xfId="35153"/>
    <cellStyle name="Normal 5 6 2 2 2 4 6" xfId="19277"/>
    <cellStyle name="Normal 5 6 2 2 2 4 6 2" xfId="41830"/>
    <cellStyle name="Normal 5 6 2 2 2 4 7" xfId="28521"/>
    <cellStyle name="Normal 5 6 2 2 2 5" xfId="4115"/>
    <cellStyle name="Normal 5 6 2 2 2 5 2" xfId="7079"/>
    <cellStyle name="Normal 5 6 2 2 2 5 2 2" xfId="10411"/>
    <cellStyle name="Normal 5 6 2 2 2 5 2 2 2" xfId="17115"/>
    <cellStyle name="Normal 5 6 2 2 2 5 2 2 2 2" xfId="40536"/>
    <cellStyle name="Normal 5 6 2 2 2 5 2 2 3" xfId="33904"/>
    <cellStyle name="Normal 5 6 2 2 2 5 2 3" xfId="13799"/>
    <cellStyle name="Normal 5 6 2 2 2 5 2 3 2" xfId="37220"/>
    <cellStyle name="Normal 5 6 2 2 2 5 2 4" xfId="22550"/>
    <cellStyle name="Normal 5 6 2 2 2 5 2 4 2" xfId="44972"/>
    <cellStyle name="Normal 5 6 2 2 2 5 2 5" xfId="30588"/>
    <cellStyle name="Normal 5 6 2 2 2 5 3" xfId="8746"/>
    <cellStyle name="Normal 5 6 2 2 2 5 3 2" xfId="15457"/>
    <cellStyle name="Normal 5 6 2 2 2 5 3 2 2" xfId="38878"/>
    <cellStyle name="Normal 5 6 2 2 2 5 3 3" xfId="32246"/>
    <cellStyle name="Normal 5 6 2 2 2 5 4" xfId="12139"/>
    <cellStyle name="Normal 5 6 2 2 2 5 4 2" xfId="35562"/>
    <cellStyle name="Normal 5 6 2 2 2 5 5" xfId="19709"/>
    <cellStyle name="Normal 5 6 2 2 2 5 5 2" xfId="42246"/>
    <cellStyle name="Normal 5 6 2 2 2 5 6" xfId="28930"/>
    <cellStyle name="Normal 5 6 2 2 2 6" xfId="6197"/>
    <cellStyle name="Normal 5 6 2 2 2 6 2" xfId="9531"/>
    <cellStyle name="Normal 5 6 2 2 2 6 2 2" xfId="16235"/>
    <cellStyle name="Normal 5 6 2 2 2 6 2 2 2" xfId="39656"/>
    <cellStyle name="Normal 5 6 2 2 2 6 2 3" xfId="33024"/>
    <cellStyle name="Normal 5 6 2 2 2 6 3" xfId="12919"/>
    <cellStyle name="Normal 5 6 2 2 2 6 3 2" xfId="36340"/>
    <cellStyle name="Normal 5 6 2 2 2 6 4" xfId="20945"/>
    <cellStyle name="Normal 5 6 2 2 2 6 4 2" xfId="43396"/>
    <cellStyle name="Normal 5 6 2 2 2 6 5" xfId="29708"/>
    <cellStyle name="Normal 5 6 2 2 2 7" xfId="7863"/>
    <cellStyle name="Normal 5 6 2 2 2 7 2" xfId="14577"/>
    <cellStyle name="Normal 5 6 2 2 2 7 2 2" xfId="37998"/>
    <cellStyle name="Normal 5 6 2 2 2 7 3" xfId="21700"/>
    <cellStyle name="Normal 5 6 2 2 2 7 3 2" xfId="44149"/>
    <cellStyle name="Normal 5 6 2 2 2 7 4" xfId="31366"/>
    <cellStyle name="Normal 5 6 2 2 2 8" xfId="11259"/>
    <cellStyle name="Normal 5 6 2 2 2 8 2" xfId="34682"/>
    <cellStyle name="Normal 5 6 2 2 2 9" xfId="18090"/>
    <cellStyle name="Normal 5 6 2 2 2 9 2" xfId="41378"/>
    <cellStyle name="Normal 5 6 2 2 3" xfId="1777"/>
    <cellStyle name="Normal 5 6 2 2 3 10" xfId="28129"/>
    <cellStyle name="Normal 5 6 2 2 3 2" xfId="2349"/>
    <cellStyle name="Normal 5 6 2 2 3 2 2" xfId="5587"/>
    <cellStyle name="Normal 5 6 2 2 3 2 2 2" xfId="7410"/>
    <cellStyle name="Normal 5 6 2 2 3 2 2 2 2" xfId="10741"/>
    <cellStyle name="Normal 5 6 2 2 3 2 2 2 2 2" xfId="17445"/>
    <cellStyle name="Normal 5 6 2 2 3 2 2 2 2 2 2" xfId="40866"/>
    <cellStyle name="Normal 5 6 2 2 3 2 2 2 2 3" xfId="23162"/>
    <cellStyle name="Normal 5 6 2 2 3 2 2 2 2 3 2" xfId="45584"/>
    <cellStyle name="Normal 5 6 2 2 3 2 2 2 2 4" xfId="34234"/>
    <cellStyle name="Normal 5 6 2 2 3 2 2 2 3" xfId="14129"/>
    <cellStyle name="Normal 5 6 2 2 3 2 2 2 3 2" xfId="37550"/>
    <cellStyle name="Normal 5 6 2 2 3 2 2 2 4" xfId="20337"/>
    <cellStyle name="Normal 5 6 2 2 3 2 2 2 4 2" xfId="42872"/>
    <cellStyle name="Normal 5 6 2 2 3 2 2 2 5" xfId="30918"/>
    <cellStyle name="Normal 5 6 2 2 3 2 2 3" xfId="9083"/>
    <cellStyle name="Normal 5 6 2 2 3 2 2 3 2" xfId="15787"/>
    <cellStyle name="Normal 5 6 2 2 3 2 2 3 2 2" xfId="39208"/>
    <cellStyle name="Normal 5 6 2 2 3 2 2 3 3" xfId="21409"/>
    <cellStyle name="Normal 5 6 2 2 3 2 2 3 3 2" xfId="43860"/>
    <cellStyle name="Normal 5 6 2 2 3 2 2 3 4" xfId="32576"/>
    <cellStyle name="Normal 5 6 2 2 3 2 2 4" xfId="12471"/>
    <cellStyle name="Normal 5 6 2 2 3 2 2 4 2" xfId="22350"/>
    <cellStyle name="Normal 5 6 2 2 3 2 2 4 2 2" xfId="44772"/>
    <cellStyle name="Normal 5 6 2 2 3 2 2 4 3" xfId="35892"/>
    <cellStyle name="Normal 5 6 2 2 3 2 2 5" xfId="19498"/>
    <cellStyle name="Normal 5 6 2 2 3 2 2 5 2" xfId="42040"/>
    <cellStyle name="Normal 5 6 2 2 3 2 2 6" xfId="29260"/>
    <cellStyle name="Normal 5 6 2 2 3 2 3" xfId="6509"/>
    <cellStyle name="Normal 5 6 2 2 3 2 3 2" xfId="9843"/>
    <cellStyle name="Normal 5 6 2 2 3 2 3 2 2" xfId="16547"/>
    <cellStyle name="Normal 5 6 2 2 3 2 3 2 2 2" xfId="39968"/>
    <cellStyle name="Normal 5 6 2 2 3 2 3 2 3" xfId="22757"/>
    <cellStyle name="Normal 5 6 2 2 3 2 3 2 3 2" xfId="45179"/>
    <cellStyle name="Normal 5 6 2 2 3 2 3 2 4" xfId="33336"/>
    <cellStyle name="Normal 5 6 2 2 3 2 3 3" xfId="13231"/>
    <cellStyle name="Normal 5 6 2 2 3 2 3 3 2" xfId="36652"/>
    <cellStyle name="Normal 5 6 2 2 3 2 3 4" xfId="19921"/>
    <cellStyle name="Normal 5 6 2 2 3 2 3 4 2" xfId="42456"/>
    <cellStyle name="Normal 5 6 2 2 3 2 3 5" xfId="30020"/>
    <cellStyle name="Normal 5 6 2 2 3 2 4" xfId="8176"/>
    <cellStyle name="Normal 5 6 2 2 3 2 4 2" xfId="14889"/>
    <cellStyle name="Normal 5 6 2 2 3 2 4 2 2" xfId="38310"/>
    <cellStyle name="Normal 5 6 2 2 3 2 4 3" xfId="20950"/>
    <cellStyle name="Normal 5 6 2 2 3 2 4 3 2" xfId="43401"/>
    <cellStyle name="Normal 5 6 2 2 3 2 4 4" xfId="31678"/>
    <cellStyle name="Normal 5 6 2 2 3 2 5" xfId="11571"/>
    <cellStyle name="Normal 5 6 2 2 3 2 5 2" xfId="21926"/>
    <cellStyle name="Normal 5 6 2 2 3 2 5 2 2" xfId="44358"/>
    <cellStyle name="Normal 5 6 2 2 3 2 5 3" xfId="34994"/>
    <cellStyle name="Normal 5 6 2 2 3 2 6" xfId="18792"/>
    <cellStyle name="Normal 5 6 2 2 3 2 6 2" xfId="41615"/>
    <cellStyle name="Normal 5 6 2 2 3 2 7" xfId="25928"/>
    <cellStyle name="Normal 5 6 2 2 3 2 7 2" xfId="48173"/>
    <cellStyle name="Normal 5 6 2 2 3 2 8" xfId="28362"/>
    <cellStyle name="Normal 5 6 2 2 3 3" xfId="2774"/>
    <cellStyle name="Normal 5 6 2 2 3 3 2" xfId="5866"/>
    <cellStyle name="Normal 5 6 2 2 3 3 2 2" xfId="7648"/>
    <cellStyle name="Normal 5 6 2 2 3 3 2 2 2" xfId="10977"/>
    <cellStyle name="Normal 5 6 2 2 3 3 2 2 2 2" xfId="17681"/>
    <cellStyle name="Normal 5 6 2 2 3 3 2 2 2 2 2" xfId="41102"/>
    <cellStyle name="Normal 5 6 2 2 3 3 2 2 2 3" xfId="34470"/>
    <cellStyle name="Normal 5 6 2 2 3 3 2 2 3" xfId="14365"/>
    <cellStyle name="Normal 5 6 2 2 3 3 2 2 3 2" xfId="37786"/>
    <cellStyle name="Normal 5 6 2 2 3 3 2 2 4" xfId="22957"/>
    <cellStyle name="Normal 5 6 2 2 3 3 2 2 4 2" xfId="45379"/>
    <cellStyle name="Normal 5 6 2 2 3 3 2 2 5" xfId="31154"/>
    <cellStyle name="Normal 5 6 2 2 3 3 2 3" xfId="9319"/>
    <cellStyle name="Normal 5 6 2 2 3 3 2 3 2" xfId="16023"/>
    <cellStyle name="Normal 5 6 2 2 3 3 2 3 2 2" xfId="39444"/>
    <cellStyle name="Normal 5 6 2 2 3 3 2 3 3" xfId="32812"/>
    <cellStyle name="Normal 5 6 2 2 3 3 2 4" xfId="12707"/>
    <cellStyle name="Normal 5 6 2 2 3 3 2 4 2" xfId="36128"/>
    <cellStyle name="Normal 5 6 2 2 3 3 2 5" xfId="20129"/>
    <cellStyle name="Normal 5 6 2 2 3 3 2 5 2" xfId="42664"/>
    <cellStyle name="Normal 5 6 2 2 3 3 2 6" xfId="29496"/>
    <cellStyle name="Normal 5 6 2 2 3 3 3" xfId="6749"/>
    <cellStyle name="Normal 5 6 2 2 3 3 3 2" xfId="10081"/>
    <cellStyle name="Normal 5 6 2 2 3 3 3 2 2" xfId="16785"/>
    <cellStyle name="Normal 5 6 2 2 3 3 3 2 2 2" xfId="40206"/>
    <cellStyle name="Normal 5 6 2 2 3 3 3 2 3" xfId="33574"/>
    <cellStyle name="Normal 5 6 2 2 3 3 3 3" xfId="13469"/>
    <cellStyle name="Normal 5 6 2 2 3 3 3 3 2" xfId="36890"/>
    <cellStyle name="Normal 5 6 2 2 3 3 3 4" xfId="21408"/>
    <cellStyle name="Normal 5 6 2 2 3 3 3 4 2" xfId="43859"/>
    <cellStyle name="Normal 5 6 2 2 3 3 3 5" xfId="30258"/>
    <cellStyle name="Normal 5 6 2 2 3 3 4" xfId="8415"/>
    <cellStyle name="Normal 5 6 2 2 3 3 4 2" xfId="15127"/>
    <cellStyle name="Normal 5 6 2 2 3 3 4 2 2" xfId="38548"/>
    <cellStyle name="Normal 5 6 2 2 3 3 4 3" xfId="22140"/>
    <cellStyle name="Normal 5 6 2 2 3 3 4 3 2" xfId="44564"/>
    <cellStyle name="Normal 5 6 2 2 3 3 4 4" xfId="31916"/>
    <cellStyle name="Normal 5 6 2 2 3 3 5" xfId="11809"/>
    <cellStyle name="Normal 5 6 2 2 3 3 5 2" xfId="35232"/>
    <cellStyle name="Normal 5 6 2 2 3 3 6" xfId="19279"/>
    <cellStyle name="Normal 5 6 2 2 3 3 6 2" xfId="41832"/>
    <cellStyle name="Normal 5 6 2 2 3 3 7" xfId="28600"/>
    <cellStyle name="Normal 5 6 2 2 3 4" xfId="4117"/>
    <cellStyle name="Normal 5 6 2 2 3 4 2" xfId="7081"/>
    <cellStyle name="Normal 5 6 2 2 3 4 2 2" xfId="10413"/>
    <cellStyle name="Normal 5 6 2 2 3 4 2 2 2" xfId="17117"/>
    <cellStyle name="Normal 5 6 2 2 3 4 2 2 2 2" xfId="40538"/>
    <cellStyle name="Normal 5 6 2 2 3 4 2 2 3" xfId="33906"/>
    <cellStyle name="Normal 5 6 2 2 3 4 2 3" xfId="13801"/>
    <cellStyle name="Normal 5 6 2 2 3 4 2 3 2" xfId="37222"/>
    <cellStyle name="Normal 5 6 2 2 3 4 2 4" xfId="22552"/>
    <cellStyle name="Normal 5 6 2 2 3 4 2 4 2" xfId="44974"/>
    <cellStyle name="Normal 5 6 2 2 3 4 2 5" xfId="30590"/>
    <cellStyle name="Normal 5 6 2 2 3 4 3" xfId="8748"/>
    <cellStyle name="Normal 5 6 2 2 3 4 3 2" xfId="15459"/>
    <cellStyle name="Normal 5 6 2 2 3 4 3 2 2" xfId="38880"/>
    <cellStyle name="Normal 5 6 2 2 3 4 3 3" xfId="32248"/>
    <cellStyle name="Normal 5 6 2 2 3 4 4" xfId="12141"/>
    <cellStyle name="Normal 5 6 2 2 3 4 4 2" xfId="35564"/>
    <cellStyle name="Normal 5 6 2 2 3 4 5" xfId="19711"/>
    <cellStyle name="Normal 5 6 2 2 3 4 5 2" xfId="42248"/>
    <cellStyle name="Normal 5 6 2 2 3 4 6" xfId="28932"/>
    <cellStyle name="Normal 5 6 2 2 3 5" xfId="6276"/>
    <cellStyle name="Normal 5 6 2 2 3 5 2" xfId="9610"/>
    <cellStyle name="Normal 5 6 2 2 3 5 2 2" xfId="16314"/>
    <cellStyle name="Normal 5 6 2 2 3 5 2 2 2" xfId="39735"/>
    <cellStyle name="Normal 5 6 2 2 3 5 2 3" xfId="33103"/>
    <cellStyle name="Normal 5 6 2 2 3 5 3" xfId="12998"/>
    <cellStyle name="Normal 5 6 2 2 3 5 3 2" xfId="36419"/>
    <cellStyle name="Normal 5 6 2 2 3 5 4" xfId="20949"/>
    <cellStyle name="Normal 5 6 2 2 3 5 4 2" xfId="43400"/>
    <cellStyle name="Normal 5 6 2 2 3 5 5" xfId="29787"/>
    <cellStyle name="Normal 5 6 2 2 3 6" xfId="7942"/>
    <cellStyle name="Normal 5 6 2 2 3 6 2" xfId="14656"/>
    <cellStyle name="Normal 5 6 2 2 3 6 2 2" xfId="38077"/>
    <cellStyle name="Normal 5 6 2 2 3 6 3" xfId="21702"/>
    <cellStyle name="Normal 5 6 2 2 3 6 3 2" xfId="44151"/>
    <cellStyle name="Normal 5 6 2 2 3 6 4" xfId="31445"/>
    <cellStyle name="Normal 5 6 2 2 3 7" xfId="11338"/>
    <cellStyle name="Normal 5 6 2 2 3 7 2" xfId="34761"/>
    <cellStyle name="Normal 5 6 2 2 3 8" xfId="18092"/>
    <cellStyle name="Normal 5 6 2 2 3 8 2" xfId="41380"/>
    <cellStyle name="Normal 5 6 2 2 3 9" xfId="23697"/>
    <cellStyle name="Normal 5 6 2 2 3 9 2" xfId="45986"/>
    <cellStyle name="Normal 5 6 2 2 4" xfId="2346"/>
    <cellStyle name="Normal 5 6 2 2 4 2" xfId="5584"/>
    <cellStyle name="Normal 5 6 2 2 4 2 2" xfId="7407"/>
    <cellStyle name="Normal 5 6 2 2 4 2 2 2" xfId="10738"/>
    <cellStyle name="Normal 5 6 2 2 4 2 2 2 2" xfId="17442"/>
    <cellStyle name="Normal 5 6 2 2 4 2 2 2 2 2" xfId="40863"/>
    <cellStyle name="Normal 5 6 2 2 4 2 2 2 3" xfId="23159"/>
    <cellStyle name="Normal 5 6 2 2 4 2 2 2 3 2" xfId="45581"/>
    <cellStyle name="Normal 5 6 2 2 4 2 2 2 4" xfId="34231"/>
    <cellStyle name="Normal 5 6 2 2 4 2 2 3" xfId="14126"/>
    <cellStyle name="Normal 5 6 2 2 4 2 2 3 2" xfId="37547"/>
    <cellStyle name="Normal 5 6 2 2 4 2 2 4" xfId="20334"/>
    <cellStyle name="Normal 5 6 2 2 4 2 2 4 2" xfId="42869"/>
    <cellStyle name="Normal 5 6 2 2 4 2 2 5" xfId="30915"/>
    <cellStyle name="Normal 5 6 2 2 4 2 3" xfId="9080"/>
    <cellStyle name="Normal 5 6 2 2 4 2 3 2" xfId="15784"/>
    <cellStyle name="Normal 5 6 2 2 4 2 3 2 2" xfId="39205"/>
    <cellStyle name="Normal 5 6 2 2 4 2 3 3" xfId="21410"/>
    <cellStyle name="Normal 5 6 2 2 4 2 3 3 2" xfId="43861"/>
    <cellStyle name="Normal 5 6 2 2 4 2 3 4" xfId="32573"/>
    <cellStyle name="Normal 5 6 2 2 4 2 4" xfId="12468"/>
    <cellStyle name="Normal 5 6 2 2 4 2 4 2" xfId="22347"/>
    <cellStyle name="Normal 5 6 2 2 4 2 4 2 2" xfId="44769"/>
    <cellStyle name="Normal 5 6 2 2 4 2 4 3" xfId="35889"/>
    <cellStyle name="Normal 5 6 2 2 4 2 5" xfId="19495"/>
    <cellStyle name="Normal 5 6 2 2 4 2 5 2" xfId="42037"/>
    <cellStyle name="Normal 5 6 2 2 4 2 6" xfId="29257"/>
    <cellStyle name="Normal 5 6 2 2 4 3" xfId="6506"/>
    <cellStyle name="Normal 5 6 2 2 4 3 2" xfId="9840"/>
    <cellStyle name="Normal 5 6 2 2 4 3 2 2" xfId="16544"/>
    <cellStyle name="Normal 5 6 2 2 4 3 2 2 2" xfId="39965"/>
    <cellStyle name="Normal 5 6 2 2 4 3 2 3" xfId="22754"/>
    <cellStyle name="Normal 5 6 2 2 4 3 2 3 2" xfId="45176"/>
    <cellStyle name="Normal 5 6 2 2 4 3 2 4" xfId="33333"/>
    <cellStyle name="Normal 5 6 2 2 4 3 3" xfId="13228"/>
    <cellStyle name="Normal 5 6 2 2 4 3 3 2" xfId="36649"/>
    <cellStyle name="Normal 5 6 2 2 4 3 4" xfId="19918"/>
    <cellStyle name="Normal 5 6 2 2 4 3 4 2" xfId="42453"/>
    <cellStyle name="Normal 5 6 2 2 4 3 5" xfId="30017"/>
    <cellStyle name="Normal 5 6 2 2 4 4" xfId="8173"/>
    <cellStyle name="Normal 5 6 2 2 4 4 2" xfId="14886"/>
    <cellStyle name="Normal 5 6 2 2 4 4 2 2" xfId="38307"/>
    <cellStyle name="Normal 5 6 2 2 4 4 3" xfId="20951"/>
    <cellStyle name="Normal 5 6 2 2 4 4 3 2" xfId="43402"/>
    <cellStyle name="Normal 5 6 2 2 4 4 4" xfId="31675"/>
    <cellStyle name="Normal 5 6 2 2 4 5" xfId="11568"/>
    <cellStyle name="Normal 5 6 2 2 4 5 2" xfId="21923"/>
    <cellStyle name="Normal 5 6 2 2 4 5 2 2" xfId="44355"/>
    <cellStyle name="Normal 5 6 2 2 4 5 3" xfId="34991"/>
    <cellStyle name="Normal 5 6 2 2 4 6" xfId="18789"/>
    <cellStyle name="Normal 5 6 2 2 4 6 2" xfId="41612"/>
    <cellStyle name="Normal 5 6 2 2 4 7" xfId="25925"/>
    <cellStyle name="Normal 5 6 2 2 4 7 2" xfId="48170"/>
    <cellStyle name="Normal 5 6 2 2 4 8" xfId="28359"/>
    <cellStyle name="Normal 5 6 2 2 5" xfId="2642"/>
    <cellStyle name="Normal 5 6 2 2 5 2" xfId="5735"/>
    <cellStyle name="Normal 5 6 2 2 5 2 2" xfId="7517"/>
    <cellStyle name="Normal 5 6 2 2 5 2 2 2" xfId="10846"/>
    <cellStyle name="Normal 5 6 2 2 5 2 2 2 2" xfId="17550"/>
    <cellStyle name="Normal 5 6 2 2 5 2 2 2 2 2" xfId="40971"/>
    <cellStyle name="Normal 5 6 2 2 5 2 2 2 3" xfId="34339"/>
    <cellStyle name="Normal 5 6 2 2 5 2 2 3" xfId="14234"/>
    <cellStyle name="Normal 5 6 2 2 5 2 2 3 2" xfId="37655"/>
    <cellStyle name="Normal 5 6 2 2 5 2 2 4" xfId="20608"/>
    <cellStyle name="Normal 5 6 2 2 5 2 2 4 2" xfId="43059"/>
    <cellStyle name="Normal 5 6 2 2 5 2 2 5" xfId="31023"/>
    <cellStyle name="Normal 5 6 2 2 5 2 3" xfId="9188"/>
    <cellStyle name="Normal 5 6 2 2 5 2 3 2" xfId="15892"/>
    <cellStyle name="Normal 5 6 2 2 5 2 3 2 2" xfId="39313"/>
    <cellStyle name="Normal 5 6 2 2 5 2 3 3" xfId="21526"/>
    <cellStyle name="Normal 5 6 2 2 5 2 3 3 2" xfId="43977"/>
    <cellStyle name="Normal 5 6 2 2 5 2 3 4" xfId="32681"/>
    <cellStyle name="Normal 5 6 2 2 5 2 4" xfId="12576"/>
    <cellStyle name="Normal 5 6 2 2 5 2 4 2" xfId="22954"/>
    <cellStyle name="Normal 5 6 2 2 5 2 4 2 2" xfId="45376"/>
    <cellStyle name="Normal 5 6 2 2 5 2 4 3" xfId="35997"/>
    <cellStyle name="Normal 5 6 2 2 5 2 5" xfId="20126"/>
    <cellStyle name="Normal 5 6 2 2 5 2 5 2" xfId="42661"/>
    <cellStyle name="Normal 5 6 2 2 5 2 6" xfId="29365"/>
    <cellStyle name="Normal 5 6 2 2 5 3" xfId="6618"/>
    <cellStyle name="Normal 5 6 2 2 5 3 2" xfId="9950"/>
    <cellStyle name="Normal 5 6 2 2 5 3 2 2" xfId="16654"/>
    <cellStyle name="Normal 5 6 2 2 5 3 2 2 2" xfId="40075"/>
    <cellStyle name="Normal 5 6 2 2 5 3 2 3" xfId="33443"/>
    <cellStyle name="Normal 5 6 2 2 5 3 3" xfId="13338"/>
    <cellStyle name="Normal 5 6 2 2 5 3 3 2" xfId="36759"/>
    <cellStyle name="Normal 5 6 2 2 5 3 4" xfId="20510"/>
    <cellStyle name="Normal 5 6 2 2 5 3 4 2" xfId="42963"/>
    <cellStyle name="Normal 5 6 2 2 5 3 5" xfId="30127"/>
    <cellStyle name="Normal 5 6 2 2 5 4" xfId="8284"/>
    <cellStyle name="Normal 5 6 2 2 5 4 2" xfId="14996"/>
    <cellStyle name="Normal 5 6 2 2 5 4 2 2" xfId="38417"/>
    <cellStyle name="Normal 5 6 2 2 5 4 3" xfId="21067"/>
    <cellStyle name="Normal 5 6 2 2 5 4 3 2" xfId="43518"/>
    <cellStyle name="Normal 5 6 2 2 5 4 4" xfId="31785"/>
    <cellStyle name="Normal 5 6 2 2 5 5" xfId="11678"/>
    <cellStyle name="Normal 5 6 2 2 5 5 2" xfId="22137"/>
    <cellStyle name="Normal 5 6 2 2 5 5 2 2" xfId="44561"/>
    <cellStyle name="Normal 5 6 2 2 5 5 3" xfId="35101"/>
    <cellStyle name="Normal 5 6 2 2 5 6" xfId="19276"/>
    <cellStyle name="Normal 5 6 2 2 5 6 2" xfId="41829"/>
    <cellStyle name="Normal 5 6 2 2 5 7" xfId="28469"/>
    <cellStyle name="Normal 5 6 2 2 6" xfId="4114"/>
    <cellStyle name="Normal 5 6 2 2 6 2" xfId="7078"/>
    <cellStyle name="Normal 5 6 2 2 6 2 2" xfId="10410"/>
    <cellStyle name="Normal 5 6 2 2 6 2 2 2" xfId="17114"/>
    <cellStyle name="Normal 5 6 2 2 6 2 2 2 2" xfId="40535"/>
    <cellStyle name="Normal 5 6 2 2 6 2 2 3" xfId="33903"/>
    <cellStyle name="Normal 5 6 2 2 6 2 3" xfId="13798"/>
    <cellStyle name="Normal 5 6 2 2 6 2 3 2" xfId="37219"/>
    <cellStyle name="Normal 5 6 2 2 6 2 4" xfId="20559"/>
    <cellStyle name="Normal 5 6 2 2 6 2 4 2" xfId="43010"/>
    <cellStyle name="Normal 5 6 2 2 6 2 5" xfId="30587"/>
    <cellStyle name="Normal 5 6 2 2 6 3" xfId="8745"/>
    <cellStyle name="Normal 5 6 2 2 6 3 2" xfId="15456"/>
    <cellStyle name="Normal 5 6 2 2 6 3 2 2" xfId="38877"/>
    <cellStyle name="Normal 5 6 2 2 6 3 3" xfId="21403"/>
    <cellStyle name="Normal 5 6 2 2 6 3 3 2" xfId="43854"/>
    <cellStyle name="Normal 5 6 2 2 6 3 4" xfId="32245"/>
    <cellStyle name="Normal 5 6 2 2 6 4" xfId="12138"/>
    <cellStyle name="Normal 5 6 2 2 6 4 2" xfId="22549"/>
    <cellStyle name="Normal 5 6 2 2 6 4 2 2" xfId="44971"/>
    <cellStyle name="Normal 5 6 2 2 6 4 3" xfId="35561"/>
    <cellStyle name="Normal 5 6 2 2 6 5" xfId="19708"/>
    <cellStyle name="Normal 5 6 2 2 6 5 2" xfId="42245"/>
    <cellStyle name="Normal 5 6 2 2 6 6" xfId="28929"/>
    <cellStyle name="Normal 5 6 2 2 7" xfId="6145"/>
    <cellStyle name="Normal 5 6 2 2 7 2" xfId="9479"/>
    <cellStyle name="Normal 5 6 2 2 7 2 2" xfId="16183"/>
    <cellStyle name="Normal 5 6 2 2 7 2 2 2" xfId="39604"/>
    <cellStyle name="Normal 5 6 2 2 7 2 3" xfId="32972"/>
    <cellStyle name="Normal 5 6 2 2 7 3" xfId="12867"/>
    <cellStyle name="Normal 5 6 2 2 7 3 2" xfId="36288"/>
    <cellStyle name="Normal 5 6 2 2 7 4" xfId="20461"/>
    <cellStyle name="Normal 5 6 2 2 7 4 2" xfId="42914"/>
    <cellStyle name="Normal 5 6 2 2 7 5" xfId="29656"/>
    <cellStyle name="Normal 5 6 2 2 8" xfId="7811"/>
    <cellStyle name="Normal 5 6 2 2 8 2" xfId="14525"/>
    <cellStyle name="Normal 5 6 2 2 8 2 2" xfId="37946"/>
    <cellStyle name="Normal 5 6 2 2 8 3" xfId="20944"/>
    <cellStyle name="Normal 5 6 2 2 8 3 2" xfId="43395"/>
    <cellStyle name="Normal 5 6 2 2 8 4" xfId="31314"/>
    <cellStyle name="Normal 5 6 2 2 9" xfId="11207"/>
    <cellStyle name="Normal 5 6 2 2 9 2" xfId="21699"/>
    <cellStyle name="Normal 5 6 2 2 9 2 2" xfId="44148"/>
    <cellStyle name="Normal 5 6 2 2 9 3" xfId="34630"/>
    <cellStyle name="Normal 5 6 2 3" xfId="1631"/>
    <cellStyle name="Normal 5 6 2 3 10" xfId="23698"/>
    <cellStyle name="Normal 5 6 2 3 10 2" xfId="45987"/>
    <cellStyle name="Normal 5 6 2 3 11" xfId="28049"/>
    <cellStyle name="Normal 5 6 2 3 2" xfId="1828"/>
    <cellStyle name="Normal 5 6 2 3 2 10" xfId="28180"/>
    <cellStyle name="Normal 5 6 2 3 2 2" xfId="2351"/>
    <cellStyle name="Normal 5 6 2 3 2 2 2" xfId="5589"/>
    <cellStyle name="Normal 5 6 2 3 2 2 2 2" xfId="7412"/>
    <cellStyle name="Normal 5 6 2 3 2 2 2 2 2" xfId="10743"/>
    <cellStyle name="Normal 5 6 2 3 2 2 2 2 2 2" xfId="17447"/>
    <cellStyle name="Normal 5 6 2 3 2 2 2 2 2 2 2" xfId="40868"/>
    <cellStyle name="Normal 5 6 2 3 2 2 2 2 2 3" xfId="23164"/>
    <cellStyle name="Normal 5 6 2 3 2 2 2 2 2 3 2" xfId="45586"/>
    <cellStyle name="Normal 5 6 2 3 2 2 2 2 2 4" xfId="34236"/>
    <cellStyle name="Normal 5 6 2 3 2 2 2 2 3" xfId="14131"/>
    <cellStyle name="Normal 5 6 2 3 2 2 2 2 3 2" xfId="37552"/>
    <cellStyle name="Normal 5 6 2 3 2 2 2 2 4" xfId="20339"/>
    <cellStyle name="Normal 5 6 2 3 2 2 2 2 4 2" xfId="42874"/>
    <cellStyle name="Normal 5 6 2 3 2 2 2 2 5" xfId="30920"/>
    <cellStyle name="Normal 5 6 2 3 2 2 2 3" xfId="9085"/>
    <cellStyle name="Normal 5 6 2 3 2 2 2 3 2" xfId="15789"/>
    <cellStyle name="Normal 5 6 2 3 2 2 2 3 2 2" xfId="39210"/>
    <cellStyle name="Normal 5 6 2 3 2 2 2 3 3" xfId="21413"/>
    <cellStyle name="Normal 5 6 2 3 2 2 2 3 3 2" xfId="43864"/>
    <cellStyle name="Normal 5 6 2 3 2 2 2 3 4" xfId="32578"/>
    <cellStyle name="Normal 5 6 2 3 2 2 2 4" xfId="12473"/>
    <cellStyle name="Normal 5 6 2 3 2 2 2 4 2" xfId="22352"/>
    <cellStyle name="Normal 5 6 2 3 2 2 2 4 2 2" xfId="44774"/>
    <cellStyle name="Normal 5 6 2 3 2 2 2 4 3" xfId="35894"/>
    <cellStyle name="Normal 5 6 2 3 2 2 2 5" xfId="19500"/>
    <cellStyle name="Normal 5 6 2 3 2 2 2 5 2" xfId="42042"/>
    <cellStyle name="Normal 5 6 2 3 2 2 2 6" xfId="29262"/>
    <cellStyle name="Normal 5 6 2 3 2 2 3" xfId="6511"/>
    <cellStyle name="Normal 5 6 2 3 2 2 3 2" xfId="9845"/>
    <cellStyle name="Normal 5 6 2 3 2 2 3 2 2" xfId="16549"/>
    <cellStyle name="Normal 5 6 2 3 2 2 3 2 2 2" xfId="39970"/>
    <cellStyle name="Normal 5 6 2 3 2 2 3 2 3" xfId="22759"/>
    <cellStyle name="Normal 5 6 2 3 2 2 3 2 3 2" xfId="45181"/>
    <cellStyle name="Normal 5 6 2 3 2 2 3 2 4" xfId="33338"/>
    <cellStyle name="Normal 5 6 2 3 2 2 3 3" xfId="13233"/>
    <cellStyle name="Normal 5 6 2 3 2 2 3 3 2" xfId="36654"/>
    <cellStyle name="Normal 5 6 2 3 2 2 3 4" xfId="19923"/>
    <cellStyle name="Normal 5 6 2 3 2 2 3 4 2" xfId="42458"/>
    <cellStyle name="Normal 5 6 2 3 2 2 3 5" xfId="30022"/>
    <cellStyle name="Normal 5 6 2 3 2 2 4" xfId="8178"/>
    <cellStyle name="Normal 5 6 2 3 2 2 4 2" xfId="14891"/>
    <cellStyle name="Normal 5 6 2 3 2 2 4 2 2" xfId="38312"/>
    <cellStyle name="Normal 5 6 2 3 2 2 4 3" xfId="20954"/>
    <cellStyle name="Normal 5 6 2 3 2 2 4 3 2" xfId="43405"/>
    <cellStyle name="Normal 5 6 2 3 2 2 4 4" xfId="31680"/>
    <cellStyle name="Normal 5 6 2 3 2 2 5" xfId="11573"/>
    <cellStyle name="Normal 5 6 2 3 2 2 5 2" xfId="21928"/>
    <cellStyle name="Normal 5 6 2 3 2 2 5 2 2" xfId="44360"/>
    <cellStyle name="Normal 5 6 2 3 2 2 5 3" xfId="34996"/>
    <cellStyle name="Normal 5 6 2 3 2 2 6" xfId="18794"/>
    <cellStyle name="Normal 5 6 2 3 2 2 6 2" xfId="41617"/>
    <cellStyle name="Normal 5 6 2 3 2 2 7" xfId="25930"/>
    <cellStyle name="Normal 5 6 2 3 2 2 7 2" xfId="48175"/>
    <cellStyle name="Normal 5 6 2 3 2 2 8" xfId="28364"/>
    <cellStyle name="Normal 5 6 2 3 2 3" xfId="2825"/>
    <cellStyle name="Normal 5 6 2 3 2 3 2" xfId="5917"/>
    <cellStyle name="Normal 5 6 2 3 2 3 2 2" xfId="7699"/>
    <cellStyle name="Normal 5 6 2 3 2 3 2 2 2" xfId="11028"/>
    <cellStyle name="Normal 5 6 2 3 2 3 2 2 2 2" xfId="17732"/>
    <cellStyle name="Normal 5 6 2 3 2 3 2 2 2 2 2" xfId="41153"/>
    <cellStyle name="Normal 5 6 2 3 2 3 2 2 2 3" xfId="34521"/>
    <cellStyle name="Normal 5 6 2 3 2 3 2 2 3" xfId="14416"/>
    <cellStyle name="Normal 5 6 2 3 2 3 2 2 3 2" xfId="37837"/>
    <cellStyle name="Normal 5 6 2 3 2 3 2 2 4" xfId="22959"/>
    <cellStyle name="Normal 5 6 2 3 2 3 2 2 4 2" xfId="45381"/>
    <cellStyle name="Normal 5 6 2 3 2 3 2 2 5" xfId="31205"/>
    <cellStyle name="Normal 5 6 2 3 2 3 2 3" xfId="9370"/>
    <cellStyle name="Normal 5 6 2 3 2 3 2 3 2" xfId="16074"/>
    <cellStyle name="Normal 5 6 2 3 2 3 2 3 2 2" xfId="39495"/>
    <cellStyle name="Normal 5 6 2 3 2 3 2 3 3" xfId="32863"/>
    <cellStyle name="Normal 5 6 2 3 2 3 2 4" xfId="12758"/>
    <cellStyle name="Normal 5 6 2 3 2 3 2 4 2" xfId="36179"/>
    <cellStyle name="Normal 5 6 2 3 2 3 2 5" xfId="20131"/>
    <cellStyle name="Normal 5 6 2 3 2 3 2 5 2" xfId="42666"/>
    <cellStyle name="Normal 5 6 2 3 2 3 2 6" xfId="29547"/>
    <cellStyle name="Normal 5 6 2 3 2 3 3" xfId="6800"/>
    <cellStyle name="Normal 5 6 2 3 2 3 3 2" xfId="10132"/>
    <cellStyle name="Normal 5 6 2 3 2 3 3 2 2" xfId="16836"/>
    <cellStyle name="Normal 5 6 2 3 2 3 3 2 2 2" xfId="40257"/>
    <cellStyle name="Normal 5 6 2 3 2 3 3 2 3" xfId="33625"/>
    <cellStyle name="Normal 5 6 2 3 2 3 3 3" xfId="13520"/>
    <cellStyle name="Normal 5 6 2 3 2 3 3 3 2" xfId="36941"/>
    <cellStyle name="Normal 5 6 2 3 2 3 3 4" xfId="21412"/>
    <cellStyle name="Normal 5 6 2 3 2 3 3 4 2" xfId="43863"/>
    <cellStyle name="Normal 5 6 2 3 2 3 3 5" xfId="30309"/>
    <cellStyle name="Normal 5 6 2 3 2 3 4" xfId="8466"/>
    <cellStyle name="Normal 5 6 2 3 2 3 4 2" xfId="15178"/>
    <cellStyle name="Normal 5 6 2 3 2 3 4 2 2" xfId="38599"/>
    <cellStyle name="Normal 5 6 2 3 2 3 4 3" xfId="22142"/>
    <cellStyle name="Normal 5 6 2 3 2 3 4 3 2" xfId="44566"/>
    <cellStyle name="Normal 5 6 2 3 2 3 4 4" xfId="31967"/>
    <cellStyle name="Normal 5 6 2 3 2 3 5" xfId="11860"/>
    <cellStyle name="Normal 5 6 2 3 2 3 5 2" xfId="35283"/>
    <cellStyle name="Normal 5 6 2 3 2 3 6" xfId="19281"/>
    <cellStyle name="Normal 5 6 2 3 2 3 6 2" xfId="41834"/>
    <cellStyle name="Normal 5 6 2 3 2 3 7" xfId="28651"/>
    <cellStyle name="Normal 5 6 2 3 2 4" xfId="4119"/>
    <cellStyle name="Normal 5 6 2 3 2 4 2" xfId="7083"/>
    <cellStyle name="Normal 5 6 2 3 2 4 2 2" xfId="10415"/>
    <cellStyle name="Normal 5 6 2 3 2 4 2 2 2" xfId="17119"/>
    <cellStyle name="Normal 5 6 2 3 2 4 2 2 2 2" xfId="40540"/>
    <cellStyle name="Normal 5 6 2 3 2 4 2 2 3" xfId="33908"/>
    <cellStyle name="Normal 5 6 2 3 2 4 2 3" xfId="13803"/>
    <cellStyle name="Normal 5 6 2 3 2 4 2 3 2" xfId="37224"/>
    <cellStyle name="Normal 5 6 2 3 2 4 2 4" xfId="22554"/>
    <cellStyle name="Normal 5 6 2 3 2 4 2 4 2" xfId="44976"/>
    <cellStyle name="Normal 5 6 2 3 2 4 2 5" xfId="30592"/>
    <cellStyle name="Normal 5 6 2 3 2 4 3" xfId="8750"/>
    <cellStyle name="Normal 5 6 2 3 2 4 3 2" xfId="15461"/>
    <cellStyle name="Normal 5 6 2 3 2 4 3 2 2" xfId="38882"/>
    <cellStyle name="Normal 5 6 2 3 2 4 3 3" xfId="32250"/>
    <cellStyle name="Normal 5 6 2 3 2 4 4" xfId="12143"/>
    <cellStyle name="Normal 5 6 2 3 2 4 4 2" xfId="35566"/>
    <cellStyle name="Normal 5 6 2 3 2 4 5" xfId="19713"/>
    <cellStyle name="Normal 5 6 2 3 2 4 5 2" xfId="42250"/>
    <cellStyle name="Normal 5 6 2 3 2 4 6" xfId="28934"/>
    <cellStyle name="Normal 5 6 2 3 2 5" xfId="6327"/>
    <cellStyle name="Normal 5 6 2 3 2 5 2" xfId="9661"/>
    <cellStyle name="Normal 5 6 2 3 2 5 2 2" xfId="16365"/>
    <cellStyle name="Normal 5 6 2 3 2 5 2 2 2" xfId="39786"/>
    <cellStyle name="Normal 5 6 2 3 2 5 2 3" xfId="33154"/>
    <cellStyle name="Normal 5 6 2 3 2 5 3" xfId="13049"/>
    <cellStyle name="Normal 5 6 2 3 2 5 3 2" xfId="36470"/>
    <cellStyle name="Normal 5 6 2 3 2 5 4" xfId="20953"/>
    <cellStyle name="Normal 5 6 2 3 2 5 4 2" xfId="43404"/>
    <cellStyle name="Normal 5 6 2 3 2 5 5" xfId="29838"/>
    <cellStyle name="Normal 5 6 2 3 2 6" xfId="7993"/>
    <cellStyle name="Normal 5 6 2 3 2 6 2" xfId="14707"/>
    <cellStyle name="Normal 5 6 2 3 2 6 2 2" xfId="38128"/>
    <cellStyle name="Normal 5 6 2 3 2 6 3" xfId="21704"/>
    <cellStyle name="Normal 5 6 2 3 2 6 3 2" xfId="44153"/>
    <cellStyle name="Normal 5 6 2 3 2 6 4" xfId="31496"/>
    <cellStyle name="Normal 5 6 2 3 2 7" xfId="11389"/>
    <cellStyle name="Normal 5 6 2 3 2 7 2" xfId="34812"/>
    <cellStyle name="Normal 5 6 2 3 2 8" xfId="18094"/>
    <cellStyle name="Normal 5 6 2 3 2 8 2" xfId="41382"/>
    <cellStyle name="Normal 5 6 2 3 2 9" xfId="23699"/>
    <cellStyle name="Normal 5 6 2 3 2 9 2" xfId="45988"/>
    <cellStyle name="Normal 5 6 2 3 3" xfId="2350"/>
    <cellStyle name="Normal 5 6 2 3 3 2" xfId="5588"/>
    <cellStyle name="Normal 5 6 2 3 3 2 2" xfId="7411"/>
    <cellStyle name="Normal 5 6 2 3 3 2 2 2" xfId="10742"/>
    <cellStyle name="Normal 5 6 2 3 3 2 2 2 2" xfId="17446"/>
    <cellStyle name="Normal 5 6 2 3 3 2 2 2 2 2" xfId="40867"/>
    <cellStyle name="Normal 5 6 2 3 3 2 2 2 3" xfId="23163"/>
    <cellStyle name="Normal 5 6 2 3 3 2 2 2 3 2" xfId="45585"/>
    <cellStyle name="Normal 5 6 2 3 3 2 2 2 4" xfId="34235"/>
    <cellStyle name="Normal 5 6 2 3 3 2 2 3" xfId="14130"/>
    <cellStyle name="Normal 5 6 2 3 3 2 2 3 2" xfId="37551"/>
    <cellStyle name="Normal 5 6 2 3 3 2 2 4" xfId="20338"/>
    <cellStyle name="Normal 5 6 2 3 3 2 2 4 2" xfId="42873"/>
    <cellStyle name="Normal 5 6 2 3 3 2 2 5" xfId="30919"/>
    <cellStyle name="Normal 5 6 2 3 3 2 3" xfId="9084"/>
    <cellStyle name="Normal 5 6 2 3 3 2 3 2" xfId="15788"/>
    <cellStyle name="Normal 5 6 2 3 3 2 3 2 2" xfId="39209"/>
    <cellStyle name="Normal 5 6 2 3 3 2 3 3" xfId="21414"/>
    <cellStyle name="Normal 5 6 2 3 3 2 3 3 2" xfId="43865"/>
    <cellStyle name="Normal 5 6 2 3 3 2 3 4" xfId="32577"/>
    <cellStyle name="Normal 5 6 2 3 3 2 4" xfId="12472"/>
    <cellStyle name="Normal 5 6 2 3 3 2 4 2" xfId="22351"/>
    <cellStyle name="Normal 5 6 2 3 3 2 4 2 2" xfId="44773"/>
    <cellStyle name="Normal 5 6 2 3 3 2 4 3" xfId="35893"/>
    <cellStyle name="Normal 5 6 2 3 3 2 5" xfId="19499"/>
    <cellStyle name="Normal 5 6 2 3 3 2 5 2" xfId="42041"/>
    <cellStyle name="Normal 5 6 2 3 3 2 6" xfId="29261"/>
    <cellStyle name="Normal 5 6 2 3 3 3" xfId="6510"/>
    <cellStyle name="Normal 5 6 2 3 3 3 2" xfId="9844"/>
    <cellStyle name="Normal 5 6 2 3 3 3 2 2" xfId="16548"/>
    <cellStyle name="Normal 5 6 2 3 3 3 2 2 2" xfId="39969"/>
    <cellStyle name="Normal 5 6 2 3 3 3 2 3" xfId="22758"/>
    <cellStyle name="Normal 5 6 2 3 3 3 2 3 2" xfId="45180"/>
    <cellStyle name="Normal 5 6 2 3 3 3 2 4" xfId="33337"/>
    <cellStyle name="Normal 5 6 2 3 3 3 3" xfId="13232"/>
    <cellStyle name="Normal 5 6 2 3 3 3 3 2" xfId="36653"/>
    <cellStyle name="Normal 5 6 2 3 3 3 4" xfId="19922"/>
    <cellStyle name="Normal 5 6 2 3 3 3 4 2" xfId="42457"/>
    <cellStyle name="Normal 5 6 2 3 3 3 5" xfId="30021"/>
    <cellStyle name="Normal 5 6 2 3 3 4" xfId="8177"/>
    <cellStyle name="Normal 5 6 2 3 3 4 2" xfId="14890"/>
    <cellStyle name="Normal 5 6 2 3 3 4 2 2" xfId="38311"/>
    <cellStyle name="Normal 5 6 2 3 3 4 3" xfId="20955"/>
    <cellStyle name="Normal 5 6 2 3 3 4 3 2" xfId="43406"/>
    <cellStyle name="Normal 5 6 2 3 3 4 4" xfId="31679"/>
    <cellStyle name="Normal 5 6 2 3 3 5" xfId="11572"/>
    <cellStyle name="Normal 5 6 2 3 3 5 2" xfId="21927"/>
    <cellStyle name="Normal 5 6 2 3 3 5 2 2" xfId="44359"/>
    <cellStyle name="Normal 5 6 2 3 3 5 3" xfId="34995"/>
    <cellStyle name="Normal 5 6 2 3 3 6" xfId="18793"/>
    <cellStyle name="Normal 5 6 2 3 3 6 2" xfId="41616"/>
    <cellStyle name="Normal 5 6 2 3 3 7" xfId="25929"/>
    <cellStyle name="Normal 5 6 2 3 3 7 2" xfId="48174"/>
    <cellStyle name="Normal 5 6 2 3 3 8" xfId="28363"/>
    <cellStyle name="Normal 5 6 2 3 4" xfId="2693"/>
    <cellStyle name="Normal 5 6 2 3 4 2" xfId="5786"/>
    <cellStyle name="Normal 5 6 2 3 4 2 2" xfId="7568"/>
    <cellStyle name="Normal 5 6 2 3 4 2 2 2" xfId="10897"/>
    <cellStyle name="Normal 5 6 2 3 4 2 2 2 2" xfId="17601"/>
    <cellStyle name="Normal 5 6 2 3 4 2 2 2 2 2" xfId="41022"/>
    <cellStyle name="Normal 5 6 2 3 4 2 2 2 3" xfId="34390"/>
    <cellStyle name="Normal 5 6 2 3 4 2 2 3" xfId="14285"/>
    <cellStyle name="Normal 5 6 2 3 4 2 2 3 2" xfId="37706"/>
    <cellStyle name="Normal 5 6 2 3 4 2 2 4" xfId="22958"/>
    <cellStyle name="Normal 5 6 2 3 4 2 2 4 2" xfId="45380"/>
    <cellStyle name="Normal 5 6 2 3 4 2 2 5" xfId="31074"/>
    <cellStyle name="Normal 5 6 2 3 4 2 3" xfId="9239"/>
    <cellStyle name="Normal 5 6 2 3 4 2 3 2" xfId="15943"/>
    <cellStyle name="Normal 5 6 2 3 4 2 3 2 2" xfId="39364"/>
    <cellStyle name="Normal 5 6 2 3 4 2 3 3" xfId="32732"/>
    <cellStyle name="Normal 5 6 2 3 4 2 4" xfId="12627"/>
    <cellStyle name="Normal 5 6 2 3 4 2 4 2" xfId="36048"/>
    <cellStyle name="Normal 5 6 2 3 4 2 5" xfId="20130"/>
    <cellStyle name="Normal 5 6 2 3 4 2 5 2" xfId="42665"/>
    <cellStyle name="Normal 5 6 2 3 4 2 6" xfId="29416"/>
    <cellStyle name="Normal 5 6 2 3 4 3" xfId="6669"/>
    <cellStyle name="Normal 5 6 2 3 4 3 2" xfId="10001"/>
    <cellStyle name="Normal 5 6 2 3 4 3 2 2" xfId="16705"/>
    <cellStyle name="Normal 5 6 2 3 4 3 2 2 2" xfId="40126"/>
    <cellStyle name="Normal 5 6 2 3 4 3 2 3" xfId="33494"/>
    <cellStyle name="Normal 5 6 2 3 4 3 3" xfId="13389"/>
    <cellStyle name="Normal 5 6 2 3 4 3 3 2" xfId="36810"/>
    <cellStyle name="Normal 5 6 2 3 4 3 4" xfId="21411"/>
    <cellStyle name="Normal 5 6 2 3 4 3 4 2" xfId="43862"/>
    <cellStyle name="Normal 5 6 2 3 4 3 5" xfId="30178"/>
    <cellStyle name="Normal 5 6 2 3 4 4" xfId="8335"/>
    <cellStyle name="Normal 5 6 2 3 4 4 2" xfId="15047"/>
    <cellStyle name="Normal 5 6 2 3 4 4 2 2" xfId="38468"/>
    <cellStyle name="Normal 5 6 2 3 4 4 3" xfId="22141"/>
    <cellStyle name="Normal 5 6 2 3 4 4 3 2" xfId="44565"/>
    <cellStyle name="Normal 5 6 2 3 4 4 4" xfId="31836"/>
    <cellStyle name="Normal 5 6 2 3 4 5" xfId="11729"/>
    <cellStyle name="Normal 5 6 2 3 4 5 2" xfId="35152"/>
    <cellStyle name="Normal 5 6 2 3 4 6" xfId="19280"/>
    <cellStyle name="Normal 5 6 2 3 4 6 2" xfId="41833"/>
    <cellStyle name="Normal 5 6 2 3 4 7" xfId="28520"/>
    <cellStyle name="Normal 5 6 2 3 5" xfId="4118"/>
    <cellStyle name="Normal 5 6 2 3 5 2" xfId="7082"/>
    <cellStyle name="Normal 5 6 2 3 5 2 2" xfId="10414"/>
    <cellStyle name="Normal 5 6 2 3 5 2 2 2" xfId="17118"/>
    <cellStyle name="Normal 5 6 2 3 5 2 2 2 2" xfId="40539"/>
    <cellStyle name="Normal 5 6 2 3 5 2 2 3" xfId="33907"/>
    <cellStyle name="Normal 5 6 2 3 5 2 3" xfId="13802"/>
    <cellStyle name="Normal 5 6 2 3 5 2 3 2" xfId="37223"/>
    <cellStyle name="Normal 5 6 2 3 5 2 4" xfId="22553"/>
    <cellStyle name="Normal 5 6 2 3 5 2 4 2" xfId="44975"/>
    <cellStyle name="Normal 5 6 2 3 5 2 5" xfId="30591"/>
    <cellStyle name="Normal 5 6 2 3 5 3" xfId="8749"/>
    <cellStyle name="Normal 5 6 2 3 5 3 2" xfId="15460"/>
    <cellStyle name="Normal 5 6 2 3 5 3 2 2" xfId="38881"/>
    <cellStyle name="Normal 5 6 2 3 5 3 3" xfId="32249"/>
    <cellStyle name="Normal 5 6 2 3 5 4" xfId="12142"/>
    <cellStyle name="Normal 5 6 2 3 5 4 2" xfId="35565"/>
    <cellStyle name="Normal 5 6 2 3 5 5" xfId="19712"/>
    <cellStyle name="Normal 5 6 2 3 5 5 2" xfId="42249"/>
    <cellStyle name="Normal 5 6 2 3 5 6" xfId="28933"/>
    <cellStyle name="Normal 5 6 2 3 6" xfId="6196"/>
    <cellStyle name="Normal 5 6 2 3 6 2" xfId="9530"/>
    <cellStyle name="Normal 5 6 2 3 6 2 2" xfId="16234"/>
    <cellStyle name="Normal 5 6 2 3 6 2 2 2" xfId="39655"/>
    <cellStyle name="Normal 5 6 2 3 6 2 3" xfId="33023"/>
    <cellStyle name="Normal 5 6 2 3 6 3" xfId="12918"/>
    <cellStyle name="Normal 5 6 2 3 6 3 2" xfId="36339"/>
    <cellStyle name="Normal 5 6 2 3 6 4" xfId="20952"/>
    <cellStyle name="Normal 5 6 2 3 6 4 2" xfId="43403"/>
    <cellStyle name="Normal 5 6 2 3 6 5" xfId="29707"/>
    <cellStyle name="Normal 5 6 2 3 7" xfId="7862"/>
    <cellStyle name="Normal 5 6 2 3 7 2" xfId="14576"/>
    <cellStyle name="Normal 5 6 2 3 7 2 2" xfId="37997"/>
    <cellStyle name="Normal 5 6 2 3 7 3" xfId="21703"/>
    <cellStyle name="Normal 5 6 2 3 7 3 2" xfId="44152"/>
    <cellStyle name="Normal 5 6 2 3 7 4" xfId="31365"/>
    <cellStyle name="Normal 5 6 2 3 8" xfId="11258"/>
    <cellStyle name="Normal 5 6 2 3 8 2" xfId="34681"/>
    <cellStyle name="Normal 5 6 2 3 9" xfId="18093"/>
    <cellStyle name="Normal 5 6 2 3 9 2" xfId="41381"/>
    <cellStyle name="Normal 5 6 2 4" xfId="1741"/>
    <cellStyle name="Normal 5 6 2 4 10" xfId="28093"/>
    <cellStyle name="Normal 5 6 2 4 2" xfId="2352"/>
    <cellStyle name="Normal 5 6 2 4 2 2" xfId="5590"/>
    <cellStyle name="Normal 5 6 2 4 2 2 2" xfId="7413"/>
    <cellStyle name="Normal 5 6 2 4 2 2 2 2" xfId="10744"/>
    <cellStyle name="Normal 5 6 2 4 2 2 2 2 2" xfId="17448"/>
    <cellStyle name="Normal 5 6 2 4 2 2 2 2 2 2" xfId="40869"/>
    <cellStyle name="Normal 5 6 2 4 2 2 2 2 3" xfId="23165"/>
    <cellStyle name="Normal 5 6 2 4 2 2 2 2 3 2" xfId="45587"/>
    <cellStyle name="Normal 5 6 2 4 2 2 2 2 4" xfId="34237"/>
    <cellStyle name="Normal 5 6 2 4 2 2 2 3" xfId="14132"/>
    <cellStyle name="Normal 5 6 2 4 2 2 2 3 2" xfId="37553"/>
    <cellStyle name="Normal 5 6 2 4 2 2 2 4" xfId="20340"/>
    <cellStyle name="Normal 5 6 2 4 2 2 2 4 2" xfId="42875"/>
    <cellStyle name="Normal 5 6 2 4 2 2 2 5" xfId="30921"/>
    <cellStyle name="Normal 5 6 2 4 2 2 3" xfId="9086"/>
    <cellStyle name="Normal 5 6 2 4 2 2 3 2" xfId="15790"/>
    <cellStyle name="Normal 5 6 2 4 2 2 3 2 2" xfId="39211"/>
    <cellStyle name="Normal 5 6 2 4 2 2 3 3" xfId="21416"/>
    <cellStyle name="Normal 5 6 2 4 2 2 3 3 2" xfId="43867"/>
    <cellStyle name="Normal 5 6 2 4 2 2 3 4" xfId="32579"/>
    <cellStyle name="Normal 5 6 2 4 2 2 4" xfId="12474"/>
    <cellStyle name="Normal 5 6 2 4 2 2 4 2" xfId="22353"/>
    <cellStyle name="Normal 5 6 2 4 2 2 4 2 2" xfId="44775"/>
    <cellStyle name="Normal 5 6 2 4 2 2 4 3" xfId="35895"/>
    <cellStyle name="Normal 5 6 2 4 2 2 5" xfId="19501"/>
    <cellStyle name="Normal 5 6 2 4 2 2 5 2" xfId="42043"/>
    <cellStyle name="Normal 5 6 2 4 2 2 6" xfId="29263"/>
    <cellStyle name="Normal 5 6 2 4 2 3" xfId="6512"/>
    <cellStyle name="Normal 5 6 2 4 2 3 2" xfId="9846"/>
    <cellStyle name="Normal 5 6 2 4 2 3 2 2" xfId="16550"/>
    <cellStyle name="Normal 5 6 2 4 2 3 2 2 2" xfId="39971"/>
    <cellStyle name="Normal 5 6 2 4 2 3 2 3" xfId="22760"/>
    <cellStyle name="Normal 5 6 2 4 2 3 2 3 2" xfId="45182"/>
    <cellStyle name="Normal 5 6 2 4 2 3 2 4" xfId="33339"/>
    <cellStyle name="Normal 5 6 2 4 2 3 3" xfId="13234"/>
    <cellStyle name="Normal 5 6 2 4 2 3 3 2" xfId="36655"/>
    <cellStyle name="Normal 5 6 2 4 2 3 4" xfId="19924"/>
    <cellStyle name="Normal 5 6 2 4 2 3 4 2" xfId="42459"/>
    <cellStyle name="Normal 5 6 2 4 2 3 5" xfId="30023"/>
    <cellStyle name="Normal 5 6 2 4 2 4" xfId="8179"/>
    <cellStyle name="Normal 5 6 2 4 2 4 2" xfId="14892"/>
    <cellStyle name="Normal 5 6 2 4 2 4 2 2" xfId="38313"/>
    <cellStyle name="Normal 5 6 2 4 2 4 3" xfId="20957"/>
    <cellStyle name="Normal 5 6 2 4 2 4 3 2" xfId="43408"/>
    <cellStyle name="Normal 5 6 2 4 2 4 4" xfId="31681"/>
    <cellStyle name="Normal 5 6 2 4 2 5" xfId="11574"/>
    <cellStyle name="Normal 5 6 2 4 2 5 2" xfId="21929"/>
    <cellStyle name="Normal 5 6 2 4 2 5 2 2" xfId="44361"/>
    <cellStyle name="Normal 5 6 2 4 2 5 3" xfId="34997"/>
    <cellStyle name="Normal 5 6 2 4 2 6" xfId="18795"/>
    <cellStyle name="Normal 5 6 2 4 2 6 2" xfId="41618"/>
    <cellStyle name="Normal 5 6 2 4 2 7" xfId="25931"/>
    <cellStyle name="Normal 5 6 2 4 2 7 2" xfId="48176"/>
    <cellStyle name="Normal 5 6 2 4 2 8" xfId="28365"/>
    <cellStyle name="Normal 5 6 2 4 3" xfId="2738"/>
    <cellStyle name="Normal 5 6 2 4 3 2" xfId="5830"/>
    <cellStyle name="Normal 5 6 2 4 3 2 2" xfId="7612"/>
    <cellStyle name="Normal 5 6 2 4 3 2 2 2" xfId="10941"/>
    <cellStyle name="Normal 5 6 2 4 3 2 2 2 2" xfId="17645"/>
    <cellStyle name="Normal 5 6 2 4 3 2 2 2 2 2" xfId="41066"/>
    <cellStyle name="Normal 5 6 2 4 3 2 2 2 3" xfId="34434"/>
    <cellStyle name="Normal 5 6 2 4 3 2 2 3" xfId="14329"/>
    <cellStyle name="Normal 5 6 2 4 3 2 2 3 2" xfId="37750"/>
    <cellStyle name="Normal 5 6 2 4 3 2 2 4" xfId="22960"/>
    <cellStyle name="Normal 5 6 2 4 3 2 2 4 2" xfId="45382"/>
    <cellStyle name="Normal 5 6 2 4 3 2 2 5" xfId="31118"/>
    <cellStyle name="Normal 5 6 2 4 3 2 3" xfId="9283"/>
    <cellStyle name="Normal 5 6 2 4 3 2 3 2" xfId="15987"/>
    <cellStyle name="Normal 5 6 2 4 3 2 3 2 2" xfId="39408"/>
    <cellStyle name="Normal 5 6 2 4 3 2 3 3" xfId="32776"/>
    <cellStyle name="Normal 5 6 2 4 3 2 4" xfId="12671"/>
    <cellStyle name="Normal 5 6 2 4 3 2 4 2" xfId="36092"/>
    <cellStyle name="Normal 5 6 2 4 3 2 5" xfId="20132"/>
    <cellStyle name="Normal 5 6 2 4 3 2 5 2" xfId="42667"/>
    <cellStyle name="Normal 5 6 2 4 3 2 6" xfId="29460"/>
    <cellStyle name="Normal 5 6 2 4 3 3" xfId="6713"/>
    <cellStyle name="Normal 5 6 2 4 3 3 2" xfId="10045"/>
    <cellStyle name="Normal 5 6 2 4 3 3 2 2" xfId="16749"/>
    <cellStyle name="Normal 5 6 2 4 3 3 2 2 2" xfId="40170"/>
    <cellStyle name="Normal 5 6 2 4 3 3 2 3" xfId="33538"/>
    <cellStyle name="Normal 5 6 2 4 3 3 3" xfId="13433"/>
    <cellStyle name="Normal 5 6 2 4 3 3 3 2" xfId="36854"/>
    <cellStyle name="Normal 5 6 2 4 3 3 4" xfId="21415"/>
    <cellStyle name="Normal 5 6 2 4 3 3 4 2" xfId="43866"/>
    <cellStyle name="Normal 5 6 2 4 3 3 5" xfId="30222"/>
    <cellStyle name="Normal 5 6 2 4 3 4" xfId="8379"/>
    <cellStyle name="Normal 5 6 2 4 3 4 2" xfId="15091"/>
    <cellStyle name="Normal 5 6 2 4 3 4 2 2" xfId="38512"/>
    <cellStyle name="Normal 5 6 2 4 3 4 3" xfId="22143"/>
    <cellStyle name="Normal 5 6 2 4 3 4 3 2" xfId="44567"/>
    <cellStyle name="Normal 5 6 2 4 3 4 4" xfId="31880"/>
    <cellStyle name="Normal 5 6 2 4 3 5" xfId="11773"/>
    <cellStyle name="Normal 5 6 2 4 3 5 2" xfId="35196"/>
    <cellStyle name="Normal 5 6 2 4 3 6" xfId="19282"/>
    <cellStyle name="Normal 5 6 2 4 3 6 2" xfId="41835"/>
    <cellStyle name="Normal 5 6 2 4 3 7" xfId="28564"/>
    <cellStyle name="Normal 5 6 2 4 4" xfId="4120"/>
    <cellStyle name="Normal 5 6 2 4 4 2" xfId="7084"/>
    <cellStyle name="Normal 5 6 2 4 4 2 2" xfId="10416"/>
    <cellStyle name="Normal 5 6 2 4 4 2 2 2" xfId="17120"/>
    <cellStyle name="Normal 5 6 2 4 4 2 2 2 2" xfId="40541"/>
    <cellStyle name="Normal 5 6 2 4 4 2 2 3" xfId="33909"/>
    <cellStyle name="Normal 5 6 2 4 4 2 3" xfId="13804"/>
    <cellStyle name="Normal 5 6 2 4 4 2 3 2" xfId="37225"/>
    <cellStyle name="Normal 5 6 2 4 4 2 4" xfId="22555"/>
    <cellStyle name="Normal 5 6 2 4 4 2 4 2" xfId="44977"/>
    <cellStyle name="Normal 5 6 2 4 4 2 5" xfId="30593"/>
    <cellStyle name="Normal 5 6 2 4 4 3" xfId="8751"/>
    <cellStyle name="Normal 5 6 2 4 4 3 2" xfId="15462"/>
    <cellStyle name="Normal 5 6 2 4 4 3 2 2" xfId="38883"/>
    <cellStyle name="Normal 5 6 2 4 4 3 3" xfId="32251"/>
    <cellStyle name="Normal 5 6 2 4 4 4" xfId="12144"/>
    <cellStyle name="Normal 5 6 2 4 4 4 2" xfId="35567"/>
    <cellStyle name="Normal 5 6 2 4 4 5" xfId="19714"/>
    <cellStyle name="Normal 5 6 2 4 4 5 2" xfId="42251"/>
    <cellStyle name="Normal 5 6 2 4 4 6" xfId="28935"/>
    <cellStyle name="Normal 5 6 2 4 5" xfId="6240"/>
    <cellStyle name="Normal 5 6 2 4 5 2" xfId="9574"/>
    <cellStyle name="Normal 5 6 2 4 5 2 2" xfId="16278"/>
    <cellStyle name="Normal 5 6 2 4 5 2 2 2" xfId="39699"/>
    <cellStyle name="Normal 5 6 2 4 5 2 3" xfId="33067"/>
    <cellStyle name="Normal 5 6 2 4 5 3" xfId="12962"/>
    <cellStyle name="Normal 5 6 2 4 5 3 2" xfId="36383"/>
    <cellStyle name="Normal 5 6 2 4 5 4" xfId="20956"/>
    <cellStyle name="Normal 5 6 2 4 5 4 2" xfId="43407"/>
    <cellStyle name="Normal 5 6 2 4 5 5" xfId="29751"/>
    <cellStyle name="Normal 5 6 2 4 6" xfId="7906"/>
    <cellStyle name="Normal 5 6 2 4 6 2" xfId="14620"/>
    <cellStyle name="Normal 5 6 2 4 6 2 2" xfId="38041"/>
    <cellStyle name="Normal 5 6 2 4 6 3" xfId="21705"/>
    <cellStyle name="Normal 5 6 2 4 6 3 2" xfId="44154"/>
    <cellStyle name="Normal 5 6 2 4 6 4" xfId="31409"/>
    <cellStyle name="Normal 5 6 2 4 7" xfId="11302"/>
    <cellStyle name="Normal 5 6 2 4 7 2" xfId="34725"/>
    <cellStyle name="Normal 5 6 2 4 8" xfId="18095"/>
    <cellStyle name="Normal 5 6 2 4 8 2" xfId="41383"/>
    <cellStyle name="Normal 5 6 2 4 9" xfId="23700"/>
    <cellStyle name="Normal 5 6 2 4 9 2" xfId="45989"/>
    <cellStyle name="Normal 5 6 2 5" xfId="2345"/>
    <cellStyle name="Normal 5 6 2 5 2" xfId="5583"/>
    <cellStyle name="Normal 5 6 2 5 2 2" xfId="7406"/>
    <cellStyle name="Normal 5 6 2 5 2 2 2" xfId="10737"/>
    <cellStyle name="Normal 5 6 2 5 2 2 2 2" xfId="17441"/>
    <cellStyle name="Normal 5 6 2 5 2 2 2 2 2" xfId="40862"/>
    <cellStyle name="Normal 5 6 2 5 2 2 2 3" xfId="23158"/>
    <cellStyle name="Normal 5 6 2 5 2 2 2 3 2" xfId="45580"/>
    <cellStyle name="Normal 5 6 2 5 2 2 2 4" xfId="34230"/>
    <cellStyle name="Normal 5 6 2 5 2 2 3" xfId="14125"/>
    <cellStyle name="Normal 5 6 2 5 2 2 3 2" xfId="37546"/>
    <cellStyle name="Normal 5 6 2 5 2 2 4" xfId="20333"/>
    <cellStyle name="Normal 5 6 2 5 2 2 4 2" xfId="42868"/>
    <cellStyle name="Normal 5 6 2 5 2 2 5" xfId="30914"/>
    <cellStyle name="Normal 5 6 2 5 2 3" xfId="9079"/>
    <cellStyle name="Normal 5 6 2 5 2 3 2" xfId="15783"/>
    <cellStyle name="Normal 5 6 2 5 2 3 2 2" xfId="39204"/>
    <cellStyle name="Normal 5 6 2 5 2 3 3" xfId="21417"/>
    <cellStyle name="Normal 5 6 2 5 2 3 3 2" xfId="43868"/>
    <cellStyle name="Normal 5 6 2 5 2 3 4" xfId="32572"/>
    <cellStyle name="Normal 5 6 2 5 2 4" xfId="12467"/>
    <cellStyle name="Normal 5 6 2 5 2 4 2" xfId="22346"/>
    <cellStyle name="Normal 5 6 2 5 2 4 2 2" xfId="44768"/>
    <cellStyle name="Normal 5 6 2 5 2 4 3" xfId="35888"/>
    <cellStyle name="Normal 5 6 2 5 2 5" xfId="19494"/>
    <cellStyle name="Normal 5 6 2 5 2 5 2" xfId="42036"/>
    <cellStyle name="Normal 5 6 2 5 2 6" xfId="29256"/>
    <cellStyle name="Normal 5 6 2 5 3" xfId="6505"/>
    <cellStyle name="Normal 5 6 2 5 3 2" xfId="9839"/>
    <cellStyle name="Normal 5 6 2 5 3 2 2" xfId="16543"/>
    <cellStyle name="Normal 5 6 2 5 3 2 2 2" xfId="39964"/>
    <cellStyle name="Normal 5 6 2 5 3 2 3" xfId="22753"/>
    <cellStyle name="Normal 5 6 2 5 3 2 3 2" xfId="45175"/>
    <cellStyle name="Normal 5 6 2 5 3 2 4" xfId="33332"/>
    <cellStyle name="Normal 5 6 2 5 3 3" xfId="13227"/>
    <cellStyle name="Normal 5 6 2 5 3 3 2" xfId="36648"/>
    <cellStyle name="Normal 5 6 2 5 3 4" xfId="19917"/>
    <cellStyle name="Normal 5 6 2 5 3 4 2" xfId="42452"/>
    <cellStyle name="Normal 5 6 2 5 3 5" xfId="30016"/>
    <cellStyle name="Normal 5 6 2 5 4" xfId="8172"/>
    <cellStyle name="Normal 5 6 2 5 4 2" xfId="14885"/>
    <cellStyle name="Normal 5 6 2 5 4 2 2" xfId="38306"/>
    <cellStyle name="Normal 5 6 2 5 4 3" xfId="20958"/>
    <cellStyle name="Normal 5 6 2 5 4 3 2" xfId="43409"/>
    <cellStyle name="Normal 5 6 2 5 4 4" xfId="31674"/>
    <cellStyle name="Normal 5 6 2 5 5" xfId="11567"/>
    <cellStyle name="Normal 5 6 2 5 5 2" xfId="21922"/>
    <cellStyle name="Normal 5 6 2 5 5 2 2" xfId="44354"/>
    <cellStyle name="Normal 5 6 2 5 5 3" xfId="34990"/>
    <cellStyle name="Normal 5 6 2 5 6" xfId="18788"/>
    <cellStyle name="Normal 5 6 2 5 6 2" xfId="41611"/>
    <cellStyle name="Normal 5 6 2 5 7" xfId="25924"/>
    <cellStyle name="Normal 5 6 2 5 7 2" xfId="48169"/>
    <cellStyle name="Normal 5 6 2 5 8" xfId="28358"/>
    <cellStyle name="Normal 5 6 2 6" xfId="2606"/>
    <cellStyle name="Normal 5 6 2 6 2" xfId="5699"/>
    <cellStyle name="Normal 5 6 2 6 2 2" xfId="7481"/>
    <cellStyle name="Normal 5 6 2 6 2 2 2" xfId="10810"/>
    <cellStyle name="Normal 5 6 2 6 2 2 2 2" xfId="17514"/>
    <cellStyle name="Normal 5 6 2 6 2 2 2 2 2" xfId="40935"/>
    <cellStyle name="Normal 5 6 2 6 2 2 2 3" xfId="34303"/>
    <cellStyle name="Normal 5 6 2 6 2 2 3" xfId="14198"/>
    <cellStyle name="Normal 5 6 2 6 2 2 3 2" xfId="37619"/>
    <cellStyle name="Normal 5 6 2 6 2 2 4" xfId="20607"/>
    <cellStyle name="Normal 5 6 2 6 2 2 4 2" xfId="43058"/>
    <cellStyle name="Normal 5 6 2 6 2 2 5" xfId="30987"/>
    <cellStyle name="Normal 5 6 2 6 2 3" xfId="9152"/>
    <cellStyle name="Normal 5 6 2 6 2 3 2" xfId="15856"/>
    <cellStyle name="Normal 5 6 2 6 2 3 2 2" xfId="39277"/>
    <cellStyle name="Normal 5 6 2 6 2 3 3" xfId="21525"/>
    <cellStyle name="Normal 5 6 2 6 2 3 3 2" xfId="43976"/>
    <cellStyle name="Normal 5 6 2 6 2 3 4" xfId="32645"/>
    <cellStyle name="Normal 5 6 2 6 2 4" xfId="12540"/>
    <cellStyle name="Normal 5 6 2 6 2 4 2" xfId="22953"/>
    <cellStyle name="Normal 5 6 2 6 2 4 2 2" xfId="45375"/>
    <cellStyle name="Normal 5 6 2 6 2 4 3" xfId="35961"/>
    <cellStyle name="Normal 5 6 2 6 2 5" xfId="20125"/>
    <cellStyle name="Normal 5 6 2 6 2 5 2" xfId="42660"/>
    <cellStyle name="Normal 5 6 2 6 2 6" xfId="29329"/>
    <cellStyle name="Normal 5 6 2 6 3" xfId="6582"/>
    <cellStyle name="Normal 5 6 2 6 3 2" xfId="9914"/>
    <cellStyle name="Normal 5 6 2 6 3 2 2" xfId="16618"/>
    <cellStyle name="Normal 5 6 2 6 3 2 2 2" xfId="40039"/>
    <cellStyle name="Normal 5 6 2 6 3 2 3" xfId="33407"/>
    <cellStyle name="Normal 5 6 2 6 3 3" xfId="13302"/>
    <cellStyle name="Normal 5 6 2 6 3 3 2" xfId="36723"/>
    <cellStyle name="Normal 5 6 2 6 3 4" xfId="20509"/>
    <cellStyle name="Normal 5 6 2 6 3 4 2" xfId="42962"/>
    <cellStyle name="Normal 5 6 2 6 3 5" xfId="30091"/>
    <cellStyle name="Normal 5 6 2 6 4" xfId="8248"/>
    <cellStyle name="Normal 5 6 2 6 4 2" xfId="14960"/>
    <cellStyle name="Normal 5 6 2 6 4 2 2" xfId="38381"/>
    <cellStyle name="Normal 5 6 2 6 4 3" xfId="21066"/>
    <cellStyle name="Normal 5 6 2 6 4 3 2" xfId="43517"/>
    <cellStyle name="Normal 5 6 2 6 4 4" xfId="31749"/>
    <cellStyle name="Normal 5 6 2 6 5" xfId="11642"/>
    <cellStyle name="Normal 5 6 2 6 5 2" xfId="22136"/>
    <cellStyle name="Normal 5 6 2 6 5 2 2" xfId="44560"/>
    <cellStyle name="Normal 5 6 2 6 5 3" xfId="35065"/>
    <cellStyle name="Normal 5 6 2 6 6" xfId="19275"/>
    <cellStyle name="Normal 5 6 2 6 6 2" xfId="41828"/>
    <cellStyle name="Normal 5 6 2 6 7" xfId="28433"/>
    <cellStyle name="Normal 5 6 2 7" xfId="4113"/>
    <cellStyle name="Normal 5 6 2 7 2" xfId="7077"/>
    <cellStyle name="Normal 5 6 2 7 2 2" xfId="10409"/>
    <cellStyle name="Normal 5 6 2 7 2 2 2" xfId="17113"/>
    <cellStyle name="Normal 5 6 2 7 2 2 2 2" xfId="40534"/>
    <cellStyle name="Normal 5 6 2 7 2 2 3" xfId="33902"/>
    <cellStyle name="Normal 5 6 2 7 2 3" xfId="13797"/>
    <cellStyle name="Normal 5 6 2 7 2 3 2" xfId="37218"/>
    <cellStyle name="Normal 5 6 2 7 2 4" xfId="20558"/>
    <cellStyle name="Normal 5 6 2 7 2 4 2" xfId="43009"/>
    <cellStyle name="Normal 5 6 2 7 2 5" xfId="30586"/>
    <cellStyle name="Normal 5 6 2 7 3" xfId="8744"/>
    <cellStyle name="Normal 5 6 2 7 3 2" xfId="15455"/>
    <cellStyle name="Normal 5 6 2 7 3 2 2" xfId="38876"/>
    <cellStyle name="Normal 5 6 2 7 3 3" xfId="21402"/>
    <cellStyle name="Normal 5 6 2 7 3 3 2" xfId="43853"/>
    <cellStyle name="Normal 5 6 2 7 3 4" xfId="32244"/>
    <cellStyle name="Normal 5 6 2 7 4" xfId="12137"/>
    <cellStyle name="Normal 5 6 2 7 4 2" xfId="22548"/>
    <cellStyle name="Normal 5 6 2 7 4 2 2" xfId="44970"/>
    <cellStyle name="Normal 5 6 2 7 4 3" xfId="35560"/>
    <cellStyle name="Normal 5 6 2 7 5" xfId="19707"/>
    <cellStyle name="Normal 5 6 2 7 5 2" xfId="42244"/>
    <cellStyle name="Normal 5 6 2 7 6" xfId="28928"/>
    <cellStyle name="Normal 5 6 2 8" xfId="6109"/>
    <cellStyle name="Normal 5 6 2 8 2" xfId="9443"/>
    <cellStyle name="Normal 5 6 2 8 2 2" xfId="16147"/>
    <cellStyle name="Normal 5 6 2 8 2 2 2" xfId="39568"/>
    <cellStyle name="Normal 5 6 2 8 2 3" xfId="32936"/>
    <cellStyle name="Normal 5 6 2 8 3" xfId="12831"/>
    <cellStyle name="Normal 5 6 2 8 3 2" xfId="36252"/>
    <cellStyle name="Normal 5 6 2 8 4" xfId="20460"/>
    <cellStyle name="Normal 5 6 2 8 4 2" xfId="42913"/>
    <cellStyle name="Normal 5 6 2 8 5" xfId="29620"/>
    <cellStyle name="Normal 5 6 2 9" xfId="7775"/>
    <cellStyle name="Normal 5 6 2 9 2" xfId="14489"/>
    <cellStyle name="Normal 5 6 2 9 2 2" xfId="37910"/>
    <cellStyle name="Normal 5 6 2 9 3" xfId="20943"/>
    <cellStyle name="Normal 5 6 2 9 3 2" xfId="43394"/>
    <cellStyle name="Normal 5 6 2 9 4" xfId="31278"/>
    <cellStyle name="Normal 5 6 3" xfId="1434"/>
    <cellStyle name="Normal 5 6 3 10" xfId="18096"/>
    <cellStyle name="Normal 5 6 3 10 2" xfId="41384"/>
    <cellStyle name="Normal 5 6 3 11" xfId="23701"/>
    <cellStyle name="Normal 5 6 3 11 2" xfId="45990"/>
    <cellStyle name="Normal 5 6 3 12" xfId="27970"/>
    <cellStyle name="Normal 5 6 3 2" xfId="1633"/>
    <cellStyle name="Normal 5 6 3 2 10" xfId="23702"/>
    <cellStyle name="Normal 5 6 3 2 10 2" xfId="45991"/>
    <cellStyle name="Normal 5 6 3 2 11" xfId="28051"/>
    <cellStyle name="Normal 5 6 3 2 2" xfId="1830"/>
    <cellStyle name="Normal 5 6 3 2 2 10" xfId="28182"/>
    <cellStyle name="Normal 5 6 3 2 2 2" xfId="2355"/>
    <cellStyle name="Normal 5 6 3 2 2 2 2" xfId="5593"/>
    <cellStyle name="Normal 5 6 3 2 2 2 2 2" xfId="7416"/>
    <cellStyle name="Normal 5 6 3 2 2 2 2 2 2" xfId="10747"/>
    <cellStyle name="Normal 5 6 3 2 2 2 2 2 2 2" xfId="17451"/>
    <cellStyle name="Normal 5 6 3 2 2 2 2 2 2 2 2" xfId="40872"/>
    <cellStyle name="Normal 5 6 3 2 2 2 2 2 2 3" xfId="23168"/>
    <cellStyle name="Normal 5 6 3 2 2 2 2 2 2 3 2" xfId="45590"/>
    <cellStyle name="Normal 5 6 3 2 2 2 2 2 2 4" xfId="34240"/>
    <cellStyle name="Normal 5 6 3 2 2 2 2 2 3" xfId="14135"/>
    <cellStyle name="Normal 5 6 3 2 2 2 2 2 3 2" xfId="37556"/>
    <cellStyle name="Normal 5 6 3 2 2 2 2 2 4" xfId="20343"/>
    <cellStyle name="Normal 5 6 3 2 2 2 2 2 4 2" xfId="42878"/>
    <cellStyle name="Normal 5 6 3 2 2 2 2 2 5" xfId="30924"/>
    <cellStyle name="Normal 5 6 3 2 2 2 2 3" xfId="9089"/>
    <cellStyle name="Normal 5 6 3 2 2 2 2 3 2" xfId="15793"/>
    <cellStyle name="Normal 5 6 3 2 2 2 2 3 2 2" xfId="39214"/>
    <cellStyle name="Normal 5 6 3 2 2 2 2 3 3" xfId="21421"/>
    <cellStyle name="Normal 5 6 3 2 2 2 2 3 3 2" xfId="43872"/>
    <cellStyle name="Normal 5 6 3 2 2 2 2 3 4" xfId="32582"/>
    <cellStyle name="Normal 5 6 3 2 2 2 2 4" xfId="12477"/>
    <cellStyle name="Normal 5 6 3 2 2 2 2 4 2" xfId="22356"/>
    <cellStyle name="Normal 5 6 3 2 2 2 2 4 2 2" xfId="44778"/>
    <cellStyle name="Normal 5 6 3 2 2 2 2 4 3" xfId="35898"/>
    <cellStyle name="Normal 5 6 3 2 2 2 2 5" xfId="19504"/>
    <cellStyle name="Normal 5 6 3 2 2 2 2 5 2" xfId="42046"/>
    <cellStyle name="Normal 5 6 3 2 2 2 2 6" xfId="29266"/>
    <cellStyle name="Normal 5 6 3 2 2 2 3" xfId="6515"/>
    <cellStyle name="Normal 5 6 3 2 2 2 3 2" xfId="9849"/>
    <cellStyle name="Normal 5 6 3 2 2 2 3 2 2" xfId="16553"/>
    <cellStyle name="Normal 5 6 3 2 2 2 3 2 2 2" xfId="39974"/>
    <cellStyle name="Normal 5 6 3 2 2 2 3 2 3" xfId="22763"/>
    <cellStyle name="Normal 5 6 3 2 2 2 3 2 3 2" xfId="45185"/>
    <cellStyle name="Normal 5 6 3 2 2 2 3 2 4" xfId="33342"/>
    <cellStyle name="Normal 5 6 3 2 2 2 3 3" xfId="13237"/>
    <cellStyle name="Normal 5 6 3 2 2 2 3 3 2" xfId="36658"/>
    <cellStyle name="Normal 5 6 3 2 2 2 3 4" xfId="19927"/>
    <cellStyle name="Normal 5 6 3 2 2 2 3 4 2" xfId="42462"/>
    <cellStyle name="Normal 5 6 3 2 2 2 3 5" xfId="30026"/>
    <cellStyle name="Normal 5 6 3 2 2 2 4" xfId="8182"/>
    <cellStyle name="Normal 5 6 3 2 2 2 4 2" xfId="14895"/>
    <cellStyle name="Normal 5 6 3 2 2 2 4 2 2" xfId="38316"/>
    <cellStyle name="Normal 5 6 3 2 2 2 4 3" xfId="20962"/>
    <cellStyle name="Normal 5 6 3 2 2 2 4 3 2" xfId="43413"/>
    <cellStyle name="Normal 5 6 3 2 2 2 4 4" xfId="31684"/>
    <cellStyle name="Normal 5 6 3 2 2 2 5" xfId="11577"/>
    <cellStyle name="Normal 5 6 3 2 2 2 5 2" xfId="21932"/>
    <cellStyle name="Normal 5 6 3 2 2 2 5 2 2" xfId="44364"/>
    <cellStyle name="Normal 5 6 3 2 2 2 5 3" xfId="35000"/>
    <cellStyle name="Normal 5 6 3 2 2 2 6" xfId="18798"/>
    <cellStyle name="Normal 5 6 3 2 2 2 6 2" xfId="41621"/>
    <cellStyle name="Normal 5 6 3 2 2 2 7" xfId="25934"/>
    <cellStyle name="Normal 5 6 3 2 2 2 7 2" xfId="48179"/>
    <cellStyle name="Normal 5 6 3 2 2 2 8" xfId="28368"/>
    <cellStyle name="Normal 5 6 3 2 2 3" xfId="2827"/>
    <cellStyle name="Normal 5 6 3 2 2 3 2" xfId="5919"/>
    <cellStyle name="Normal 5 6 3 2 2 3 2 2" xfId="7701"/>
    <cellStyle name="Normal 5 6 3 2 2 3 2 2 2" xfId="11030"/>
    <cellStyle name="Normal 5 6 3 2 2 3 2 2 2 2" xfId="17734"/>
    <cellStyle name="Normal 5 6 3 2 2 3 2 2 2 2 2" xfId="41155"/>
    <cellStyle name="Normal 5 6 3 2 2 3 2 2 2 3" xfId="34523"/>
    <cellStyle name="Normal 5 6 3 2 2 3 2 2 3" xfId="14418"/>
    <cellStyle name="Normal 5 6 3 2 2 3 2 2 3 2" xfId="37839"/>
    <cellStyle name="Normal 5 6 3 2 2 3 2 2 4" xfId="22963"/>
    <cellStyle name="Normal 5 6 3 2 2 3 2 2 4 2" xfId="45385"/>
    <cellStyle name="Normal 5 6 3 2 2 3 2 2 5" xfId="31207"/>
    <cellStyle name="Normal 5 6 3 2 2 3 2 3" xfId="9372"/>
    <cellStyle name="Normal 5 6 3 2 2 3 2 3 2" xfId="16076"/>
    <cellStyle name="Normal 5 6 3 2 2 3 2 3 2 2" xfId="39497"/>
    <cellStyle name="Normal 5 6 3 2 2 3 2 3 3" xfId="32865"/>
    <cellStyle name="Normal 5 6 3 2 2 3 2 4" xfId="12760"/>
    <cellStyle name="Normal 5 6 3 2 2 3 2 4 2" xfId="36181"/>
    <cellStyle name="Normal 5 6 3 2 2 3 2 5" xfId="20135"/>
    <cellStyle name="Normal 5 6 3 2 2 3 2 5 2" xfId="42670"/>
    <cellStyle name="Normal 5 6 3 2 2 3 2 6" xfId="29549"/>
    <cellStyle name="Normal 5 6 3 2 2 3 3" xfId="6802"/>
    <cellStyle name="Normal 5 6 3 2 2 3 3 2" xfId="10134"/>
    <cellStyle name="Normal 5 6 3 2 2 3 3 2 2" xfId="16838"/>
    <cellStyle name="Normal 5 6 3 2 2 3 3 2 2 2" xfId="40259"/>
    <cellStyle name="Normal 5 6 3 2 2 3 3 2 3" xfId="33627"/>
    <cellStyle name="Normal 5 6 3 2 2 3 3 3" xfId="13522"/>
    <cellStyle name="Normal 5 6 3 2 2 3 3 3 2" xfId="36943"/>
    <cellStyle name="Normal 5 6 3 2 2 3 3 4" xfId="21420"/>
    <cellStyle name="Normal 5 6 3 2 2 3 3 4 2" xfId="43871"/>
    <cellStyle name="Normal 5 6 3 2 2 3 3 5" xfId="30311"/>
    <cellStyle name="Normal 5 6 3 2 2 3 4" xfId="8468"/>
    <cellStyle name="Normal 5 6 3 2 2 3 4 2" xfId="15180"/>
    <cellStyle name="Normal 5 6 3 2 2 3 4 2 2" xfId="38601"/>
    <cellStyle name="Normal 5 6 3 2 2 3 4 3" xfId="22146"/>
    <cellStyle name="Normal 5 6 3 2 2 3 4 3 2" xfId="44570"/>
    <cellStyle name="Normal 5 6 3 2 2 3 4 4" xfId="31969"/>
    <cellStyle name="Normal 5 6 3 2 2 3 5" xfId="11862"/>
    <cellStyle name="Normal 5 6 3 2 2 3 5 2" xfId="35285"/>
    <cellStyle name="Normal 5 6 3 2 2 3 6" xfId="19285"/>
    <cellStyle name="Normal 5 6 3 2 2 3 6 2" xfId="41838"/>
    <cellStyle name="Normal 5 6 3 2 2 3 7" xfId="28653"/>
    <cellStyle name="Normal 5 6 3 2 2 4" xfId="4123"/>
    <cellStyle name="Normal 5 6 3 2 2 4 2" xfId="7087"/>
    <cellStyle name="Normal 5 6 3 2 2 4 2 2" xfId="10419"/>
    <cellStyle name="Normal 5 6 3 2 2 4 2 2 2" xfId="17123"/>
    <cellStyle name="Normal 5 6 3 2 2 4 2 2 2 2" xfId="40544"/>
    <cellStyle name="Normal 5 6 3 2 2 4 2 2 3" xfId="33912"/>
    <cellStyle name="Normal 5 6 3 2 2 4 2 3" xfId="13807"/>
    <cellStyle name="Normal 5 6 3 2 2 4 2 3 2" xfId="37228"/>
    <cellStyle name="Normal 5 6 3 2 2 4 2 4" xfId="22558"/>
    <cellStyle name="Normal 5 6 3 2 2 4 2 4 2" xfId="44980"/>
    <cellStyle name="Normal 5 6 3 2 2 4 2 5" xfId="30596"/>
    <cellStyle name="Normal 5 6 3 2 2 4 3" xfId="8754"/>
    <cellStyle name="Normal 5 6 3 2 2 4 3 2" xfId="15465"/>
    <cellStyle name="Normal 5 6 3 2 2 4 3 2 2" xfId="38886"/>
    <cellStyle name="Normal 5 6 3 2 2 4 3 3" xfId="32254"/>
    <cellStyle name="Normal 5 6 3 2 2 4 4" xfId="12147"/>
    <cellStyle name="Normal 5 6 3 2 2 4 4 2" xfId="35570"/>
    <cellStyle name="Normal 5 6 3 2 2 4 5" xfId="19717"/>
    <cellStyle name="Normal 5 6 3 2 2 4 5 2" xfId="42254"/>
    <cellStyle name="Normal 5 6 3 2 2 4 6" xfId="28938"/>
    <cellStyle name="Normal 5 6 3 2 2 5" xfId="6329"/>
    <cellStyle name="Normal 5 6 3 2 2 5 2" xfId="9663"/>
    <cellStyle name="Normal 5 6 3 2 2 5 2 2" xfId="16367"/>
    <cellStyle name="Normal 5 6 3 2 2 5 2 2 2" xfId="39788"/>
    <cellStyle name="Normal 5 6 3 2 2 5 2 3" xfId="33156"/>
    <cellStyle name="Normal 5 6 3 2 2 5 3" xfId="13051"/>
    <cellStyle name="Normal 5 6 3 2 2 5 3 2" xfId="36472"/>
    <cellStyle name="Normal 5 6 3 2 2 5 4" xfId="20961"/>
    <cellStyle name="Normal 5 6 3 2 2 5 4 2" xfId="43412"/>
    <cellStyle name="Normal 5 6 3 2 2 5 5" xfId="29840"/>
    <cellStyle name="Normal 5 6 3 2 2 6" xfId="7995"/>
    <cellStyle name="Normal 5 6 3 2 2 6 2" xfId="14709"/>
    <cellStyle name="Normal 5 6 3 2 2 6 2 2" xfId="38130"/>
    <cellStyle name="Normal 5 6 3 2 2 6 3" xfId="21708"/>
    <cellStyle name="Normal 5 6 3 2 2 6 3 2" xfId="44157"/>
    <cellStyle name="Normal 5 6 3 2 2 6 4" xfId="31498"/>
    <cellStyle name="Normal 5 6 3 2 2 7" xfId="11391"/>
    <cellStyle name="Normal 5 6 3 2 2 7 2" xfId="34814"/>
    <cellStyle name="Normal 5 6 3 2 2 8" xfId="18098"/>
    <cellStyle name="Normal 5 6 3 2 2 8 2" xfId="41386"/>
    <cellStyle name="Normal 5 6 3 2 2 9" xfId="23703"/>
    <cellStyle name="Normal 5 6 3 2 2 9 2" xfId="45992"/>
    <cellStyle name="Normal 5 6 3 2 3" xfId="2354"/>
    <cellStyle name="Normal 5 6 3 2 3 2" xfId="5592"/>
    <cellStyle name="Normal 5 6 3 2 3 2 2" xfId="7415"/>
    <cellStyle name="Normal 5 6 3 2 3 2 2 2" xfId="10746"/>
    <cellStyle name="Normal 5 6 3 2 3 2 2 2 2" xfId="17450"/>
    <cellStyle name="Normal 5 6 3 2 3 2 2 2 2 2" xfId="40871"/>
    <cellStyle name="Normal 5 6 3 2 3 2 2 2 3" xfId="23167"/>
    <cellStyle name="Normal 5 6 3 2 3 2 2 2 3 2" xfId="45589"/>
    <cellStyle name="Normal 5 6 3 2 3 2 2 2 4" xfId="34239"/>
    <cellStyle name="Normal 5 6 3 2 3 2 2 3" xfId="14134"/>
    <cellStyle name="Normal 5 6 3 2 3 2 2 3 2" xfId="37555"/>
    <cellStyle name="Normal 5 6 3 2 3 2 2 4" xfId="20342"/>
    <cellStyle name="Normal 5 6 3 2 3 2 2 4 2" xfId="42877"/>
    <cellStyle name="Normal 5 6 3 2 3 2 2 5" xfId="30923"/>
    <cellStyle name="Normal 5 6 3 2 3 2 3" xfId="9088"/>
    <cellStyle name="Normal 5 6 3 2 3 2 3 2" xfId="15792"/>
    <cellStyle name="Normal 5 6 3 2 3 2 3 2 2" xfId="39213"/>
    <cellStyle name="Normal 5 6 3 2 3 2 3 3" xfId="21422"/>
    <cellStyle name="Normal 5 6 3 2 3 2 3 3 2" xfId="43873"/>
    <cellStyle name="Normal 5 6 3 2 3 2 3 4" xfId="32581"/>
    <cellStyle name="Normal 5 6 3 2 3 2 4" xfId="12476"/>
    <cellStyle name="Normal 5 6 3 2 3 2 4 2" xfId="22355"/>
    <cellStyle name="Normal 5 6 3 2 3 2 4 2 2" xfId="44777"/>
    <cellStyle name="Normal 5 6 3 2 3 2 4 3" xfId="35897"/>
    <cellStyle name="Normal 5 6 3 2 3 2 5" xfId="19503"/>
    <cellStyle name="Normal 5 6 3 2 3 2 5 2" xfId="42045"/>
    <cellStyle name="Normal 5 6 3 2 3 2 6" xfId="29265"/>
    <cellStyle name="Normal 5 6 3 2 3 3" xfId="6514"/>
    <cellStyle name="Normal 5 6 3 2 3 3 2" xfId="9848"/>
    <cellStyle name="Normal 5 6 3 2 3 3 2 2" xfId="16552"/>
    <cellStyle name="Normal 5 6 3 2 3 3 2 2 2" xfId="39973"/>
    <cellStyle name="Normal 5 6 3 2 3 3 2 3" xfId="22762"/>
    <cellStyle name="Normal 5 6 3 2 3 3 2 3 2" xfId="45184"/>
    <cellStyle name="Normal 5 6 3 2 3 3 2 4" xfId="33341"/>
    <cellStyle name="Normal 5 6 3 2 3 3 3" xfId="13236"/>
    <cellStyle name="Normal 5 6 3 2 3 3 3 2" xfId="36657"/>
    <cellStyle name="Normal 5 6 3 2 3 3 4" xfId="19926"/>
    <cellStyle name="Normal 5 6 3 2 3 3 4 2" xfId="42461"/>
    <cellStyle name="Normal 5 6 3 2 3 3 5" xfId="30025"/>
    <cellStyle name="Normal 5 6 3 2 3 4" xfId="8181"/>
    <cellStyle name="Normal 5 6 3 2 3 4 2" xfId="14894"/>
    <cellStyle name="Normal 5 6 3 2 3 4 2 2" xfId="38315"/>
    <cellStyle name="Normal 5 6 3 2 3 4 3" xfId="20963"/>
    <cellStyle name="Normal 5 6 3 2 3 4 3 2" xfId="43414"/>
    <cellStyle name="Normal 5 6 3 2 3 4 4" xfId="31683"/>
    <cellStyle name="Normal 5 6 3 2 3 5" xfId="11576"/>
    <cellStyle name="Normal 5 6 3 2 3 5 2" xfId="21931"/>
    <cellStyle name="Normal 5 6 3 2 3 5 2 2" xfId="44363"/>
    <cellStyle name="Normal 5 6 3 2 3 5 3" xfId="34999"/>
    <cellStyle name="Normal 5 6 3 2 3 6" xfId="18797"/>
    <cellStyle name="Normal 5 6 3 2 3 6 2" xfId="41620"/>
    <cellStyle name="Normal 5 6 3 2 3 7" xfId="25933"/>
    <cellStyle name="Normal 5 6 3 2 3 7 2" xfId="48178"/>
    <cellStyle name="Normal 5 6 3 2 3 8" xfId="28367"/>
    <cellStyle name="Normal 5 6 3 2 4" xfId="2695"/>
    <cellStyle name="Normal 5 6 3 2 4 2" xfId="5788"/>
    <cellStyle name="Normal 5 6 3 2 4 2 2" xfId="7570"/>
    <cellStyle name="Normal 5 6 3 2 4 2 2 2" xfId="10899"/>
    <cellStyle name="Normal 5 6 3 2 4 2 2 2 2" xfId="17603"/>
    <cellStyle name="Normal 5 6 3 2 4 2 2 2 2 2" xfId="41024"/>
    <cellStyle name="Normal 5 6 3 2 4 2 2 2 3" xfId="34392"/>
    <cellStyle name="Normal 5 6 3 2 4 2 2 3" xfId="14287"/>
    <cellStyle name="Normal 5 6 3 2 4 2 2 3 2" xfId="37708"/>
    <cellStyle name="Normal 5 6 3 2 4 2 2 4" xfId="22962"/>
    <cellStyle name="Normal 5 6 3 2 4 2 2 4 2" xfId="45384"/>
    <cellStyle name="Normal 5 6 3 2 4 2 2 5" xfId="31076"/>
    <cellStyle name="Normal 5 6 3 2 4 2 3" xfId="9241"/>
    <cellStyle name="Normal 5 6 3 2 4 2 3 2" xfId="15945"/>
    <cellStyle name="Normal 5 6 3 2 4 2 3 2 2" xfId="39366"/>
    <cellStyle name="Normal 5 6 3 2 4 2 3 3" xfId="32734"/>
    <cellStyle name="Normal 5 6 3 2 4 2 4" xfId="12629"/>
    <cellStyle name="Normal 5 6 3 2 4 2 4 2" xfId="36050"/>
    <cellStyle name="Normal 5 6 3 2 4 2 5" xfId="20134"/>
    <cellStyle name="Normal 5 6 3 2 4 2 5 2" xfId="42669"/>
    <cellStyle name="Normal 5 6 3 2 4 2 6" xfId="29418"/>
    <cellStyle name="Normal 5 6 3 2 4 3" xfId="6671"/>
    <cellStyle name="Normal 5 6 3 2 4 3 2" xfId="10003"/>
    <cellStyle name="Normal 5 6 3 2 4 3 2 2" xfId="16707"/>
    <cellStyle name="Normal 5 6 3 2 4 3 2 2 2" xfId="40128"/>
    <cellStyle name="Normal 5 6 3 2 4 3 2 3" xfId="33496"/>
    <cellStyle name="Normal 5 6 3 2 4 3 3" xfId="13391"/>
    <cellStyle name="Normal 5 6 3 2 4 3 3 2" xfId="36812"/>
    <cellStyle name="Normal 5 6 3 2 4 3 4" xfId="21419"/>
    <cellStyle name="Normal 5 6 3 2 4 3 4 2" xfId="43870"/>
    <cellStyle name="Normal 5 6 3 2 4 3 5" xfId="30180"/>
    <cellStyle name="Normal 5 6 3 2 4 4" xfId="8337"/>
    <cellStyle name="Normal 5 6 3 2 4 4 2" xfId="15049"/>
    <cellStyle name="Normal 5 6 3 2 4 4 2 2" xfId="38470"/>
    <cellStyle name="Normal 5 6 3 2 4 4 3" xfId="22145"/>
    <cellStyle name="Normal 5 6 3 2 4 4 3 2" xfId="44569"/>
    <cellStyle name="Normal 5 6 3 2 4 4 4" xfId="31838"/>
    <cellStyle name="Normal 5 6 3 2 4 5" xfId="11731"/>
    <cellStyle name="Normal 5 6 3 2 4 5 2" xfId="35154"/>
    <cellStyle name="Normal 5 6 3 2 4 6" xfId="19284"/>
    <cellStyle name="Normal 5 6 3 2 4 6 2" xfId="41837"/>
    <cellStyle name="Normal 5 6 3 2 4 7" xfId="28522"/>
    <cellStyle name="Normal 5 6 3 2 5" xfId="4122"/>
    <cellStyle name="Normal 5 6 3 2 5 2" xfId="7086"/>
    <cellStyle name="Normal 5 6 3 2 5 2 2" xfId="10418"/>
    <cellStyle name="Normal 5 6 3 2 5 2 2 2" xfId="17122"/>
    <cellStyle name="Normal 5 6 3 2 5 2 2 2 2" xfId="40543"/>
    <cellStyle name="Normal 5 6 3 2 5 2 2 3" xfId="33911"/>
    <cellStyle name="Normal 5 6 3 2 5 2 3" xfId="13806"/>
    <cellStyle name="Normal 5 6 3 2 5 2 3 2" xfId="37227"/>
    <cellStyle name="Normal 5 6 3 2 5 2 4" xfId="22557"/>
    <cellStyle name="Normal 5 6 3 2 5 2 4 2" xfId="44979"/>
    <cellStyle name="Normal 5 6 3 2 5 2 5" xfId="30595"/>
    <cellStyle name="Normal 5 6 3 2 5 3" xfId="8753"/>
    <cellStyle name="Normal 5 6 3 2 5 3 2" xfId="15464"/>
    <cellStyle name="Normal 5 6 3 2 5 3 2 2" xfId="38885"/>
    <cellStyle name="Normal 5 6 3 2 5 3 3" xfId="32253"/>
    <cellStyle name="Normal 5 6 3 2 5 4" xfId="12146"/>
    <cellStyle name="Normal 5 6 3 2 5 4 2" xfId="35569"/>
    <cellStyle name="Normal 5 6 3 2 5 5" xfId="19716"/>
    <cellStyle name="Normal 5 6 3 2 5 5 2" xfId="42253"/>
    <cellStyle name="Normal 5 6 3 2 5 6" xfId="28937"/>
    <cellStyle name="Normal 5 6 3 2 6" xfId="6198"/>
    <cellStyle name="Normal 5 6 3 2 6 2" xfId="9532"/>
    <cellStyle name="Normal 5 6 3 2 6 2 2" xfId="16236"/>
    <cellStyle name="Normal 5 6 3 2 6 2 2 2" xfId="39657"/>
    <cellStyle name="Normal 5 6 3 2 6 2 3" xfId="33025"/>
    <cellStyle name="Normal 5 6 3 2 6 3" xfId="12920"/>
    <cellStyle name="Normal 5 6 3 2 6 3 2" xfId="36341"/>
    <cellStyle name="Normal 5 6 3 2 6 4" xfId="20960"/>
    <cellStyle name="Normal 5 6 3 2 6 4 2" xfId="43411"/>
    <cellStyle name="Normal 5 6 3 2 6 5" xfId="29709"/>
    <cellStyle name="Normal 5 6 3 2 7" xfId="7864"/>
    <cellStyle name="Normal 5 6 3 2 7 2" xfId="14578"/>
    <cellStyle name="Normal 5 6 3 2 7 2 2" xfId="37999"/>
    <cellStyle name="Normal 5 6 3 2 7 3" xfId="21707"/>
    <cellStyle name="Normal 5 6 3 2 7 3 2" xfId="44156"/>
    <cellStyle name="Normal 5 6 3 2 7 4" xfId="31367"/>
    <cellStyle name="Normal 5 6 3 2 8" xfId="11260"/>
    <cellStyle name="Normal 5 6 3 2 8 2" xfId="34683"/>
    <cellStyle name="Normal 5 6 3 2 9" xfId="18097"/>
    <cellStyle name="Normal 5 6 3 2 9 2" xfId="41385"/>
    <cellStyle name="Normal 5 6 3 3" xfId="1749"/>
    <cellStyle name="Normal 5 6 3 3 10" xfId="28101"/>
    <cellStyle name="Normal 5 6 3 3 2" xfId="2356"/>
    <cellStyle name="Normal 5 6 3 3 2 2" xfId="5594"/>
    <cellStyle name="Normal 5 6 3 3 2 2 2" xfId="7417"/>
    <cellStyle name="Normal 5 6 3 3 2 2 2 2" xfId="10748"/>
    <cellStyle name="Normal 5 6 3 3 2 2 2 2 2" xfId="17452"/>
    <cellStyle name="Normal 5 6 3 3 2 2 2 2 2 2" xfId="40873"/>
    <cellStyle name="Normal 5 6 3 3 2 2 2 2 3" xfId="23169"/>
    <cellStyle name="Normal 5 6 3 3 2 2 2 2 3 2" xfId="45591"/>
    <cellStyle name="Normal 5 6 3 3 2 2 2 2 4" xfId="34241"/>
    <cellStyle name="Normal 5 6 3 3 2 2 2 3" xfId="14136"/>
    <cellStyle name="Normal 5 6 3 3 2 2 2 3 2" xfId="37557"/>
    <cellStyle name="Normal 5 6 3 3 2 2 2 4" xfId="20344"/>
    <cellStyle name="Normal 5 6 3 3 2 2 2 4 2" xfId="42879"/>
    <cellStyle name="Normal 5 6 3 3 2 2 2 5" xfId="30925"/>
    <cellStyle name="Normal 5 6 3 3 2 2 3" xfId="9090"/>
    <cellStyle name="Normal 5 6 3 3 2 2 3 2" xfId="15794"/>
    <cellStyle name="Normal 5 6 3 3 2 2 3 2 2" xfId="39215"/>
    <cellStyle name="Normal 5 6 3 3 2 2 3 3" xfId="21424"/>
    <cellStyle name="Normal 5 6 3 3 2 2 3 3 2" xfId="43875"/>
    <cellStyle name="Normal 5 6 3 3 2 2 3 4" xfId="32583"/>
    <cellStyle name="Normal 5 6 3 3 2 2 4" xfId="12478"/>
    <cellStyle name="Normal 5 6 3 3 2 2 4 2" xfId="22357"/>
    <cellStyle name="Normal 5 6 3 3 2 2 4 2 2" xfId="44779"/>
    <cellStyle name="Normal 5 6 3 3 2 2 4 3" xfId="35899"/>
    <cellStyle name="Normal 5 6 3 3 2 2 5" xfId="19505"/>
    <cellStyle name="Normal 5 6 3 3 2 2 5 2" xfId="42047"/>
    <cellStyle name="Normal 5 6 3 3 2 2 6" xfId="29267"/>
    <cellStyle name="Normal 5 6 3 3 2 3" xfId="6516"/>
    <cellStyle name="Normal 5 6 3 3 2 3 2" xfId="9850"/>
    <cellStyle name="Normal 5 6 3 3 2 3 2 2" xfId="16554"/>
    <cellStyle name="Normal 5 6 3 3 2 3 2 2 2" xfId="39975"/>
    <cellStyle name="Normal 5 6 3 3 2 3 2 3" xfId="22764"/>
    <cellStyle name="Normal 5 6 3 3 2 3 2 3 2" xfId="45186"/>
    <cellStyle name="Normal 5 6 3 3 2 3 2 4" xfId="33343"/>
    <cellStyle name="Normal 5 6 3 3 2 3 3" xfId="13238"/>
    <cellStyle name="Normal 5 6 3 3 2 3 3 2" xfId="36659"/>
    <cellStyle name="Normal 5 6 3 3 2 3 4" xfId="19928"/>
    <cellStyle name="Normal 5 6 3 3 2 3 4 2" xfId="42463"/>
    <cellStyle name="Normal 5 6 3 3 2 3 5" xfId="30027"/>
    <cellStyle name="Normal 5 6 3 3 2 4" xfId="8183"/>
    <cellStyle name="Normal 5 6 3 3 2 4 2" xfId="14896"/>
    <cellStyle name="Normal 5 6 3 3 2 4 2 2" xfId="38317"/>
    <cellStyle name="Normal 5 6 3 3 2 4 3" xfId="20965"/>
    <cellStyle name="Normal 5 6 3 3 2 4 3 2" xfId="43416"/>
    <cellStyle name="Normal 5 6 3 3 2 4 4" xfId="31685"/>
    <cellStyle name="Normal 5 6 3 3 2 5" xfId="11578"/>
    <cellStyle name="Normal 5 6 3 3 2 5 2" xfId="21933"/>
    <cellStyle name="Normal 5 6 3 3 2 5 2 2" xfId="44365"/>
    <cellStyle name="Normal 5 6 3 3 2 5 3" xfId="35001"/>
    <cellStyle name="Normal 5 6 3 3 2 6" xfId="18799"/>
    <cellStyle name="Normal 5 6 3 3 2 6 2" xfId="41622"/>
    <cellStyle name="Normal 5 6 3 3 2 7" xfId="25935"/>
    <cellStyle name="Normal 5 6 3 3 2 7 2" xfId="48180"/>
    <cellStyle name="Normal 5 6 3 3 2 8" xfId="28369"/>
    <cellStyle name="Normal 5 6 3 3 3" xfId="2746"/>
    <cellStyle name="Normal 5 6 3 3 3 2" xfId="5838"/>
    <cellStyle name="Normal 5 6 3 3 3 2 2" xfId="7620"/>
    <cellStyle name="Normal 5 6 3 3 3 2 2 2" xfId="10949"/>
    <cellStyle name="Normal 5 6 3 3 3 2 2 2 2" xfId="17653"/>
    <cellStyle name="Normal 5 6 3 3 3 2 2 2 2 2" xfId="41074"/>
    <cellStyle name="Normal 5 6 3 3 3 2 2 2 3" xfId="34442"/>
    <cellStyle name="Normal 5 6 3 3 3 2 2 3" xfId="14337"/>
    <cellStyle name="Normal 5 6 3 3 3 2 2 3 2" xfId="37758"/>
    <cellStyle name="Normal 5 6 3 3 3 2 2 4" xfId="22964"/>
    <cellStyle name="Normal 5 6 3 3 3 2 2 4 2" xfId="45386"/>
    <cellStyle name="Normal 5 6 3 3 3 2 2 5" xfId="31126"/>
    <cellStyle name="Normal 5 6 3 3 3 2 3" xfId="9291"/>
    <cellStyle name="Normal 5 6 3 3 3 2 3 2" xfId="15995"/>
    <cellStyle name="Normal 5 6 3 3 3 2 3 2 2" xfId="39416"/>
    <cellStyle name="Normal 5 6 3 3 3 2 3 3" xfId="32784"/>
    <cellStyle name="Normal 5 6 3 3 3 2 4" xfId="12679"/>
    <cellStyle name="Normal 5 6 3 3 3 2 4 2" xfId="36100"/>
    <cellStyle name="Normal 5 6 3 3 3 2 5" xfId="20136"/>
    <cellStyle name="Normal 5 6 3 3 3 2 5 2" xfId="42671"/>
    <cellStyle name="Normal 5 6 3 3 3 2 6" xfId="29468"/>
    <cellStyle name="Normal 5 6 3 3 3 3" xfId="6721"/>
    <cellStyle name="Normal 5 6 3 3 3 3 2" xfId="10053"/>
    <cellStyle name="Normal 5 6 3 3 3 3 2 2" xfId="16757"/>
    <cellStyle name="Normal 5 6 3 3 3 3 2 2 2" xfId="40178"/>
    <cellStyle name="Normal 5 6 3 3 3 3 2 3" xfId="33546"/>
    <cellStyle name="Normal 5 6 3 3 3 3 3" xfId="13441"/>
    <cellStyle name="Normal 5 6 3 3 3 3 3 2" xfId="36862"/>
    <cellStyle name="Normal 5 6 3 3 3 3 4" xfId="21423"/>
    <cellStyle name="Normal 5 6 3 3 3 3 4 2" xfId="43874"/>
    <cellStyle name="Normal 5 6 3 3 3 3 5" xfId="30230"/>
    <cellStyle name="Normal 5 6 3 3 3 4" xfId="8387"/>
    <cellStyle name="Normal 5 6 3 3 3 4 2" xfId="15099"/>
    <cellStyle name="Normal 5 6 3 3 3 4 2 2" xfId="38520"/>
    <cellStyle name="Normal 5 6 3 3 3 4 3" xfId="22147"/>
    <cellStyle name="Normal 5 6 3 3 3 4 3 2" xfId="44571"/>
    <cellStyle name="Normal 5 6 3 3 3 4 4" xfId="31888"/>
    <cellStyle name="Normal 5 6 3 3 3 5" xfId="11781"/>
    <cellStyle name="Normal 5 6 3 3 3 5 2" xfId="35204"/>
    <cellStyle name="Normal 5 6 3 3 3 6" xfId="19286"/>
    <cellStyle name="Normal 5 6 3 3 3 6 2" xfId="41839"/>
    <cellStyle name="Normal 5 6 3 3 3 7" xfId="28572"/>
    <cellStyle name="Normal 5 6 3 3 4" xfId="4124"/>
    <cellStyle name="Normal 5 6 3 3 4 2" xfId="7088"/>
    <cellStyle name="Normal 5 6 3 3 4 2 2" xfId="10420"/>
    <cellStyle name="Normal 5 6 3 3 4 2 2 2" xfId="17124"/>
    <cellStyle name="Normal 5 6 3 3 4 2 2 2 2" xfId="40545"/>
    <cellStyle name="Normal 5 6 3 3 4 2 2 3" xfId="33913"/>
    <cellStyle name="Normal 5 6 3 3 4 2 3" xfId="13808"/>
    <cellStyle name="Normal 5 6 3 3 4 2 3 2" xfId="37229"/>
    <cellStyle name="Normal 5 6 3 3 4 2 4" xfId="22559"/>
    <cellStyle name="Normal 5 6 3 3 4 2 4 2" xfId="44981"/>
    <cellStyle name="Normal 5 6 3 3 4 2 5" xfId="30597"/>
    <cellStyle name="Normal 5 6 3 3 4 3" xfId="8755"/>
    <cellStyle name="Normal 5 6 3 3 4 3 2" xfId="15466"/>
    <cellStyle name="Normal 5 6 3 3 4 3 2 2" xfId="38887"/>
    <cellStyle name="Normal 5 6 3 3 4 3 3" xfId="32255"/>
    <cellStyle name="Normal 5 6 3 3 4 4" xfId="12148"/>
    <cellStyle name="Normal 5 6 3 3 4 4 2" xfId="35571"/>
    <cellStyle name="Normal 5 6 3 3 4 5" xfId="19718"/>
    <cellStyle name="Normal 5 6 3 3 4 5 2" xfId="42255"/>
    <cellStyle name="Normal 5 6 3 3 4 6" xfId="28939"/>
    <cellStyle name="Normal 5 6 3 3 5" xfId="6248"/>
    <cellStyle name="Normal 5 6 3 3 5 2" xfId="9582"/>
    <cellStyle name="Normal 5 6 3 3 5 2 2" xfId="16286"/>
    <cellStyle name="Normal 5 6 3 3 5 2 2 2" xfId="39707"/>
    <cellStyle name="Normal 5 6 3 3 5 2 3" xfId="33075"/>
    <cellStyle name="Normal 5 6 3 3 5 3" xfId="12970"/>
    <cellStyle name="Normal 5 6 3 3 5 3 2" xfId="36391"/>
    <cellStyle name="Normal 5 6 3 3 5 4" xfId="20964"/>
    <cellStyle name="Normal 5 6 3 3 5 4 2" xfId="43415"/>
    <cellStyle name="Normal 5 6 3 3 5 5" xfId="29759"/>
    <cellStyle name="Normal 5 6 3 3 6" xfId="7914"/>
    <cellStyle name="Normal 5 6 3 3 6 2" xfId="14628"/>
    <cellStyle name="Normal 5 6 3 3 6 2 2" xfId="38049"/>
    <cellStyle name="Normal 5 6 3 3 6 3" xfId="21709"/>
    <cellStyle name="Normal 5 6 3 3 6 3 2" xfId="44158"/>
    <cellStyle name="Normal 5 6 3 3 6 4" xfId="31417"/>
    <cellStyle name="Normal 5 6 3 3 7" xfId="11310"/>
    <cellStyle name="Normal 5 6 3 3 7 2" xfId="34733"/>
    <cellStyle name="Normal 5 6 3 3 8" xfId="18099"/>
    <cellStyle name="Normal 5 6 3 3 8 2" xfId="41387"/>
    <cellStyle name="Normal 5 6 3 3 9" xfId="23704"/>
    <cellStyle name="Normal 5 6 3 3 9 2" xfId="45993"/>
    <cellStyle name="Normal 5 6 3 4" xfId="2353"/>
    <cellStyle name="Normal 5 6 3 4 2" xfId="5591"/>
    <cellStyle name="Normal 5 6 3 4 2 2" xfId="7414"/>
    <cellStyle name="Normal 5 6 3 4 2 2 2" xfId="10745"/>
    <cellStyle name="Normal 5 6 3 4 2 2 2 2" xfId="17449"/>
    <cellStyle name="Normal 5 6 3 4 2 2 2 2 2" xfId="40870"/>
    <cellStyle name="Normal 5 6 3 4 2 2 2 3" xfId="23166"/>
    <cellStyle name="Normal 5 6 3 4 2 2 2 3 2" xfId="45588"/>
    <cellStyle name="Normal 5 6 3 4 2 2 2 4" xfId="34238"/>
    <cellStyle name="Normal 5 6 3 4 2 2 3" xfId="14133"/>
    <cellStyle name="Normal 5 6 3 4 2 2 3 2" xfId="37554"/>
    <cellStyle name="Normal 5 6 3 4 2 2 4" xfId="20341"/>
    <cellStyle name="Normal 5 6 3 4 2 2 4 2" xfId="42876"/>
    <cellStyle name="Normal 5 6 3 4 2 2 5" xfId="30922"/>
    <cellStyle name="Normal 5 6 3 4 2 3" xfId="9087"/>
    <cellStyle name="Normal 5 6 3 4 2 3 2" xfId="15791"/>
    <cellStyle name="Normal 5 6 3 4 2 3 2 2" xfId="39212"/>
    <cellStyle name="Normal 5 6 3 4 2 3 3" xfId="21425"/>
    <cellStyle name="Normal 5 6 3 4 2 3 3 2" xfId="43876"/>
    <cellStyle name="Normal 5 6 3 4 2 3 4" xfId="32580"/>
    <cellStyle name="Normal 5 6 3 4 2 4" xfId="12475"/>
    <cellStyle name="Normal 5 6 3 4 2 4 2" xfId="22354"/>
    <cellStyle name="Normal 5 6 3 4 2 4 2 2" xfId="44776"/>
    <cellStyle name="Normal 5 6 3 4 2 4 3" xfId="35896"/>
    <cellStyle name="Normal 5 6 3 4 2 5" xfId="19502"/>
    <cellStyle name="Normal 5 6 3 4 2 5 2" xfId="42044"/>
    <cellStyle name="Normal 5 6 3 4 2 6" xfId="29264"/>
    <cellStyle name="Normal 5 6 3 4 3" xfId="6513"/>
    <cellStyle name="Normal 5 6 3 4 3 2" xfId="9847"/>
    <cellStyle name="Normal 5 6 3 4 3 2 2" xfId="16551"/>
    <cellStyle name="Normal 5 6 3 4 3 2 2 2" xfId="39972"/>
    <cellStyle name="Normal 5 6 3 4 3 2 3" xfId="22761"/>
    <cellStyle name="Normal 5 6 3 4 3 2 3 2" xfId="45183"/>
    <cellStyle name="Normal 5 6 3 4 3 2 4" xfId="33340"/>
    <cellStyle name="Normal 5 6 3 4 3 3" xfId="13235"/>
    <cellStyle name="Normal 5 6 3 4 3 3 2" xfId="36656"/>
    <cellStyle name="Normal 5 6 3 4 3 4" xfId="19925"/>
    <cellStyle name="Normal 5 6 3 4 3 4 2" xfId="42460"/>
    <cellStyle name="Normal 5 6 3 4 3 5" xfId="30024"/>
    <cellStyle name="Normal 5 6 3 4 4" xfId="8180"/>
    <cellStyle name="Normal 5 6 3 4 4 2" xfId="14893"/>
    <cellStyle name="Normal 5 6 3 4 4 2 2" xfId="38314"/>
    <cellStyle name="Normal 5 6 3 4 4 3" xfId="20966"/>
    <cellStyle name="Normal 5 6 3 4 4 3 2" xfId="43417"/>
    <cellStyle name="Normal 5 6 3 4 4 4" xfId="31682"/>
    <cellStyle name="Normal 5 6 3 4 5" xfId="11575"/>
    <cellStyle name="Normal 5 6 3 4 5 2" xfId="21930"/>
    <cellStyle name="Normal 5 6 3 4 5 2 2" xfId="44362"/>
    <cellStyle name="Normal 5 6 3 4 5 3" xfId="34998"/>
    <cellStyle name="Normal 5 6 3 4 6" xfId="18796"/>
    <cellStyle name="Normal 5 6 3 4 6 2" xfId="41619"/>
    <cellStyle name="Normal 5 6 3 4 7" xfId="25932"/>
    <cellStyle name="Normal 5 6 3 4 7 2" xfId="48177"/>
    <cellStyle name="Normal 5 6 3 4 8" xfId="28366"/>
    <cellStyle name="Normal 5 6 3 5" xfId="2614"/>
    <cellStyle name="Normal 5 6 3 5 2" xfId="5707"/>
    <cellStyle name="Normal 5 6 3 5 2 2" xfId="7489"/>
    <cellStyle name="Normal 5 6 3 5 2 2 2" xfId="10818"/>
    <cellStyle name="Normal 5 6 3 5 2 2 2 2" xfId="17522"/>
    <cellStyle name="Normal 5 6 3 5 2 2 2 2 2" xfId="40943"/>
    <cellStyle name="Normal 5 6 3 5 2 2 2 3" xfId="34311"/>
    <cellStyle name="Normal 5 6 3 5 2 2 3" xfId="14206"/>
    <cellStyle name="Normal 5 6 3 5 2 2 3 2" xfId="37627"/>
    <cellStyle name="Normal 5 6 3 5 2 2 4" xfId="20609"/>
    <cellStyle name="Normal 5 6 3 5 2 2 4 2" xfId="43060"/>
    <cellStyle name="Normal 5 6 3 5 2 2 5" xfId="30995"/>
    <cellStyle name="Normal 5 6 3 5 2 3" xfId="9160"/>
    <cellStyle name="Normal 5 6 3 5 2 3 2" xfId="15864"/>
    <cellStyle name="Normal 5 6 3 5 2 3 2 2" xfId="39285"/>
    <cellStyle name="Normal 5 6 3 5 2 3 3" xfId="21527"/>
    <cellStyle name="Normal 5 6 3 5 2 3 3 2" xfId="43978"/>
    <cellStyle name="Normal 5 6 3 5 2 3 4" xfId="32653"/>
    <cellStyle name="Normal 5 6 3 5 2 4" xfId="12548"/>
    <cellStyle name="Normal 5 6 3 5 2 4 2" xfId="22961"/>
    <cellStyle name="Normal 5 6 3 5 2 4 2 2" xfId="45383"/>
    <cellStyle name="Normal 5 6 3 5 2 4 3" xfId="35969"/>
    <cellStyle name="Normal 5 6 3 5 2 5" xfId="20133"/>
    <cellStyle name="Normal 5 6 3 5 2 5 2" xfId="42668"/>
    <cellStyle name="Normal 5 6 3 5 2 6" xfId="29337"/>
    <cellStyle name="Normal 5 6 3 5 3" xfId="6590"/>
    <cellStyle name="Normal 5 6 3 5 3 2" xfId="9922"/>
    <cellStyle name="Normal 5 6 3 5 3 2 2" xfId="16626"/>
    <cellStyle name="Normal 5 6 3 5 3 2 2 2" xfId="40047"/>
    <cellStyle name="Normal 5 6 3 5 3 2 3" xfId="33415"/>
    <cellStyle name="Normal 5 6 3 5 3 3" xfId="13310"/>
    <cellStyle name="Normal 5 6 3 5 3 3 2" xfId="36731"/>
    <cellStyle name="Normal 5 6 3 5 3 4" xfId="20511"/>
    <cellStyle name="Normal 5 6 3 5 3 4 2" xfId="42964"/>
    <cellStyle name="Normal 5 6 3 5 3 5" xfId="30099"/>
    <cellStyle name="Normal 5 6 3 5 4" xfId="8256"/>
    <cellStyle name="Normal 5 6 3 5 4 2" xfId="14968"/>
    <cellStyle name="Normal 5 6 3 5 4 2 2" xfId="38389"/>
    <cellStyle name="Normal 5 6 3 5 4 3" xfId="21068"/>
    <cellStyle name="Normal 5 6 3 5 4 3 2" xfId="43519"/>
    <cellStyle name="Normal 5 6 3 5 4 4" xfId="31757"/>
    <cellStyle name="Normal 5 6 3 5 5" xfId="11650"/>
    <cellStyle name="Normal 5 6 3 5 5 2" xfId="22144"/>
    <cellStyle name="Normal 5 6 3 5 5 2 2" xfId="44568"/>
    <cellStyle name="Normal 5 6 3 5 5 3" xfId="35073"/>
    <cellStyle name="Normal 5 6 3 5 6" xfId="19283"/>
    <cellStyle name="Normal 5 6 3 5 6 2" xfId="41836"/>
    <cellStyle name="Normal 5 6 3 5 7" xfId="28441"/>
    <cellStyle name="Normal 5 6 3 6" xfId="4121"/>
    <cellStyle name="Normal 5 6 3 6 2" xfId="7085"/>
    <cellStyle name="Normal 5 6 3 6 2 2" xfId="10417"/>
    <cellStyle name="Normal 5 6 3 6 2 2 2" xfId="17121"/>
    <cellStyle name="Normal 5 6 3 6 2 2 2 2" xfId="40542"/>
    <cellStyle name="Normal 5 6 3 6 2 2 3" xfId="33910"/>
    <cellStyle name="Normal 5 6 3 6 2 3" xfId="13805"/>
    <cellStyle name="Normal 5 6 3 6 2 3 2" xfId="37226"/>
    <cellStyle name="Normal 5 6 3 6 2 4" xfId="20560"/>
    <cellStyle name="Normal 5 6 3 6 2 4 2" xfId="43011"/>
    <cellStyle name="Normal 5 6 3 6 2 5" xfId="30594"/>
    <cellStyle name="Normal 5 6 3 6 3" xfId="8752"/>
    <cellStyle name="Normal 5 6 3 6 3 2" xfId="15463"/>
    <cellStyle name="Normal 5 6 3 6 3 2 2" xfId="38884"/>
    <cellStyle name="Normal 5 6 3 6 3 3" xfId="21418"/>
    <cellStyle name="Normal 5 6 3 6 3 3 2" xfId="43869"/>
    <cellStyle name="Normal 5 6 3 6 3 4" xfId="32252"/>
    <cellStyle name="Normal 5 6 3 6 4" xfId="12145"/>
    <cellStyle name="Normal 5 6 3 6 4 2" xfId="22556"/>
    <cellStyle name="Normal 5 6 3 6 4 2 2" xfId="44978"/>
    <cellStyle name="Normal 5 6 3 6 4 3" xfId="35568"/>
    <cellStyle name="Normal 5 6 3 6 5" xfId="19715"/>
    <cellStyle name="Normal 5 6 3 6 5 2" xfId="42252"/>
    <cellStyle name="Normal 5 6 3 6 6" xfId="28936"/>
    <cellStyle name="Normal 5 6 3 7" xfId="6117"/>
    <cellStyle name="Normal 5 6 3 7 2" xfId="9451"/>
    <cellStyle name="Normal 5 6 3 7 2 2" xfId="16155"/>
    <cellStyle name="Normal 5 6 3 7 2 2 2" xfId="39576"/>
    <cellStyle name="Normal 5 6 3 7 2 3" xfId="32944"/>
    <cellStyle name="Normal 5 6 3 7 3" xfId="12839"/>
    <cellStyle name="Normal 5 6 3 7 3 2" xfId="36260"/>
    <cellStyle name="Normal 5 6 3 7 4" xfId="20462"/>
    <cellStyle name="Normal 5 6 3 7 4 2" xfId="42915"/>
    <cellStyle name="Normal 5 6 3 7 5" xfId="29628"/>
    <cellStyle name="Normal 5 6 3 8" xfId="7783"/>
    <cellStyle name="Normal 5 6 3 8 2" xfId="14497"/>
    <cellStyle name="Normal 5 6 3 8 2 2" xfId="37918"/>
    <cellStyle name="Normal 5 6 3 8 3" xfId="20959"/>
    <cellStyle name="Normal 5 6 3 8 3 2" xfId="43410"/>
    <cellStyle name="Normal 5 6 3 8 4" xfId="31286"/>
    <cellStyle name="Normal 5 6 3 9" xfId="11179"/>
    <cellStyle name="Normal 5 6 3 9 2" xfId="21706"/>
    <cellStyle name="Normal 5 6 3 9 2 2" xfId="44155"/>
    <cellStyle name="Normal 5 6 3 9 3" xfId="34602"/>
    <cellStyle name="Normal 5 6 4" xfId="1630"/>
    <cellStyle name="Normal 5 6 4 10" xfId="23705"/>
    <cellStyle name="Normal 5 6 4 10 2" xfId="45994"/>
    <cellStyle name="Normal 5 6 4 11" xfId="28048"/>
    <cellStyle name="Normal 5 6 4 2" xfId="1827"/>
    <cellStyle name="Normal 5 6 4 2 10" xfId="28179"/>
    <cellStyle name="Normal 5 6 4 2 2" xfId="2358"/>
    <cellStyle name="Normal 5 6 4 2 2 2" xfId="5596"/>
    <cellStyle name="Normal 5 6 4 2 2 2 2" xfId="7419"/>
    <cellStyle name="Normal 5 6 4 2 2 2 2 2" xfId="10750"/>
    <cellStyle name="Normal 5 6 4 2 2 2 2 2 2" xfId="17454"/>
    <cellStyle name="Normal 5 6 4 2 2 2 2 2 2 2" xfId="40875"/>
    <cellStyle name="Normal 5 6 4 2 2 2 2 2 3" xfId="23171"/>
    <cellStyle name="Normal 5 6 4 2 2 2 2 2 3 2" xfId="45593"/>
    <cellStyle name="Normal 5 6 4 2 2 2 2 2 4" xfId="34243"/>
    <cellStyle name="Normal 5 6 4 2 2 2 2 3" xfId="14138"/>
    <cellStyle name="Normal 5 6 4 2 2 2 2 3 2" xfId="37559"/>
    <cellStyle name="Normal 5 6 4 2 2 2 2 4" xfId="20346"/>
    <cellStyle name="Normal 5 6 4 2 2 2 2 4 2" xfId="42881"/>
    <cellStyle name="Normal 5 6 4 2 2 2 2 5" xfId="30927"/>
    <cellStyle name="Normal 5 6 4 2 2 2 3" xfId="9092"/>
    <cellStyle name="Normal 5 6 4 2 2 2 3 2" xfId="15796"/>
    <cellStyle name="Normal 5 6 4 2 2 2 3 2 2" xfId="39217"/>
    <cellStyle name="Normal 5 6 4 2 2 2 3 3" xfId="21428"/>
    <cellStyle name="Normal 5 6 4 2 2 2 3 3 2" xfId="43879"/>
    <cellStyle name="Normal 5 6 4 2 2 2 3 4" xfId="32585"/>
    <cellStyle name="Normal 5 6 4 2 2 2 4" xfId="12480"/>
    <cellStyle name="Normal 5 6 4 2 2 2 4 2" xfId="22359"/>
    <cellStyle name="Normal 5 6 4 2 2 2 4 2 2" xfId="44781"/>
    <cellStyle name="Normal 5 6 4 2 2 2 4 3" xfId="35901"/>
    <cellStyle name="Normal 5 6 4 2 2 2 5" xfId="19507"/>
    <cellStyle name="Normal 5 6 4 2 2 2 5 2" xfId="42049"/>
    <cellStyle name="Normal 5 6 4 2 2 2 6" xfId="29269"/>
    <cellStyle name="Normal 5 6 4 2 2 3" xfId="6518"/>
    <cellStyle name="Normal 5 6 4 2 2 3 2" xfId="9852"/>
    <cellStyle name="Normal 5 6 4 2 2 3 2 2" xfId="16556"/>
    <cellStyle name="Normal 5 6 4 2 2 3 2 2 2" xfId="39977"/>
    <cellStyle name="Normal 5 6 4 2 2 3 2 3" xfId="22766"/>
    <cellStyle name="Normal 5 6 4 2 2 3 2 3 2" xfId="45188"/>
    <cellStyle name="Normal 5 6 4 2 2 3 2 4" xfId="33345"/>
    <cellStyle name="Normal 5 6 4 2 2 3 3" xfId="13240"/>
    <cellStyle name="Normal 5 6 4 2 2 3 3 2" xfId="36661"/>
    <cellStyle name="Normal 5 6 4 2 2 3 4" xfId="19930"/>
    <cellStyle name="Normal 5 6 4 2 2 3 4 2" xfId="42465"/>
    <cellStyle name="Normal 5 6 4 2 2 3 5" xfId="30029"/>
    <cellStyle name="Normal 5 6 4 2 2 4" xfId="8185"/>
    <cellStyle name="Normal 5 6 4 2 2 4 2" xfId="14898"/>
    <cellStyle name="Normal 5 6 4 2 2 4 2 2" xfId="38319"/>
    <cellStyle name="Normal 5 6 4 2 2 4 3" xfId="20969"/>
    <cellStyle name="Normal 5 6 4 2 2 4 3 2" xfId="43420"/>
    <cellStyle name="Normal 5 6 4 2 2 4 4" xfId="31687"/>
    <cellStyle name="Normal 5 6 4 2 2 5" xfId="11580"/>
    <cellStyle name="Normal 5 6 4 2 2 5 2" xfId="21935"/>
    <cellStyle name="Normal 5 6 4 2 2 5 2 2" xfId="44367"/>
    <cellStyle name="Normal 5 6 4 2 2 5 3" xfId="35003"/>
    <cellStyle name="Normal 5 6 4 2 2 6" xfId="18801"/>
    <cellStyle name="Normal 5 6 4 2 2 6 2" xfId="41624"/>
    <cellStyle name="Normal 5 6 4 2 2 7" xfId="25937"/>
    <cellStyle name="Normal 5 6 4 2 2 7 2" xfId="48182"/>
    <cellStyle name="Normal 5 6 4 2 2 8" xfId="28371"/>
    <cellStyle name="Normal 5 6 4 2 3" xfId="2824"/>
    <cellStyle name="Normal 5 6 4 2 3 2" xfId="5916"/>
    <cellStyle name="Normal 5 6 4 2 3 2 2" xfId="7698"/>
    <cellStyle name="Normal 5 6 4 2 3 2 2 2" xfId="11027"/>
    <cellStyle name="Normal 5 6 4 2 3 2 2 2 2" xfId="17731"/>
    <cellStyle name="Normal 5 6 4 2 3 2 2 2 2 2" xfId="41152"/>
    <cellStyle name="Normal 5 6 4 2 3 2 2 2 3" xfId="34520"/>
    <cellStyle name="Normal 5 6 4 2 3 2 2 3" xfId="14415"/>
    <cellStyle name="Normal 5 6 4 2 3 2 2 3 2" xfId="37836"/>
    <cellStyle name="Normal 5 6 4 2 3 2 2 4" xfId="22966"/>
    <cellStyle name="Normal 5 6 4 2 3 2 2 4 2" xfId="45388"/>
    <cellStyle name="Normal 5 6 4 2 3 2 2 5" xfId="31204"/>
    <cellStyle name="Normal 5 6 4 2 3 2 3" xfId="9369"/>
    <cellStyle name="Normal 5 6 4 2 3 2 3 2" xfId="16073"/>
    <cellStyle name="Normal 5 6 4 2 3 2 3 2 2" xfId="39494"/>
    <cellStyle name="Normal 5 6 4 2 3 2 3 3" xfId="32862"/>
    <cellStyle name="Normal 5 6 4 2 3 2 4" xfId="12757"/>
    <cellStyle name="Normal 5 6 4 2 3 2 4 2" xfId="36178"/>
    <cellStyle name="Normal 5 6 4 2 3 2 5" xfId="20138"/>
    <cellStyle name="Normal 5 6 4 2 3 2 5 2" xfId="42673"/>
    <cellStyle name="Normal 5 6 4 2 3 2 6" xfId="29546"/>
    <cellStyle name="Normal 5 6 4 2 3 3" xfId="6799"/>
    <cellStyle name="Normal 5 6 4 2 3 3 2" xfId="10131"/>
    <cellStyle name="Normal 5 6 4 2 3 3 2 2" xfId="16835"/>
    <cellStyle name="Normal 5 6 4 2 3 3 2 2 2" xfId="40256"/>
    <cellStyle name="Normal 5 6 4 2 3 3 2 3" xfId="33624"/>
    <cellStyle name="Normal 5 6 4 2 3 3 3" xfId="13519"/>
    <cellStyle name="Normal 5 6 4 2 3 3 3 2" xfId="36940"/>
    <cellStyle name="Normal 5 6 4 2 3 3 4" xfId="21427"/>
    <cellStyle name="Normal 5 6 4 2 3 3 4 2" xfId="43878"/>
    <cellStyle name="Normal 5 6 4 2 3 3 5" xfId="30308"/>
    <cellStyle name="Normal 5 6 4 2 3 4" xfId="8465"/>
    <cellStyle name="Normal 5 6 4 2 3 4 2" xfId="15177"/>
    <cellStyle name="Normal 5 6 4 2 3 4 2 2" xfId="38598"/>
    <cellStyle name="Normal 5 6 4 2 3 4 3" xfId="22149"/>
    <cellStyle name="Normal 5 6 4 2 3 4 3 2" xfId="44573"/>
    <cellStyle name="Normal 5 6 4 2 3 4 4" xfId="31966"/>
    <cellStyle name="Normal 5 6 4 2 3 5" xfId="11859"/>
    <cellStyle name="Normal 5 6 4 2 3 5 2" xfId="35282"/>
    <cellStyle name="Normal 5 6 4 2 3 6" xfId="19288"/>
    <cellStyle name="Normal 5 6 4 2 3 6 2" xfId="41841"/>
    <cellStyle name="Normal 5 6 4 2 3 7" xfId="28650"/>
    <cellStyle name="Normal 5 6 4 2 4" xfId="4126"/>
    <cellStyle name="Normal 5 6 4 2 4 2" xfId="7090"/>
    <cellStyle name="Normal 5 6 4 2 4 2 2" xfId="10422"/>
    <cellStyle name="Normal 5 6 4 2 4 2 2 2" xfId="17126"/>
    <cellStyle name="Normal 5 6 4 2 4 2 2 2 2" xfId="40547"/>
    <cellStyle name="Normal 5 6 4 2 4 2 2 3" xfId="33915"/>
    <cellStyle name="Normal 5 6 4 2 4 2 3" xfId="13810"/>
    <cellStyle name="Normal 5 6 4 2 4 2 3 2" xfId="37231"/>
    <cellStyle name="Normal 5 6 4 2 4 2 4" xfId="22561"/>
    <cellStyle name="Normal 5 6 4 2 4 2 4 2" xfId="44983"/>
    <cellStyle name="Normal 5 6 4 2 4 2 5" xfId="30599"/>
    <cellStyle name="Normal 5 6 4 2 4 3" xfId="8757"/>
    <cellStyle name="Normal 5 6 4 2 4 3 2" xfId="15468"/>
    <cellStyle name="Normal 5 6 4 2 4 3 2 2" xfId="38889"/>
    <cellStyle name="Normal 5 6 4 2 4 3 3" xfId="32257"/>
    <cellStyle name="Normal 5 6 4 2 4 4" xfId="12150"/>
    <cellStyle name="Normal 5 6 4 2 4 4 2" xfId="35573"/>
    <cellStyle name="Normal 5 6 4 2 4 5" xfId="19720"/>
    <cellStyle name="Normal 5 6 4 2 4 5 2" xfId="42257"/>
    <cellStyle name="Normal 5 6 4 2 4 6" xfId="28941"/>
    <cellStyle name="Normal 5 6 4 2 5" xfId="6326"/>
    <cellStyle name="Normal 5 6 4 2 5 2" xfId="9660"/>
    <cellStyle name="Normal 5 6 4 2 5 2 2" xfId="16364"/>
    <cellStyle name="Normal 5 6 4 2 5 2 2 2" xfId="39785"/>
    <cellStyle name="Normal 5 6 4 2 5 2 3" xfId="33153"/>
    <cellStyle name="Normal 5 6 4 2 5 3" xfId="13048"/>
    <cellStyle name="Normal 5 6 4 2 5 3 2" xfId="36469"/>
    <cellStyle name="Normal 5 6 4 2 5 4" xfId="20968"/>
    <cellStyle name="Normal 5 6 4 2 5 4 2" xfId="43419"/>
    <cellStyle name="Normal 5 6 4 2 5 5" xfId="29837"/>
    <cellStyle name="Normal 5 6 4 2 6" xfId="7992"/>
    <cellStyle name="Normal 5 6 4 2 6 2" xfId="14706"/>
    <cellStyle name="Normal 5 6 4 2 6 2 2" xfId="38127"/>
    <cellStyle name="Normal 5 6 4 2 6 3" xfId="21711"/>
    <cellStyle name="Normal 5 6 4 2 6 3 2" xfId="44160"/>
    <cellStyle name="Normal 5 6 4 2 6 4" xfId="31495"/>
    <cellStyle name="Normal 5 6 4 2 7" xfId="11388"/>
    <cellStyle name="Normal 5 6 4 2 7 2" xfId="34811"/>
    <cellStyle name="Normal 5 6 4 2 8" xfId="18101"/>
    <cellStyle name="Normal 5 6 4 2 8 2" xfId="41389"/>
    <cellStyle name="Normal 5 6 4 2 9" xfId="23706"/>
    <cellStyle name="Normal 5 6 4 2 9 2" xfId="45995"/>
    <cellStyle name="Normal 5 6 4 3" xfId="2357"/>
    <cellStyle name="Normal 5 6 4 3 2" xfId="5595"/>
    <cellStyle name="Normal 5 6 4 3 2 2" xfId="7418"/>
    <cellStyle name="Normal 5 6 4 3 2 2 2" xfId="10749"/>
    <cellStyle name="Normal 5 6 4 3 2 2 2 2" xfId="17453"/>
    <cellStyle name="Normal 5 6 4 3 2 2 2 2 2" xfId="40874"/>
    <cellStyle name="Normal 5 6 4 3 2 2 2 3" xfId="23170"/>
    <cellStyle name="Normal 5 6 4 3 2 2 2 3 2" xfId="45592"/>
    <cellStyle name="Normal 5 6 4 3 2 2 2 4" xfId="34242"/>
    <cellStyle name="Normal 5 6 4 3 2 2 3" xfId="14137"/>
    <cellStyle name="Normal 5 6 4 3 2 2 3 2" xfId="37558"/>
    <cellStyle name="Normal 5 6 4 3 2 2 4" xfId="20345"/>
    <cellStyle name="Normal 5 6 4 3 2 2 4 2" xfId="42880"/>
    <cellStyle name="Normal 5 6 4 3 2 2 5" xfId="30926"/>
    <cellStyle name="Normal 5 6 4 3 2 3" xfId="9091"/>
    <cellStyle name="Normal 5 6 4 3 2 3 2" xfId="15795"/>
    <cellStyle name="Normal 5 6 4 3 2 3 2 2" xfId="39216"/>
    <cellStyle name="Normal 5 6 4 3 2 3 3" xfId="21429"/>
    <cellStyle name="Normal 5 6 4 3 2 3 3 2" xfId="43880"/>
    <cellStyle name="Normal 5 6 4 3 2 3 4" xfId="32584"/>
    <cellStyle name="Normal 5 6 4 3 2 4" xfId="12479"/>
    <cellStyle name="Normal 5 6 4 3 2 4 2" xfId="22358"/>
    <cellStyle name="Normal 5 6 4 3 2 4 2 2" xfId="44780"/>
    <cellStyle name="Normal 5 6 4 3 2 4 3" xfId="35900"/>
    <cellStyle name="Normal 5 6 4 3 2 5" xfId="19506"/>
    <cellStyle name="Normal 5 6 4 3 2 5 2" xfId="42048"/>
    <cellStyle name="Normal 5 6 4 3 2 6" xfId="29268"/>
    <cellStyle name="Normal 5 6 4 3 3" xfId="6517"/>
    <cellStyle name="Normal 5 6 4 3 3 2" xfId="9851"/>
    <cellStyle name="Normal 5 6 4 3 3 2 2" xfId="16555"/>
    <cellStyle name="Normal 5 6 4 3 3 2 2 2" xfId="39976"/>
    <cellStyle name="Normal 5 6 4 3 3 2 3" xfId="22765"/>
    <cellStyle name="Normal 5 6 4 3 3 2 3 2" xfId="45187"/>
    <cellStyle name="Normal 5 6 4 3 3 2 4" xfId="33344"/>
    <cellStyle name="Normal 5 6 4 3 3 3" xfId="13239"/>
    <cellStyle name="Normal 5 6 4 3 3 3 2" xfId="36660"/>
    <cellStyle name="Normal 5 6 4 3 3 4" xfId="19929"/>
    <cellStyle name="Normal 5 6 4 3 3 4 2" xfId="42464"/>
    <cellStyle name="Normal 5 6 4 3 3 5" xfId="30028"/>
    <cellStyle name="Normal 5 6 4 3 4" xfId="8184"/>
    <cellStyle name="Normal 5 6 4 3 4 2" xfId="14897"/>
    <cellStyle name="Normal 5 6 4 3 4 2 2" xfId="38318"/>
    <cellStyle name="Normal 5 6 4 3 4 3" xfId="20970"/>
    <cellStyle name="Normal 5 6 4 3 4 3 2" xfId="43421"/>
    <cellStyle name="Normal 5 6 4 3 4 4" xfId="31686"/>
    <cellStyle name="Normal 5 6 4 3 5" xfId="11579"/>
    <cellStyle name="Normal 5 6 4 3 5 2" xfId="21934"/>
    <cellStyle name="Normal 5 6 4 3 5 2 2" xfId="44366"/>
    <cellStyle name="Normal 5 6 4 3 5 3" xfId="35002"/>
    <cellStyle name="Normal 5 6 4 3 6" xfId="18800"/>
    <cellStyle name="Normal 5 6 4 3 6 2" xfId="41623"/>
    <cellStyle name="Normal 5 6 4 3 7" xfId="25936"/>
    <cellStyle name="Normal 5 6 4 3 7 2" xfId="48181"/>
    <cellStyle name="Normal 5 6 4 3 8" xfId="28370"/>
    <cellStyle name="Normal 5 6 4 4" xfId="2692"/>
    <cellStyle name="Normal 5 6 4 4 2" xfId="5785"/>
    <cellStyle name="Normal 5 6 4 4 2 2" xfId="7567"/>
    <cellStyle name="Normal 5 6 4 4 2 2 2" xfId="10896"/>
    <cellStyle name="Normal 5 6 4 4 2 2 2 2" xfId="17600"/>
    <cellStyle name="Normal 5 6 4 4 2 2 2 2 2" xfId="41021"/>
    <cellStyle name="Normal 5 6 4 4 2 2 2 3" xfId="34389"/>
    <cellStyle name="Normal 5 6 4 4 2 2 3" xfId="14284"/>
    <cellStyle name="Normal 5 6 4 4 2 2 3 2" xfId="37705"/>
    <cellStyle name="Normal 5 6 4 4 2 2 4" xfId="22965"/>
    <cellStyle name="Normal 5 6 4 4 2 2 4 2" xfId="45387"/>
    <cellStyle name="Normal 5 6 4 4 2 2 5" xfId="31073"/>
    <cellStyle name="Normal 5 6 4 4 2 3" xfId="9238"/>
    <cellStyle name="Normal 5 6 4 4 2 3 2" xfId="15942"/>
    <cellStyle name="Normal 5 6 4 4 2 3 2 2" xfId="39363"/>
    <cellStyle name="Normal 5 6 4 4 2 3 3" xfId="32731"/>
    <cellStyle name="Normal 5 6 4 4 2 4" xfId="12626"/>
    <cellStyle name="Normal 5 6 4 4 2 4 2" xfId="36047"/>
    <cellStyle name="Normal 5 6 4 4 2 5" xfId="20137"/>
    <cellStyle name="Normal 5 6 4 4 2 5 2" xfId="42672"/>
    <cellStyle name="Normal 5 6 4 4 2 6" xfId="29415"/>
    <cellStyle name="Normal 5 6 4 4 3" xfId="6668"/>
    <cellStyle name="Normal 5 6 4 4 3 2" xfId="10000"/>
    <cellStyle name="Normal 5 6 4 4 3 2 2" xfId="16704"/>
    <cellStyle name="Normal 5 6 4 4 3 2 2 2" xfId="40125"/>
    <cellStyle name="Normal 5 6 4 4 3 2 3" xfId="33493"/>
    <cellStyle name="Normal 5 6 4 4 3 3" xfId="13388"/>
    <cellStyle name="Normal 5 6 4 4 3 3 2" xfId="36809"/>
    <cellStyle name="Normal 5 6 4 4 3 4" xfId="21426"/>
    <cellStyle name="Normal 5 6 4 4 3 4 2" xfId="43877"/>
    <cellStyle name="Normal 5 6 4 4 3 5" xfId="30177"/>
    <cellStyle name="Normal 5 6 4 4 4" xfId="8334"/>
    <cellStyle name="Normal 5 6 4 4 4 2" xfId="15046"/>
    <cellStyle name="Normal 5 6 4 4 4 2 2" xfId="38467"/>
    <cellStyle name="Normal 5 6 4 4 4 3" xfId="22148"/>
    <cellStyle name="Normal 5 6 4 4 4 3 2" xfId="44572"/>
    <cellStyle name="Normal 5 6 4 4 4 4" xfId="31835"/>
    <cellStyle name="Normal 5 6 4 4 5" xfId="11728"/>
    <cellStyle name="Normal 5 6 4 4 5 2" xfId="35151"/>
    <cellStyle name="Normal 5 6 4 4 6" xfId="19287"/>
    <cellStyle name="Normal 5 6 4 4 6 2" xfId="41840"/>
    <cellStyle name="Normal 5 6 4 4 7" xfId="28519"/>
    <cellStyle name="Normal 5 6 4 5" xfId="4125"/>
    <cellStyle name="Normal 5 6 4 5 2" xfId="7089"/>
    <cellStyle name="Normal 5 6 4 5 2 2" xfId="10421"/>
    <cellStyle name="Normal 5 6 4 5 2 2 2" xfId="17125"/>
    <cellStyle name="Normal 5 6 4 5 2 2 2 2" xfId="40546"/>
    <cellStyle name="Normal 5 6 4 5 2 2 3" xfId="33914"/>
    <cellStyle name="Normal 5 6 4 5 2 3" xfId="13809"/>
    <cellStyle name="Normal 5 6 4 5 2 3 2" xfId="37230"/>
    <cellStyle name="Normal 5 6 4 5 2 4" xfId="22560"/>
    <cellStyle name="Normal 5 6 4 5 2 4 2" xfId="44982"/>
    <cellStyle name="Normal 5 6 4 5 2 5" xfId="30598"/>
    <cellStyle name="Normal 5 6 4 5 3" xfId="8756"/>
    <cellStyle name="Normal 5 6 4 5 3 2" xfId="15467"/>
    <cellStyle name="Normal 5 6 4 5 3 2 2" xfId="38888"/>
    <cellStyle name="Normal 5 6 4 5 3 3" xfId="32256"/>
    <cellStyle name="Normal 5 6 4 5 4" xfId="12149"/>
    <cellStyle name="Normal 5 6 4 5 4 2" xfId="35572"/>
    <cellStyle name="Normal 5 6 4 5 5" xfId="19719"/>
    <cellStyle name="Normal 5 6 4 5 5 2" xfId="42256"/>
    <cellStyle name="Normal 5 6 4 5 6" xfId="28940"/>
    <cellStyle name="Normal 5 6 4 6" xfId="6195"/>
    <cellStyle name="Normal 5 6 4 6 2" xfId="9529"/>
    <cellStyle name="Normal 5 6 4 6 2 2" xfId="16233"/>
    <cellStyle name="Normal 5 6 4 6 2 2 2" xfId="39654"/>
    <cellStyle name="Normal 5 6 4 6 2 3" xfId="33022"/>
    <cellStyle name="Normal 5 6 4 6 3" xfId="12917"/>
    <cellStyle name="Normal 5 6 4 6 3 2" xfId="36338"/>
    <cellStyle name="Normal 5 6 4 6 4" xfId="20967"/>
    <cellStyle name="Normal 5 6 4 6 4 2" xfId="43418"/>
    <cellStyle name="Normal 5 6 4 6 5" xfId="29706"/>
    <cellStyle name="Normal 5 6 4 7" xfId="7861"/>
    <cellStyle name="Normal 5 6 4 7 2" xfId="14575"/>
    <cellStyle name="Normal 5 6 4 7 2 2" xfId="37996"/>
    <cellStyle name="Normal 5 6 4 7 3" xfId="21710"/>
    <cellStyle name="Normal 5 6 4 7 3 2" xfId="44159"/>
    <cellStyle name="Normal 5 6 4 7 4" xfId="31364"/>
    <cellStyle name="Normal 5 6 4 8" xfId="11257"/>
    <cellStyle name="Normal 5 6 4 8 2" xfId="34680"/>
    <cellStyle name="Normal 5 6 4 9" xfId="18100"/>
    <cellStyle name="Normal 5 6 4 9 2" xfId="41388"/>
    <cellStyle name="Normal 5 6 5" xfId="1712"/>
    <cellStyle name="Normal 5 6 5 10" xfId="28065"/>
    <cellStyle name="Normal 5 6 5 2" xfId="2359"/>
    <cellStyle name="Normal 5 6 5 2 2" xfId="5597"/>
    <cellStyle name="Normal 5 6 5 2 2 2" xfId="7420"/>
    <cellStyle name="Normal 5 6 5 2 2 2 2" xfId="10751"/>
    <cellStyle name="Normal 5 6 5 2 2 2 2 2" xfId="17455"/>
    <cellStyle name="Normal 5 6 5 2 2 2 2 2 2" xfId="40876"/>
    <cellStyle name="Normal 5 6 5 2 2 2 2 3" xfId="23172"/>
    <cellStyle name="Normal 5 6 5 2 2 2 2 3 2" xfId="45594"/>
    <cellStyle name="Normal 5 6 5 2 2 2 2 4" xfId="34244"/>
    <cellStyle name="Normal 5 6 5 2 2 2 3" xfId="14139"/>
    <cellStyle name="Normal 5 6 5 2 2 2 3 2" xfId="37560"/>
    <cellStyle name="Normal 5 6 5 2 2 2 4" xfId="20347"/>
    <cellStyle name="Normal 5 6 5 2 2 2 4 2" xfId="42882"/>
    <cellStyle name="Normal 5 6 5 2 2 2 5" xfId="30928"/>
    <cellStyle name="Normal 5 6 5 2 2 3" xfId="9093"/>
    <cellStyle name="Normal 5 6 5 2 2 3 2" xfId="15797"/>
    <cellStyle name="Normal 5 6 5 2 2 3 2 2" xfId="39218"/>
    <cellStyle name="Normal 5 6 5 2 2 3 3" xfId="21431"/>
    <cellStyle name="Normal 5 6 5 2 2 3 3 2" xfId="43882"/>
    <cellStyle name="Normal 5 6 5 2 2 3 4" xfId="32586"/>
    <cellStyle name="Normal 5 6 5 2 2 4" xfId="12481"/>
    <cellStyle name="Normal 5 6 5 2 2 4 2" xfId="22360"/>
    <cellStyle name="Normal 5 6 5 2 2 4 2 2" xfId="44782"/>
    <cellStyle name="Normal 5 6 5 2 2 4 3" xfId="35902"/>
    <cellStyle name="Normal 5 6 5 2 2 5" xfId="19508"/>
    <cellStyle name="Normal 5 6 5 2 2 5 2" xfId="42050"/>
    <cellStyle name="Normal 5 6 5 2 2 6" xfId="29270"/>
    <cellStyle name="Normal 5 6 5 2 3" xfId="6519"/>
    <cellStyle name="Normal 5 6 5 2 3 2" xfId="9853"/>
    <cellStyle name="Normal 5 6 5 2 3 2 2" xfId="16557"/>
    <cellStyle name="Normal 5 6 5 2 3 2 2 2" xfId="39978"/>
    <cellStyle name="Normal 5 6 5 2 3 2 3" xfId="22767"/>
    <cellStyle name="Normal 5 6 5 2 3 2 3 2" xfId="45189"/>
    <cellStyle name="Normal 5 6 5 2 3 2 4" xfId="33346"/>
    <cellStyle name="Normal 5 6 5 2 3 3" xfId="13241"/>
    <cellStyle name="Normal 5 6 5 2 3 3 2" xfId="36662"/>
    <cellStyle name="Normal 5 6 5 2 3 4" xfId="19931"/>
    <cellStyle name="Normal 5 6 5 2 3 4 2" xfId="42466"/>
    <cellStyle name="Normal 5 6 5 2 3 5" xfId="30030"/>
    <cellStyle name="Normal 5 6 5 2 4" xfId="8186"/>
    <cellStyle name="Normal 5 6 5 2 4 2" xfId="14899"/>
    <cellStyle name="Normal 5 6 5 2 4 2 2" xfId="38320"/>
    <cellStyle name="Normal 5 6 5 2 4 3" xfId="20972"/>
    <cellStyle name="Normal 5 6 5 2 4 3 2" xfId="43423"/>
    <cellStyle name="Normal 5 6 5 2 4 4" xfId="31688"/>
    <cellStyle name="Normal 5 6 5 2 5" xfId="11581"/>
    <cellStyle name="Normal 5 6 5 2 5 2" xfId="21936"/>
    <cellStyle name="Normal 5 6 5 2 5 2 2" xfId="44368"/>
    <cellStyle name="Normal 5 6 5 2 5 3" xfId="35004"/>
    <cellStyle name="Normal 5 6 5 2 6" xfId="18802"/>
    <cellStyle name="Normal 5 6 5 2 6 2" xfId="41625"/>
    <cellStyle name="Normal 5 6 5 2 7" xfId="25938"/>
    <cellStyle name="Normal 5 6 5 2 7 2" xfId="48183"/>
    <cellStyle name="Normal 5 6 5 2 8" xfId="28372"/>
    <cellStyle name="Normal 5 6 5 3" xfId="2710"/>
    <cellStyle name="Normal 5 6 5 3 2" xfId="5802"/>
    <cellStyle name="Normal 5 6 5 3 2 2" xfId="7584"/>
    <cellStyle name="Normal 5 6 5 3 2 2 2" xfId="10913"/>
    <cellStyle name="Normal 5 6 5 3 2 2 2 2" xfId="17617"/>
    <cellStyle name="Normal 5 6 5 3 2 2 2 2 2" xfId="41038"/>
    <cellStyle name="Normal 5 6 5 3 2 2 2 3" xfId="34406"/>
    <cellStyle name="Normal 5 6 5 3 2 2 3" xfId="14301"/>
    <cellStyle name="Normal 5 6 5 3 2 2 3 2" xfId="37722"/>
    <cellStyle name="Normal 5 6 5 3 2 2 4" xfId="22967"/>
    <cellStyle name="Normal 5 6 5 3 2 2 4 2" xfId="45389"/>
    <cellStyle name="Normal 5 6 5 3 2 2 5" xfId="31090"/>
    <cellStyle name="Normal 5 6 5 3 2 3" xfId="9255"/>
    <cellStyle name="Normal 5 6 5 3 2 3 2" xfId="15959"/>
    <cellStyle name="Normal 5 6 5 3 2 3 2 2" xfId="39380"/>
    <cellStyle name="Normal 5 6 5 3 2 3 3" xfId="32748"/>
    <cellStyle name="Normal 5 6 5 3 2 4" xfId="12643"/>
    <cellStyle name="Normal 5 6 5 3 2 4 2" xfId="36064"/>
    <cellStyle name="Normal 5 6 5 3 2 5" xfId="20139"/>
    <cellStyle name="Normal 5 6 5 3 2 5 2" xfId="42674"/>
    <cellStyle name="Normal 5 6 5 3 2 6" xfId="29432"/>
    <cellStyle name="Normal 5 6 5 3 3" xfId="6685"/>
    <cellStyle name="Normal 5 6 5 3 3 2" xfId="10017"/>
    <cellStyle name="Normal 5 6 5 3 3 2 2" xfId="16721"/>
    <cellStyle name="Normal 5 6 5 3 3 2 2 2" xfId="40142"/>
    <cellStyle name="Normal 5 6 5 3 3 2 3" xfId="33510"/>
    <cellStyle name="Normal 5 6 5 3 3 3" xfId="13405"/>
    <cellStyle name="Normal 5 6 5 3 3 3 2" xfId="36826"/>
    <cellStyle name="Normal 5 6 5 3 3 4" xfId="21430"/>
    <cellStyle name="Normal 5 6 5 3 3 4 2" xfId="43881"/>
    <cellStyle name="Normal 5 6 5 3 3 5" xfId="30194"/>
    <cellStyle name="Normal 5 6 5 3 4" xfId="8351"/>
    <cellStyle name="Normal 5 6 5 3 4 2" xfId="15063"/>
    <cellStyle name="Normal 5 6 5 3 4 2 2" xfId="38484"/>
    <cellStyle name="Normal 5 6 5 3 4 3" xfId="22150"/>
    <cellStyle name="Normal 5 6 5 3 4 3 2" xfId="44574"/>
    <cellStyle name="Normal 5 6 5 3 4 4" xfId="31852"/>
    <cellStyle name="Normal 5 6 5 3 5" xfId="11745"/>
    <cellStyle name="Normal 5 6 5 3 5 2" xfId="35168"/>
    <cellStyle name="Normal 5 6 5 3 6" xfId="19289"/>
    <cellStyle name="Normal 5 6 5 3 6 2" xfId="41842"/>
    <cellStyle name="Normal 5 6 5 3 7" xfId="28536"/>
    <cellStyle name="Normal 5 6 5 4" xfId="4127"/>
    <cellStyle name="Normal 5 6 5 4 2" xfId="7091"/>
    <cellStyle name="Normal 5 6 5 4 2 2" xfId="10423"/>
    <cellStyle name="Normal 5 6 5 4 2 2 2" xfId="17127"/>
    <cellStyle name="Normal 5 6 5 4 2 2 2 2" xfId="40548"/>
    <cellStyle name="Normal 5 6 5 4 2 2 3" xfId="33916"/>
    <cellStyle name="Normal 5 6 5 4 2 3" xfId="13811"/>
    <cellStyle name="Normal 5 6 5 4 2 3 2" xfId="37232"/>
    <cellStyle name="Normal 5 6 5 4 2 4" xfId="22562"/>
    <cellStyle name="Normal 5 6 5 4 2 4 2" xfId="44984"/>
    <cellStyle name="Normal 5 6 5 4 2 5" xfId="30600"/>
    <cellStyle name="Normal 5 6 5 4 3" xfId="8758"/>
    <cellStyle name="Normal 5 6 5 4 3 2" xfId="15469"/>
    <cellStyle name="Normal 5 6 5 4 3 2 2" xfId="38890"/>
    <cellStyle name="Normal 5 6 5 4 3 3" xfId="32258"/>
    <cellStyle name="Normal 5 6 5 4 4" xfId="12151"/>
    <cellStyle name="Normal 5 6 5 4 4 2" xfId="35574"/>
    <cellStyle name="Normal 5 6 5 4 5" xfId="19721"/>
    <cellStyle name="Normal 5 6 5 4 5 2" xfId="42258"/>
    <cellStyle name="Normal 5 6 5 4 6" xfId="28942"/>
    <cellStyle name="Normal 5 6 5 5" xfId="6212"/>
    <cellStyle name="Normal 5 6 5 5 2" xfId="9546"/>
    <cellStyle name="Normal 5 6 5 5 2 2" xfId="16250"/>
    <cellStyle name="Normal 5 6 5 5 2 2 2" xfId="39671"/>
    <cellStyle name="Normal 5 6 5 5 2 3" xfId="33039"/>
    <cellStyle name="Normal 5 6 5 5 3" xfId="12934"/>
    <cellStyle name="Normal 5 6 5 5 3 2" xfId="36355"/>
    <cellStyle name="Normal 5 6 5 5 4" xfId="20971"/>
    <cellStyle name="Normal 5 6 5 5 4 2" xfId="43422"/>
    <cellStyle name="Normal 5 6 5 5 5" xfId="29723"/>
    <cellStyle name="Normal 5 6 5 6" xfId="7878"/>
    <cellStyle name="Normal 5 6 5 6 2" xfId="14592"/>
    <cellStyle name="Normal 5 6 5 6 2 2" xfId="38013"/>
    <cellStyle name="Normal 5 6 5 6 3" xfId="21712"/>
    <cellStyle name="Normal 5 6 5 6 3 2" xfId="44161"/>
    <cellStyle name="Normal 5 6 5 6 4" xfId="31381"/>
    <cellStyle name="Normal 5 6 5 7" xfId="11274"/>
    <cellStyle name="Normal 5 6 5 7 2" xfId="34697"/>
    <cellStyle name="Normal 5 6 5 8" xfId="18102"/>
    <cellStyle name="Normal 5 6 5 8 2" xfId="41390"/>
    <cellStyle name="Normal 5 6 5 9" xfId="23707"/>
    <cellStyle name="Normal 5 6 5 9 2" xfId="45996"/>
    <cellStyle name="Normal 5 6 6" xfId="2344"/>
    <cellStyle name="Normal 5 6 6 2" xfId="4128"/>
    <cellStyle name="Normal 5 6 6 2 2" xfId="7092"/>
    <cellStyle name="Normal 5 6 6 2 2 2" xfId="10424"/>
    <cellStyle name="Normal 5 6 6 2 2 2 2" xfId="17128"/>
    <cellStyle name="Normal 5 6 6 2 2 2 2 2" xfId="40549"/>
    <cellStyle name="Normal 5 6 6 2 2 2 3" xfId="23157"/>
    <cellStyle name="Normal 5 6 6 2 2 2 3 2" xfId="45579"/>
    <cellStyle name="Normal 5 6 6 2 2 2 4" xfId="33917"/>
    <cellStyle name="Normal 5 6 6 2 2 3" xfId="13812"/>
    <cellStyle name="Normal 5 6 6 2 2 3 2" xfId="37233"/>
    <cellStyle name="Normal 5 6 6 2 2 4" xfId="20332"/>
    <cellStyle name="Normal 5 6 6 2 2 4 2" xfId="42867"/>
    <cellStyle name="Normal 5 6 6 2 2 5" xfId="30601"/>
    <cellStyle name="Normal 5 6 6 2 3" xfId="8759"/>
    <cellStyle name="Normal 5 6 6 2 3 2" xfId="15470"/>
    <cellStyle name="Normal 5 6 6 2 3 2 2" xfId="38891"/>
    <cellStyle name="Normal 5 6 6 2 3 3" xfId="21432"/>
    <cellStyle name="Normal 5 6 6 2 3 3 2" xfId="43883"/>
    <cellStyle name="Normal 5 6 6 2 3 4" xfId="32259"/>
    <cellStyle name="Normal 5 6 6 2 4" xfId="12152"/>
    <cellStyle name="Normal 5 6 6 2 4 2" xfId="22345"/>
    <cellStyle name="Normal 5 6 6 2 4 2 2" xfId="44767"/>
    <cellStyle name="Normal 5 6 6 2 4 3" xfId="35575"/>
    <cellStyle name="Normal 5 6 6 2 5" xfId="19493"/>
    <cellStyle name="Normal 5 6 6 2 5 2" xfId="42035"/>
    <cellStyle name="Normal 5 6 6 2 6" xfId="25939"/>
    <cellStyle name="Normal 5 6 6 2 6 2" xfId="48184"/>
    <cellStyle name="Normal 5 6 6 2 7" xfId="28943"/>
    <cellStyle name="Normal 5 6 6 3" xfId="6504"/>
    <cellStyle name="Normal 5 6 6 3 2" xfId="9838"/>
    <cellStyle name="Normal 5 6 6 3 2 2" xfId="16542"/>
    <cellStyle name="Normal 5 6 6 3 2 2 2" xfId="39963"/>
    <cellStyle name="Normal 5 6 6 3 2 3" xfId="22752"/>
    <cellStyle name="Normal 5 6 6 3 2 3 2" xfId="45174"/>
    <cellStyle name="Normal 5 6 6 3 2 4" xfId="33331"/>
    <cellStyle name="Normal 5 6 6 3 3" xfId="13226"/>
    <cellStyle name="Normal 5 6 6 3 3 2" xfId="36647"/>
    <cellStyle name="Normal 5 6 6 3 4" xfId="19916"/>
    <cellStyle name="Normal 5 6 6 3 4 2" xfId="42451"/>
    <cellStyle name="Normal 5 6 6 3 5" xfId="30015"/>
    <cellStyle name="Normal 5 6 6 4" xfId="8171"/>
    <cellStyle name="Normal 5 6 6 4 2" xfId="14884"/>
    <cellStyle name="Normal 5 6 6 4 2 2" xfId="38305"/>
    <cellStyle name="Normal 5 6 6 4 3" xfId="20973"/>
    <cellStyle name="Normal 5 6 6 4 3 2" xfId="43424"/>
    <cellStyle name="Normal 5 6 6 4 4" xfId="31673"/>
    <cellStyle name="Normal 5 6 6 5" xfId="11566"/>
    <cellStyle name="Normal 5 6 6 5 2" xfId="21921"/>
    <cellStyle name="Normal 5 6 6 5 2 2" xfId="44353"/>
    <cellStyle name="Normal 5 6 6 5 3" xfId="34989"/>
    <cellStyle name="Normal 5 6 6 6" xfId="18787"/>
    <cellStyle name="Normal 5 6 6 6 2" xfId="41610"/>
    <cellStyle name="Normal 5 6 6 7" xfId="23708"/>
    <cellStyle name="Normal 5 6 6 7 2" xfId="45997"/>
    <cellStyle name="Normal 5 6 6 8" xfId="28357"/>
    <cellStyle name="Normal 5 6 7" xfId="2577"/>
    <cellStyle name="Normal 5 6 7 2" xfId="5671"/>
    <cellStyle name="Normal 5 6 7 2 2" xfId="7454"/>
    <cellStyle name="Normal 5 6 7 2 2 2" xfId="10783"/>
    <cellStyle name="Normal 5 6 7 2 2 2 2" xfId="17487"/>
    <cellStyle name="Normal 5 6 7 2 2 2 2 2" xfId="40908"/>
    <cellStyle name="Normal 5 6 7 2 2 2 3" xfId="34276"/>
    <cellStyle name="Normal 5 6 7 2 2 3" xfId="14171"/>
    <cellStyle name="Normal 5 6 7 2 2 3 2" xfId="37592"/>
    <cellStyle name="Normal 5 6 7 2 2 4" xfId="20606"/>
    <cellStyle name="Normal 5 6 7 2 2 4 2" xfId="43057"/>
    <cellStyle name="Normal 5 6 7 2 2 5" xfId="30960"/>
    <cellStyle name="Normal 5 6 7 2 3" xfId="9125"/>
    <cellStyle name="Normal 5 6 7 2 3 2" xfId="15829"/>
    <cellStyle name="Normal 5 6 7 2 3 2 2" xfId="39250"/>
    <cellStyle name="Normal 5 6 7 2 3 3" xfId="21524"/>
    <cellStyle name="Normal 5 6 7 2 3 3 2" xfId="43975"/>
    <cellStyle name="Normal 5 6 7 2 3 4" xfId="32618"/>
    <cellStyle name="Normal 5 6 7 2 4" xfId="12513"/>
    <cellStyle name="Normal 5 6 7 2 4 2" xfId="22952"/>
    <cellStyle name="Normal 5 6 7 2 4 2 2" xfId="45374"/>
    <cellStyle name="Normal 5 6 7 2 4 3" xfId="35934"/>
    <cellStyle name="Normal 5 6 7 2 5" xfId="20124"/>
    <cellStyle name="Normal 5 6 7 2 5 2" xfId="42659"/>
    <cellStyle name="Normal 5 6 7 2 6" xfId="29302"/>
    <cellStyle name="Normal 5 6 7 3" xfId="6554"/>
    <cellStyle name="Normal 5 6 7 3 2" xfId="9886"/>
    <cellStyle name="Normal 5 6 7 3 2 2" xfId="16590"/>
    <cellStyle name="Normal 5 6 7 3 2 2 2" xfId="40011"/>
    <cellStyle name="Normal 5 6 7 3 2 3" xfId="33379"/>
    <cellStyle name="Normal 5 6 7 3 3" xfId="13274"/>
    <cellStyle name="Normal 5 6 7 3 3 2" xfId="36695"/>
    <cellStyle name="Normal 5 6 7 3 4" xfId="20508"/>
    <cellStyle name="Normal 5 6 7 3 4 2" xfId="42961"/>
    <cellStyle name="Normal 5 6 7 3 5" xfId="30063"/>
    <cellStyle name="Normal 5 6 7 4" xfId="8220"/>
    <cellStyle name="Normal 5 6 7 4 2" xfId="14932"/>
    <cellStyle name="Normal 5 6 7 4 2 2" xfId="38353"/>
    <cellStyle name="Normal 5 6 7 4 3" xfId="21065"/>
    <cellStyle name="Normal 5 6 7 4 3 2" xfId="43516"/>
    <cellStyle name="Normal 5 6 7 4 4" xfId="31721"/>
    <cellStyle name="Normal 5 6 7 5" xfId="11614"/>
    <cellStyle name="Normal 5 6 7 5 2" xfId="22135"/>
    <cellStyle name="Normal 5 6 7 5 2 2" xfId="44559"/>
    <cellStyle name="Normal 5 6 7 5 3" xfId="35037"/>
    <cellStyle name="Normal 5 6 7 6" xfId="19274"/>
    <cellStyle name="Normal 5 6 7 6 2" xfId="41827"/>
    <cellStyle name="Normal 5 6 7 7" xfId="28405"/>
    <cellStyle name="Normal 5 6 8" xfId="4112"/>
    <cellStyle name="Normal 5 6 8 2" xfId="19706"/>
    <cellStyle name="Normal 5 6 8 2 2" xfId="42243"/>
    <cellStyle name="Normal 5 6 8 3" xfId="21401"/>
    <cellStyle name="Normal 5 6 8 3 2" xfId="43852"/>
    <cellStyle name="Normal 5 6 8 4" xfId="22547"/>
    <cellStyle name="Normal 5 6 8 4 2" xfId="44969"/>
    <cellStyle name="Normal 5 6 9" xfId="6081"/>
    <cellStyle name="Normal 5 6 9 2" xfId="9415"/>
    <cellStyle name="Normal 5 6 9 2 2" xfId="16119"/>
    <cellStyle name="Normal 5 6 9 2 2 2" xfId="39540"/>
    <cellStyle name="Normal 5 6 9 2 3" xfId="32908"/>
    <cellStyle name="Normal 5 6 9 3" xfId="12803"/>
    <cellStyle name="Normal 5 6 9 3 2" xfId="36224"/>
    <cellStyle name="Normal 5 6 9 4" xfId="20459"/>
    <cellStyle name="Normal 5 6 9 4 2" xfId="42912"/>
    <cellStyle name="Normal 5 6 9 5" xfId="29592"/>
    <cellStyle name="Normal 5 7" xfId="1250"/>
    <cellStyle name="Normal 5 7 10" xfId="11150"/>
    <cellStyle name="Normal 5 7 10 2" xfId="21713"/>
    <cellStyle name="Normal 5 7 10 2 2" xfId="44162"/>
    <cellStyle name="Normal 5 7 10 3" xfId="34573"/>
    <cellStyle name="Normal 5 7 11" xfId="18103"/>
    <cellStyle name="Normal 5 7 11 2" xfId="41391"/>
    <cellStyle name="Normal 5 7 12" xfId="23709"/>
    <cellStyle name="Normal 5 7 12 2" xfId="45998"/>
    <cellStyle name="Normal 5 7 13" xfId="27941"/>
    <cellStyle name="Normal 5 7 2" xfId="1441"/>
    <cellStyle name="Normal 5 7 2 10" xfId="18104"/>
    <cellStyle name="Normal 5 7 2 10 2" xfId="41392"/>
    <cellStyle name="Normal 5 7 2 11" xfId="23710"/>
    <cellStyle name="Normal 5 7 2 11 2" xfId="45999"/>
    <cellStyle name="Normal 5 7 2 12" xfId="27977"/>
    <cellStyle name="Normal 5 7 2 2" xfId="1635"/>
    <cellStyle name="Normal 5 7 2 2 10" xfId="23711"/>
    <cellStyle name="Normal 5 7 2 2 10 2" xfId="46000"/>
    <cellStyle name="Normal 5 7 2 2 11" xfId="28053"/>
    <cellStyle name="Normal 5 7 2 2 2" xfId="1832"/>
    <cellStyle name="Normal 5 7 2 2 2 10" xfId="28184"/>
    <cellStyle name="Normal 5 7 2 2 2 2" xfId="2363"/>
    <cellStyle name="Normal 5 7 2 2 2 2 2" xfId="5601"/>
    <cellStyle name="Normal 5 7 2 2 2 2 2 2" xfId="7424"/>
    <cellStyle name="Normal 5 7 2 2 2 2 2 2 2" xfId="10755"/>
    <cellStyle name="Normal 5 7 2 2 2 2 2 2 2 2" xfId="17459"/>
    <cellStyle name="Normal 5 7 2 2 2 2 2 2 2 2 2" xfId="40880"/>
    <cellStyle name="Normal 5 7 2 2 2 2 2 2 2 3" xfId="23176"/>
    <cellStyle name="Normal 5 7 2 2 2 2 2 2 2 3 2" xfId="45598"/>
    <cellStyle name="Normal 5 7 2 2 2 2 2 2 2 4" xfId="34248"/>
    <cellStyle name="Normal 5 7 2 2 2 2 2 2 3" xfId="14143"/>
    <cellStyle name="Normal 5 7 2 2 2 2 2 2 3 2" xfId="37564"/>
    <cellStyle name="Normal 5 7 2 2 2 2 2 2 4" xfId="20351"/>
    <cellStyle name="Normal 5 7 2 2 2 2 2 2 4 2" xfId="42886"/>
    <cellStyle name="Normal 5 7 2 2 2 2 2 2 5" xfId="30932"/>
    <cellStyle name="Normal 5 7 2 2 2 2 2 3" xfId="9097"/>
    <cellStyle name="Normal 5 7 2 2 2 2 2 3 2" xfId="15801"/>
    <cellStyle name="Normal 5 7 2 2 2 2 2 3 2 2" xfId="39222"/>
    <cellStyle name="Normal 5 7 2 2 2 2 2 3 3" xfId="21437"/>
    <cellStyle name="Normal 5 7 2 2 2 2 2 3 3 2" xfId="43888"/>
    <cellStyle name="Normal 5 7 2 2 2 2 2 3 4" xfId="32590"/>
    <cellStyle name="Normal 5 7 2 2 2 2 2 4" xfId="12485"/>
    <cellStyle name="Normal 5 7 2 2 2 2 2 4 2" xfId="22364"/>
    <cellStyle name="Normal 5 7 2 2 2 2 2 4 2 2" xfId="44786"/>
    <cellStyle name="Normal 5 7 2 2 2 2 2 4 3" xfId="35906"/>
    <cellStyle name="Normal 5 7 2 2 2 2 2 5" xfId="19512"/>
    <cellStyle name="Normal 5 7 2 2 2 2 2 5 2" xfId="42054"/>
    <cellStyle name="Normal 5 7 2 2 2 2 2 6" xfId="29274"/>
    <cellStyle name="Normal 5 7 2 2 2 2 3" xfId="6523"/>
    <cellStyle name="Normal 5 7 2 2 2 2 3 2" xfId="9857"/>
    <cellStyle name="Normal 5 7 2 2 2 2 3 2 2" xfId="16561"/>
    <cellStyle name="Normal 5 7 2 2 2 2 3 2 2 2" xfId="39982"/>
    <cellStyle name="Normal 5 7 2 2 2 2 3 2 3" xfId="22771"/>
    <cellStyle name="Normal 5 7 2 2 2 2 3 2 3 2" xfId="45193"/>
    <cellStyle name="Normal 5 7 2 2 2 2 3 2 4" xfId="33350"/>
    <cellStyle name="Normal 5 7 2 2 2 2 3 3" xfId="13245"/>
    <cellStyle name="Normal 5 7 2 2 2 2 3 3 2" xfId="36666"/>
    <cellStyle name="Normal 5 7 2 2 2 2 3 4" xfId="19935"/>
    <cellStyle name="Normal 5 7 2 2 2 2 3 4 2" xfId="42470"/>
    <cellStyle name="Normal 5 7 2 2 2 2 3 5" xfId="30034"/>
    <cellStyle name="Normal 5 7 2 2 2 2 4" xfId="8190"/>
    <cellStyle name="Normal 5 7 2 2 2 2 4 2" xfId="14903"/>
    <cellStyle name="Normal 5 7 2 2 2 2 4 2 2" xfId="38324"/>
    <cellStyle name="Normal 5 7 2 2 2 2 4 3" xfId="20978"/>
    <cellStyle name="Normal 5 7 2 2 2 2 4 3 2" xfId="43429"/>
    <cellStyle name="Normal 5 7 2 2 2 2 4 4" xfId="31692"/>
    <cellStyle name="Normal 5 7 2 2 2 2 5" xfId="11585"/>
    <cellStyle name="Normal 5 7 2 2 2 2 5 2" xfId="21940"/>
    <cellStyle name="Normal 5 7 2 2 2 2 5 2 2" xfId="44372"/>
    <cellStyle name="Normal 5 7 2 2 2 2 5 3" xfId="35008"/>
    <cellStyle name="Normal 5 7 2 2 2 2 6" xfId="18806"/>
    <cellStyle name="Normal 5 7 2 2 2 2 6 2" xfId="41629"/>
    <cellStyle name="Normal 5 7 2 2 2 2 7" xfId="25943"/>
    <cellStyle name="Normal 5 7 2 2 2 2 7 2" xfId="48188"/>
    <cellStyle name="Normal 5 7 2 2 2 2 8" xfId="28376"/>
    <cellStyle name="Normal 5 7 2 2 2 3" xfId="2829"/>
    <cellStyle name="Normal 5 7 2 2 2 3 2" xfId="5921"/>
    <cellStyle name="Normal 5 7 2 2 2 3 2 2" xfId="7703"/>
    <cellStyle name="Normal 5 7 2 2 2 3 2 2 2" xfId="11032"/>
    <cellStyle name="Normal 5 7 2 2 2 3 2 2 2 2" xfId="17736"/>
    <cellStyle name="Normal 5 7 2 2 2 3 2 2 2 2 2" xfId="41157"/>
    <cellStyle name="Normal 5 7 2 2 2 3 2 2 2 3" xfId="34525"/>
    <cellStyle name="Normal 5 7 2 2 2 3 2 2 3" xfId="14420"/>
    <cellStyle name="Normal 5 7 2 2 2 3 2 2 3 2" xfId="37841"/>
    <cellStyle name="Normal 5 7 2 2 2 3 2 2 4" xfId="22971"/>
    <cellStyle name="Normal 5 7 2 2 2 3 2 2 4 2" xfId="45393"/>
    <cellStyle name="Normal 5 7 2 2 2 3 2 2 5" xfId="31209"/>
    <cellStyle name="Normal 5 7 2 2 2 3 2 3" xfId="9374"/>
    <cellStyle name="Normal 5 7 2 2 2 3 2 3 2" xfId="16078"/>
    <cellStyle name="Normal 5 7 2 2 2 3 2 3 2 2" xfId="39499"/>
    <cellStyle name="Normal 5 7 2 2 2 3 2 3 3" xfId="32867"/>
    <cellStyle name="Normal 5 7 2 2 2 3 2 4" xfId="12762"/>
    <cellStyle name="Normal 5 7 2 2 2 3 2 4 2" xfId="36183"/>
    <cellStyle name="Normal 5 7 2 2 2 3 2 5" xfId="20143"/>
    <cellStyle name="Normal 5 7 2 2 2 3 2 5 2" xfId="42678"/>
    <cellStyle name="Normal 5 7 2 2 2 3 2 6" xfId="29551"/>
    <cellStyle name="Normal 5 7 2 2 2 3 3" xfId="6804"/>
    <cellStyle name="Normal 5 7 2 2 2 3 3 2" xfId="10136"/>
    <cellStyle name="Normal 5 7 2 2 2 3 3 2 2" xfId="16840"/>
    <cellStyle name="Normal 5 7 2 2 2 3 3 2 2 2" xfId="40261"/>
    <cellStyle name="Normal 5 7 2 2 2 3 3 2 3" xfId="33629"/>
    <cellStyle name="Normal 5 7 2 2 2 3 3 3" xfId="13524"/>
    <cellStyle name="Normal 5 7 2 2 2 3 3 3 2" xfId="36945"/>
    <cellStyle name="Normal 5 7 2 2 2 3 3 4" xfId="21436"/>
    <cellStyle name="Normal 5 7 2 2 2 3 3 4 2" xfId="43887"/>
    <cellStyle name="Normal 5 7 2 2 2 3 3 5" xfId="30313"/>
    <cellStyle name="Normal 5 7 2 2 2 3 4" xfId="8470"/>
    <cellStyle name="Normal 5 7 2 2 2 3 4 2" xfId="15182"/>
    <cellStyle name="Normal 5 7 2 2 2 3 4 2 2" xfId="38603"/>
    <cellStyle name="Normal 5 7 2 2 2 3 4 3" xfId="22154"/>
    <cellStyle name="Normal 5 7 2 2 2 3 4 3 2" xfId="44578"/>
    <cellStyle name="Normal 5 7 2 2 2 3 4 4" xfId="31971"/>
    <cellStyle name="Normal 5 7 2 2 2 3 5" xfId="11864"/>
    <cellStyle name="Normal 5 7 2 2 2 3 5 2" xfId="35287"/>
    <cellStyle name="Normal 5 7 2 2 2 3 6" xfId="19293"/>
    <cellStyle name="Normal 5 7 2 2 2 3 6 2" xfId="41846"/>
    <cellStyle name="Normal 5 7 2 2 2 3 7" xfId="28655"/>
    <cellStyle name="Normal 5 7 2 2 2 4" xfId="4132"/>
    <cellStyle name="Normal 5 7 2 2 2 4 2" xfId="7096"/>
    <cellStyle name="Normal 5 7 2 2 2 4 2 2" xfId="10428"/>
    <cellStyle name="Normal 5 7 2 2 2 4 2 2 2" xfId="17132"/>
    <cellStyle name="Normal 5 7 2 2 2 4 2 2 2 2" xfId="40553"/>
    <cellStyle name="Normal 5 7 2 2 2 4 2 2 3" xfId="33921"/>
    <cellStyle name="Normal 5 7 2 2 2 4 2 3" xfId="13816"/>
    <cellStyle name="Normal 5 7 2 2 2 4 2 3 2" xfId="37237"/>
    <cellStyle name="Normal 5 7 2 2 2 4 2 4" xfId="22566"/>
    <cellStyle name="Normal 5 7 2 2 2 4 2 4 2" xfId="44988"/>
    <cellStyle name="Normal 5 7 2 2 2 4 2 5" xfId="30605"/>
    <cellStyle name="Normal 5 7 2 2 2 4 3" xfId="8763"/>
    <cellStyle name="Normal 5 7 2 2 2 4 3 2" xfId="15474"/>
    <cellStyle name="Normal 5 7 2 2 2 4 3 2 2" xfId="38895"/>
    <cellStyle name="Normal 5 7 2 2 2 4 3 3" xfId="32263"/>
    <cellStyle name="Normal 5 7 2 2 2 4 4" xfId="12156"/>
    <cellStyle name="Normal 5 7 2 2 2 4 4 2" xfId="35579"/>
    <cellStyle name="Normal 5 7 2 2 2 4 5" xfId="19725"/>
    <cellStyle name="Normal 5 7 2 2 2 4 5 2" xfId="42262"/>
    <cellStyle name="Normal 5 7 2 2 2 4 6" xfId="28947"/>
    <cellStyle name="Normal 5 7 2 2 2 5" xfId="6331"/>
    <cellStyle name="Normal 5 7 2 2 2 5 2" xfId="9665"/>
    <cellStyle name="Normal 5 7 2 2 2 5 2 2" xfId="16369"/>
    <cellStyle name="Normal 5 7 2 2 2 5 2 2 2" xfId="39790"/>
    <cellStyle name="Normal 5 7 2 2 2 5 2 3" xfId="33158"/>
    <cellStyle name="Normal 5 7 2 2 2 5 3" xfId="13053"/>
    <cellStyle name="Normal 5 7 2 2 2 5 3 2" xfId="36474"/>
    <cellStyle name="Normal 5 7 2 2 2 5 4" xfId="20977"/>
    <cellStyle name="Normal 5 7 2 2 2 5 4 2" xfId="43428"/>
    <cellStyle name="Normal 5 7 2 2 2 5 5" xfId="29842"/>
    <cellStyle name="Normal 5 7 2 2 2 6" xfId="7997"/>
    <cellStyle name="Normal 5 7 2 2 2 6 2" xfId="14711"/>
    <cellStyle name="Normal 5 7 2 2 2 6 2 2" xfId="38132"/>
    <cellStyle name="Normal 5 7 2 2 2 6 3" xfId="21716"/>
    <cellStyle name="Normal 5 7 2 2 2 6 3 2" xfId="44165"/>
    <cellStyle name="Normal 5 7 2 2 2 6 4" xfId="31500"/>
    <cellStyle name="Normal 5 7 2 2 2 7" xfId="11393"/>
    <cellStyle name="Normal 5 7 2 2 2 7 2" xfId="34816"/>
    <cellStyle name="Normal 5 7 2 2 2 8" xfId="18106"/>
    <cellStyle name="Normal 5 7 2 2 2 8 2" xfId="41394"/>
    <cellStyle name="Normal 5 7 2 2 2 9" xfId="23712"/>
    <cellStyle name="Normal 5 7 2 2 2 9 2" xfId="46001"/>
    <cellStyle name="Normal 5 7 2 2 3" xfId="2362"/>
    <cellStyle name="Normal 5 7 2 2 3 2" xfId="5600"/>
    <cellStyle name="Normal 5 7 2 2 3 2 2" xfId="7423"/>
    <cellStyle name="Normal 5 7 2 2 3 2 2 2" xfId="10754"/>
    <cellStyle name="Normal 5 7 2 2 3 2 2 2 2" xfId="17458"/>
    <cellStyle name="Normal 5 7 2 2 3 2 2 2 2 2" xfId="40879"/>
    <cellStyle name="Normal 5 7 2 2 3 2 2 2 3" xfId="23175"/>
    <cellStyle name="Normal 5 7 2 2 3 2 2 2 3 2" xfId="45597"/>
    <cellStyle name="Normal 5 7 2 2 3 2 2 2 4" xfId="34247"/>
    <cellStyle name="Normal 5 7 2 2 3 2 2 3" xfId="14142"/>
    <cellStyle name="Normal 5 7 2 2 3 2 2 3 2" xfId="37563"/>
    <cellStyle name="Normal 5 7 2 2 3 2 2 4" xfId="20350"/>
    <cellStyle name="Normal 5 7 2 2 3 2 2 4 2" xfId="42885"/>
    <cellStyle name="Normal 5 7 2 2 3 2 2 5" xfId="30931"/>
    <cellStyle name="Normal 5 7 2 2 3 2 3" xfId="9096"/>
    <cellStyle name="Normal 5 7 2 2 3 2 3 2" xfId="15800"/>
    <cellStyle name="Normal 5 7 2 2 3 2 3 2 2" xfId="39221"/>
    <cellStyle name="Normal 5 7 2 2 3 2 3 3" xfId="21438"/>
    <cellStyle name="Normal 5 7 2 2 3 2 3 3 2" xfId="43889"/>
    <cellStyle name="Normal 5 7 2 2 3 2 3 4" xfId="32589"/>
    <cellStyle name="Normal 5 7 2 2 3 2 4" xfId="12484"/>
    <cellStyle name="Normal 5 7 2 2 3 2 4 2" xfId="22363"/>
    <cellStyle name="Normal 5 7 2 2 3 2 4 2 2" xfId="44785"/>
    <cellStyle name="Normal 5 7 2 2 3 2 4 3" xfId="35905"/>
    <cellStyle name="Normal 5 7 2 2 3 2 5" xfId="19511"/>
    <cellStyle name="Normal 5 7 2 2 3 2 5 2" xfId="42053"/>
    <cellStyle name="Normal 5 7 2 2 3 2 6" xfId="29273"/>
    <cellStyle name="Normal 5 7 2 2 3 3" xfId="6522"/>
    <cellStyle name="Normal 5 7 2 2 3 3 2" xfId="9856"/>
    <cellStyle name="Normal 5 7 2 2 3 3 2 2" xfId="16560"/>
    <cellStyle name="Normal 5 7 2 2 3 3 2 2 2" xfId="39981"/>
    <cellStyle name="Normal 5 7 2 2 3 3 2 3" xfId="22770"/>
    <cellStyle name="Normal 5 7 2 2 3 3 2 3 2" xfId="45192"/>
    <cellStyle name="Normal 5 7 2 2 3 3 2 4" xfId="33349"/>
    <cellStyle name="Normal 5 7 2 2 3 3 3" xfId="13244"/>
    <cellStyle name="Normal 5 7 2 2 3 3 3 2" xfId="36665"/>
    <cellStyle name="Normal 5 7 2 2 3 3 4" xfId="19934"/>
    <cellStyle name="Normal 5 7 2 2 3 3 4 2" xfId="42469"/>
    <cellStyle name="Normal 5 7 2 2 3 3 5" xfId="30033"/>
    <cellStyle name="Normal 5 7 2 2 3 4" xfId="8189"/>
    <cellStyle name="Normal 5 7 2 2 3 4 2" xfId="14902"/>
    <cellStyle name="Normal 5 7 2 2 3 4 2 2" xfId="38323"/>
    <cellStyle name="Normal 5 7 2 2 3 4 3" xfId="20979"/>
    <cellStyle name="Normal 5 7 2 2 3 4 3 2" xfId="43430"/>
    <cellStyle name="Normal 5 7 2 2 3 4 4" xfId="31691"/>
    <cellStyle name="Normal 5 7 2 2 3 5" xfId="11584"/>
    <cellStyle name="Normal 5 7 2 2 3 5 2" xfId="21939"/>
    <cellStyle name="Normal 5 7 2 2 3 5 2 2" xfId="44371"/>
    <cellStyle name="Normal 5 7 2 2 3 5 3" xfId="35007"/>
    <cellStyle name="Normal 5 7 2 2 3 6" xfId="18805"/>
    <cellStyle name="Normal 5 7 2 2 3 6 2" xfId="41628"/>
    <cellStyle name="Normal 5 7 2 2 3 7" xfId="25942"/>
    <cellStyle name="Normal 5 7 2 2 3 7 2" xfId="48187"/>
    <cellStyle name="Normal 5 7 2 2 3 8" xfId="28375"/>
    <cellStyle name="Normal 5 7 2 2 4" xfId="2697"/>
    <cellStyle name="Normal 5 7 2 2 4 2" xfId="5790"/>
    <cellStyle name="Normal 5 7 2 2 4 2 2" xfId="7572"/>
    <cellStyle name="Normal 5 7 2 2 4 2 2 2" xfId="10901"/>
    <cellStyle name="Normal 5 7 2 2 4 2 2 2 2" xfId="17605"/>
    <cellStyle name="Normal 5 7 2 2 4 2 2 2 2 2" xfId="41026"/>
    <cellStyle name="Normal 5 7 2 2 4 2 2 2 3" xfId="34394"/>
    <cellStyle name="Normal 5 7 2 2 4 2 2 3" xfId="14289"/>
    <cellStyle name="Normal 5 7 2 2 4 2 2 3 2" xfId="37710"/>
    <cellStyle name="Normal 5 7 2 2 4 2 2 4" xfId="22970"/>
    <cellStyle name="Normal 5 7 2 2 4 2 2 4 2" xfId="45392"/>
    <cellStyle name="Normal 5 7 2 2 4 2 2 5" xfId="31078"/>
    <cellStyle name="Normal 5 7 2 2 4 2 3" xfId="9243"/>
    <cellStyle name="Normal 5 7 2 2 4 2 3 2" xfId="15947"/>
    <cellStyle name="Normal 5 7 2 2 4 2 3 2 2" xfId="39368"/>
    <cellStyle name="Normal 5 7 2 2 4 2 3 3" xfId="32736"/>
    <cellStyle name="Normal 5 7 2 2 4 2 4" xfId="12631"/>
    <cellStyle name="Normal 5 7 2 2 4 2 4 2" xfId="36052"/>
    <cellStyle name="Normal 5 7 2 2 4 2 5" xfId="20142"/>
    <cellStyle name="Normal 5 7 2 2 4 2 5 2" xfId="42677"/>
    <cellStyle name="Normal 5 7 2 2 4 2 6" xfId="29420"/>
    <cellStyle name="Normal 5 7 2 2 4 3" xfId="6673"/>
    <cellStyle name="Normal 5 7 2 2 4 3 2" xfId="10005"/>
    <cellStyle name="Normal 5 7 2 2 4 3 2 2" xfId="16709"/>
    <cellStyle name="Normal 5 7 2 2 4 3 2 2 2" xfId="40130"/>
    <cellStyle name="Normal 5 7 2 2 4 3 2 3" xfId="33498"/>
    <cellStyle name="Normal 5 7 2 2 4 3 3" xfId="13393"/>
    <cellStyle name="Normal 5 7 2 2 4 3 3 2" xfId="36814"/>
    <cellStyle name="Normal 5 7 2 2 4 3 4" xfId="21435"/>
    <cellStyle name="Normal 5 7 2 2 4 3 4 2" xfId="43886"/>
    <cellStyle name="Normal 5 7 2 2 4 3 5" xfId="30182"/>
    <cellStyle name="Normal 5 7 2 2 4 4" xfId="8339"/>
    <cellStyle name="Normal 5 7 2 2 4 4 2" xfId="15051"/>
    <cellStyle name="Normal 5 7 2 2 4 4 2 2" xfId="38472"/>
    <cellStyle name="Normal 5 7 2 2 4 4 3" xfId="22153"/>
    <cellStyle name="Normal 5 7 2 2 4 4 3 2" xfId="44577"/>
    <cellStyle name="Normal 5 7 2 2 4 4 4" xfId="31840"/>
    <cellStyle name="Normal 5 7 2 2 4 5" xfId="11733"/>
    <cellStyle name="Normal 5 7 2 2 4 5 2" xfId="35156"/>
    <cellStyle name="Normal 5 7 2 2 4 6" xfId="19292"/>
    <cellStyle name="Normal 5 7 2 2 4 6 2" xfId="41845"/>
    <cellStyle name="Normal 5 7 2 2 4 7" xfId="28524"/>
    <cellStyle name="Normal 5 7 2 2 5" xfId="4131"/>
    <cellStyle name="Normal 5 7 2 2 5 2" xfId="7095"/>
    <cellStyle name="Normal 5 7 2 2 5 2 2" xfId="10427"/>
    <cellStyle name="Normal 5 7 2 2 5 2 2 2" xfId="17131"/>
    <cellStyle name="Normal 5 7 2 2 5 2 2 2 2" xfId="40552"/>
    <cellStyle name="Normal 5 7 2 2 5 2 2 3" xfId="33920"/>
    <cellStyle name="Normal 5 7 2 2 5 2 3" xfId="13815"/>
    <cellStyle name="Normal 5 7 2 2 5 2 3 2" xfId="37236"/>
    <cellStyle name="Normal 5 7 2 2 5 2 4" xfId="22565"/>
    <cellStyle name="Normal 5 7 2 2 5 2 4 2" xfId="44987"/>
    <cellStyle name="Normal 5 7 2 2 5 2 5" xfId="30604"/>
    <cellStyle name="Normal 5 7 2 2 5 3" xfId="8762"/>
    <cellStyle name="Normal 5 7 2 2 5 3 2" xfId="15473"/>
    <cellStyle name="Normal 5 7 2 2 5 3 2 2" xfId="38894"/>
    <cellStyle name="Normal 5 7 2 2 5 3 3" xfId="32262"/>
    <cellStyle name="Normal 5 7 2 2 5 4" xfId="12155"/>
    <cellStyle name="Normal 5 7 2 2 5 4 2" xfId="35578"/>
    <cellStyle name="Normal 5 7 2 2 5 5" xfId="19724"/>
    <cellStyle name="Normal 5 7 2 2 5 5 2" xfId="42261"/>
    <cellStyle name="Normal 5 7 2 2 5 6" xfId="28946"/>
    <cellStyle name="Normal 5 7 2 2 6" xfId="6200"/>
    <cellStyle name="Normal 5 7 2 2 6 2" xfId="9534"/>
    <cellStyle name="Normal 5 7 2 2 6 2 2" xfId="16238"/>
    <cellStyle name="Normal 5 7 2 2 6 2 2 2" xfId="39659"/>
    <cellStyle name="Normal 5 7 2 2 6 2 3" xfId="33027"/>
    <cellStyle name="Normal 5 7 2 2 6 3" xfId="12922"/>
    <cellStyle name="Normal 5 7 2 2 6 3 2" xfId="36343"/>
    <cellStyle name="Normal 5 7 2 2 6 4" xfId="20976"/>
    <cellStyle name="Normal 5 7 2 2 6 4 2" xfId="43427"/>
    <cellStyle name="Normal 5 7 2 2 6 5" xfId="29711"/>
    <cellStyle name="Normal 5 7 2 2 7" xfId="7866"/>
    <cellStyle name="Normal 5 7 2 2 7 2" xfId="14580"/>
    <cellStyle name="Normal 5 7 2 2 7 2 2" xfId="38001"/>
    <cellStyle name="Normal 5 7 2 2 7 3" xfId="21715"/>
    <cellStyle name="Normal 5 7 2 2 7 3 2" xfId="44164"/>
    <cellStyle name="Normal 5 7 2 2 7 4" xfId="31369"/>
    <cellStyle name="Normal 5 7 2 2 8" xfId="11262"/>
    <cellStyle name="Normal 5 7 2 2 8 2" xfId="34685"/>
    <cellStyle name="Normal 5 7 2 2 9" xfId="18105"/>
    <cellStyle name="Normal 5 7 2 2 9 2" xfId="41393"/>
    <cellStyle name="Normal 5 7 2 3" xfId="1756"/>
    <cellStyle name="Normal 5 7 2 3 10" xfId="28108"/>
    <cellStyle name="Normal 5 7 2 3 2" xfId="2364"/>
    <cellStyle name="Normal 5 7 2 3 2 2" xfId="5602"/>
    <cellStyle name="Normal 5 7 2 3 2 2 2" xfId="7425"/>
    <cellStyle name="Normal 5 7 2 3 2 2 2 2" xfId="10756"/>
    <cellStyle name="Normal 5 7 2 3 2 2 2 2 2" xfId="17460"/>
    <cellStyle name="Normal 5 7 2 3 2 2 2 2 2 2" xfId="40881"/>
    <cellStyle name="Normal 5 7 2 3 2 2 2 2 3" xfId="23177"/>
    <cellStyle name="Normal 5 7 2 3 2 2 2 2 3 2" xfId="45599"/>
    <cellStyle name="Normal 5 7 2 3 2 2 2 2 4" xfId="34249"/>
    <cellStyle name="Normal 5 7 2 3 2 2 2 3" xfId="14144"/>
    <cellStyle name="Normal 5 7 2 3 2 2 2 3 2" xfId="37565"/>
    <cellStyle name="Normal 5 7 2 3 2 2 2 4" xfId="20352"/>
    <cellStyle name="Normal 5 7 2 3 2 2 2 4 2" xfId="42887"/>
    <cellStyle name="Normal 5 7 2 3 2 2 2 5" xfId="30933"/>
    <cellStyle name="Normal 5 7 2 3 2 2 3" xfId="9098"/>
    <cellStyle name="Normal 5 7 2 3 2 2 3 2" xfId="15802"/>
    <cellStyle name="Normal 5 7 2 3 2 2 3 2 2" xfId="39223"/>
    <cellStyle name="Normal 5 7 2 3 2 2 3 3" xfId="21440"/>
    <cellStyle name="Normal 5 7 2 3 2 2 3 3 2" xfId="43891"/>
    <cellStyle name="Normal 5 7 2 3 2 2 3 4" xfId="32591"/>
    <cellStyle name="Normal 5 7 2 3 2 2 4" xfId="12486"/>
    <cellStyle name="Normal 5 7 2 3 2 2 4 2" xfId="22365"/>
    <cellStyle name="Normal 5 7 2 3 2 2 4 2 2" xfId="44787"/>
    <cellStyle name="Normal 5 7 2 3 2 2 4 3" xfId="35907"/>
    <cellStyle name="Normal 5 7 2 3 2 2 5" xfId="19513"/>
    <cellStyle name="Normal 5 7 2 3 2 2 5 2" xfId="42055"/>
    <cellStyle name="Normal 5 7 2 3 2 2 6" xfId="29275"/>
    <cellStyle name="Normal 5 7 2 3 2 3" xfId="6524"/>
    <cellStyle name="Normal 5 7 2 3 2 3 2" xfId="9858"/>
    <cellStyle name="Normal 5 7 2 3 2 3 2 2" xfId="16562"/>
    <cellStyle name="Normal 5 7 2 3 2 3 2 2 2" xfId="39983"/>
    <cellStyle name="Normal 5 7 2 3 2 3 2 3" xfId="22772"/>
    <cellStyle name="Normal 5 7 2 3 2 3 2 3 2" xfId="45194"/>
    <cellStyle name="Normal 5 7 2 3 2 3 2 4" xfId="33351"/>
    <cellStyle name="Normal 5 7 2 3 2 3 3" xfId="13246"/>
    <cellStyle name="Normal 5 7 2 3 2 3 3 2" xfId="36667"/>
    <cellStyle name="Normal 5 7 2 3 2 3 4" xfId="19936"/>
    <cellStyle name="Normal 5 7 2 3 2 3 4 2" xfId="42471"/>
    <cellStyle name="Normal 5 7 2 3 2 3 5" xfId="30035"/>
    <cellStyle name="Normal 5 7 2 3 2 4" xfId="8191"/>
    <cellStyle name="Normal 5 7 2 3 2 4 2" xfId="14904"/>
    <cellStyle name="Normal 5 7 2 3 2 4 2 2" xfId="38325"/>
    <cellStyle name="Normal 5 7 2 3 2 4 3" xfId="20981"/>
    <cellStyle name="Normal 5 7 2 3 2 4 3 2" xfId="43432"/>
    <cellStyle name="Normal 5 7 2 3 2 4 4" xfId="31693"/>
    <cellStyle name="Normal 5 7 2 3 2 5" xfId="11586"/>
    <cellStyle name="Normal 5 7 2 3 2 5 2" xfId="21941"/>
    <cellStyle name="Normal 5 7 2 3 2 5 2 2" xfId="44373"/>
    <cellStyle name="Normal 5 7 2 3 2 5 3" xfId="35009"/>
    <cellStyle name="Normal 5 7 2 3 2 6" xfId="18807"/>
    <cellStyle name="Normal 5 7 2 3 2 6 2" xfId="41630"/>
    <cellStyle name="Normal 5 7 2 3 2 7" xfId="25944"/>
    <cellStyle name="Normal 5 7 2 3 2 7 2" xfId="48189"/>
    <cellStyle name="Normal 5 7 2 3 2 8" xfId="28377"/>
    <cellStyle name="Normal 5 7 2 3 3" xfId="2753"/>
    <cellStyle name="Normal 5 7 2 3 3 2" xfId="5845"/>
    <cellStyle name="Normal 5 7 2 3 3 2 2" xfId="7627"/>
    <cellStyle name="Normal 5 7 2 3 3 2 2 2" xfId="10956"/>
    <cellStyle name="Normal 5 7 2 3 3 2 2 2 2" xfId="17660"/>
    <cellStyle name="Normal 5 7 2 3 3 2 2 2 2 2" xfId="41081"/>
    <cellStyle name="Normal 5 7 2 3 3 2 2 2 3" xfId="34449"/>
    <cellStyle name="Normal 5 7 2 3 3 2 2 3" xfId="14344"/>
    <cellStyle name="Normal 5 7 2 3 3 2 2 3 2" xfId="37765"/>
    <cellStyle name="Normal 5 7 2 3 3 2 2 4" xfId="22972"/>
    <cellStyle name="Normal 5 7 2 3 3 2 2 4 2" xfId="45394"/>
    <cellStyle name="Normal 5 7 2 3 3 2 2 5" xfId="31133"/>
    <cellStyle name="Normal 5 7 2 3 3 2 3" xfId="9298"/>
    <cellStyle name="Normal 5 7 2 3 3 2 3 2" xfId="16002"/>
    <cellStyle name="Normal 5 7 2 3 3 2 3 2 2" xfId="39423"/>
    <cellStyle name="Normal 5 7 2 3 3 2 3 3" xfId="32791"/>
    <cellStyle name="Normal 5 7 2 3 3 2 4" xfId="12686"/>
    <cellStyle name="Normal 5 7 2 3 3 2 4 2" xfId="36107"/>
    <cellStyle name="Normal 5 7 2 3 3 2 5" xfId="20144"/>
    <cellStyle name="Normal 5 7 2 3 3 2 5 2" xfId="42679"/>
    <cellStyle name="Normal 5 7 2 3 3 2 6" xfId="29475"/>
    <cellStyle name="Normal 5 7 2 3 3 3" xfId="6728"/>
    <cellStyle name="Normal 5 7 2 3 3 3 2" xfId="10060"/>
    <cellStyle name="Normal 5 7 2 3 3 3 2 2" xfId="16764"/>
    <cellStyle name="Normal 5 7 2 3 3 3 2 2 2" xfId="40185"/>
    <cellStyle name="Normal 5 7 2 3 3 3 2 3" xfId="33553"/>
    <cellStyle name="Normal 5 7 2 3 3 3 3" xfId="13448"/>
    <cellStyle name="Normal 5 7 2 3 3 3 3 2" xfId="36869"/>
    <cellStyle name="Normal 5 7 2 3 3 3 4" xfId="21439"/>
    <cellStyle name="Normal 5 7 2 3 3 3 4 2" xfId="43890"/>
    <cellStyle name="Normal 5 7 2 3 3 3 5" xfId="30237"/>
    <cellStyle name="Normal 5 7 2 3 3 4" xfId="8394"/>
    <cellStyle name="Normal 5 7 2 3 3 4 2" xfId="15106"/>
    <cellStyle name="Normal 5 7 2 3 3 4 2 2" xfId="38527"/>
    <cellStyle name="Normal 5 7 2 3 3 4 3" xfId="22155"/>
    <cellStyle name="Normal 5 7 2 3 3 4 3 2" xfId="44579"/>
    <cellStyle name="Normal 5 7 2 3 3 4 4" xfId="31895"/>
    <cellStyle name="Normal 5 7 2 3 3 5" xfId="11788"/>
    <cellStyle name="Normal 5 7 2 3 3 5 2" xfId="35211"/>
    <cellStyle name="Normal 5 7 2 3 3 6" xfId="19294"/>
    <cellStyle name="Normal 5 7 2 3 3 6 2" xfId="41847"/>
    <cellStyle name="Normal 5 7 2 3 3 7" xfId="28579"/>
    <cellStyle name="Normal 5 7 2 3 4" xfId="4133"/>
    <cellStyle name="Normal 5 7 2 3 4 2" xfId="7097"/>
    <cellStyle name="Normal 5 7 2 3 4 2 2" xfId="10429"/>
    <cellStyle name="Normal 5 7 2 3 4 2 2 2" xfId="17133"/>
    <cellStyle name="Normal 5 7 2 3 4 2 2 2 2" xfId="40554"/>
    <cellStyle name="Normal 5 7 2 3 4 2 2 3" xfId="33922"/>
    <cellStyle name="Normal 5 7 2 3 4 2 3" xfId="13817"/>
    <cellStyle name="Normal 5 7 2 3 4 2 3 2" xfId="37238"/>
    <cellStyle name="Normal 5 7 2 3 4 2 4" xfId="22567"/>
    <cellStyle name="Normal 5 7 2 3 4 2 4 2" xfId="44989"/>
    <cellStyle name="Normal 5 7 2 3 4 2 5" xfId="30606"/>
    <cellStyle name="Normal 5 7 2 3 4 3" xfId="8764"/>
    <cellStyle name="Normal 5 7 2 3 4 3 2" xfId="15475"/>
    <cellStyle name="Normal 5 7 2 3 4 3 2 2" xfId="38896"/>
    <cellStyle name="Normal 5 7 2 3 4 3 3" xfId="32264"/>
    <cellStyle name="Normal 5 7 2 3 4 4" xfId="12157"/>
    <cellStyle name="Normal 5 7 2 3 4 4 2" xfId="35580"/>
    <cellStyle name="Normal 5 7 2 3 4 5" xfId="19726"/>
    <cellStyle name="Normal 5 7 2 3 4 5 2" xfId="42263"/>
    <cellStyle name="Normal 5 7 2 3 4 6" xfId="28948"/>
    <cellStyle name="Normal 5 7 2 3 5" xfId="6255"/>
    <cellStyle name="Normal 5 7 2 3 5 2" xfId="9589"/>
    <cellStyle name="Normal 5 7 2 3 5 2 2" xfId="16293"/>
    <cellStyle name="Normal 5 7 2 3 5 2 2 2" xfId="39714"/>
    <cellStyle name="Normal 5 7 2 3 5 2 3" xfId="33082"/>
    <cellStyle name="Normal 5 7 2 3 5 3" xfId="12977"/>
    <cellStyle name="Normal 5 7 2 3 5 3 2" xfId="36398"/>
    <cellStyle name="Normal 5 7 2 3 5 4" xfId="20980"/>
    <cellStyle name="Normal 5 7 2 3 5 4 2" xfId="43431"/>
    <cellStyle name="Normal 5 7 2 3 5 5" xfId="29766"/>
    <cellStyle name="Normal 5 7 2 3 6" xfId="7921"/>
    <cellStyle name="Normal 5 7 2 3 6 2" xfId="14635"/>
    <cellStyle name="Normal 5 7 2 3 6 2 2" xfId="38056"/>
    <cellStyle name="Normal 5 7 2 3 6 3" xfId="21717"/>
    <cellStyle name="Normal 5 7 2 3 6 3 2" xfId="44166"/>
    <cellStyle name="Normal 5 7 2 3 6 4" xfId="31424"/>
    <cellStyle name="Normal 5 7 2 3 7" xfId="11317"/>
    <cellStyle name="Normal 5 7 2 3 7 2" xfId="34740"/>
    <cellStyle name="Normal 5 7 2 3 8" xfId="18107"/>
    <cellStyle name="Normal 5 7 2 3 8 2" xfId="41395"/>
    <cellStyle name="Normal 5 7 2 3 9" xfId="23713"/>
    <cellStyle name="Normal 5 7 2 3 9 2" xfId="46002"/>
    <cellStyle name="Normal 5 7 2 4" xfId="2361"/>
    <cellStyle name="Normal 5 7 2 4 2" xfId="5599"/>
    <cellStyle name="Normal 5 7 2 4 2 2" xfId="7422"/>
    <cellStyle name="Normal 5 7 2 4 2 2 2" xfId="10753"/>
    <cellStyle name="Normal 5 7 2 4 2 2 2 2" xfId="17457"/>
    <cellStyle name="Normal 5 7 2 4 2 2 2 2 2" xfId="40878"/>
    <cellStyle name="Normal 5 7 2 4 2 2 2 3" xfId="23174"/>
    <cellStyle name="Normal 5 7 2 4 2 2 2 3 2" xfId="45596"/>
    <cellStyle name="Normal 5 7 2 4 2 2 2 4" xfId="34246"/>
    <cellStyle name="Normal 5 7 2 4 2 2 3" xfId="14141"/>
    <cellStyle name="Normal 5 7 2 4 2 2 3 2" xfId="37562"/>
    <cellStyle name="Normal 5 7 2 4 2 2 4" xfId="20349"/>
    <cellStyle name="Normal 5 7 2 4 2 2 4 2" xfId="42884"/>
    <cellStyle name="Normal 5 7 2 4 2 2 5" xfId="30930"/>
    <cellStyle name="Normal 5 7 2 4 2 3" xfId="9095"/>
    <cellStyle name="Normal 5 7 2 4 2 3 2" xfId="15799"/>
    <cellStyle name="Normal 5 7 2 4 2 3 2 2" xfId="39220"/>
    <cellStyle name="Normal 5 7 2 4 2 3 3" xfId="21441"/>
    <cellStyle name="Normal 5 7 2 4 2 3 3 2" xfId="43892"/>
    <cellStyle name="Normal 5 7 2 4 2 3 4" xfId="32588"/>
    <cellStyle name="Normal 5 7 2 4 2 4" xfId="12483"/>
    <cellStyle name="Normal 5 7 2 4 2 4 2" xfId="22362"/>
    <cellStyle name="Normal 5 7 2 4 2 4 2 2" xfId="44784"/>
    <cellStyle name="Normal 5 7 2 4 2 4 3" xfId="35904"/>
    <cellStyle name="Normal 5 7 2 4 2 5" xfId="19510"/>
    <cellStyle name="Normal 5 7 2 4 2 5 2" xfId="42052"/>
    <cellStyle name="Normal 5 7 2 4 2 6" xfId="29272"/>
    <cellStyle name="Normal 5 7 2 4 3" xfId="6521"/>
    <cellStyle name="Normal 5 7 2 4 3 2" xfId="9855"/>
    <cellStyle name="Normal 5 7 2 4 3 2 2" xfId="16559"/>
    <cellStyle name="Normal 5 7 2 4 3 2 2 2" xfId="39980"/>
    <cellStyle name="Normal 5 7 2 4 3 2 3" xfId="22769"/>
    <cellStyle name="Normal 5 7 2 4 3 2 3 2" xfId="45191"/>
    <cellStyle name="Normal 5 7 2 4 3 2 4" xfId="33348"/>
    <cellStyle name="Normal 5 7 2 4 3 3" xfId="13243"/>
    <cellStyle name="Normal 5 7 2 4 3 3 2" xfId="36664"/>
    <cellStyle name="Normal 5 7 2 4 3 4" xfId="19933"/>
    <cellStyle name="Normal 5 7 2 4 3 4 2" xfId="42468"/>
    <cellStyle name="Normal 5 7 2 4 3 5" xfId="30032"/>
    <cellStyle name="Normal 5 7 2 4 4" xfId="8188"/>
    <cellStyle name="Normal 5 7 2 4 4 2" xfId="14901"/>
    <cellStyle name="Normal 5 7 2 4 4 2 2" xfId="38322"/>
    <cellStyle name="Normal 5 7 2 4 4 3" xfId="20982"/>
    <cellStyle name="Normal 5 7 2 4 4 3 2" xfId="43433"/>
    <cellStyle name="Normal 5 7 2 4 4 4" xfId="31690"/>
    <cellStyle name="Normal 5 7 2 4 5" xfId="11583"/>
    <cellStyle name="Normal 5 7 2 4 5 2" xfId="21938"/>
    <cellStyle name="Normal 5 7 2 4 5 2 2" xfId="44370"/>
    <cellStyle name="Normal 5 7 2 4 5 3" xfId="35006"/>
    <cellStyle name="Normal 5 7 2 4 6" xfId="18804"/>
    <cellStyle name="Normal 5 7 2 4 6 2" xfId="41627"/>
    <cellStyle name="Normal 5 7 2 4 7" xfId="25941"/>
    <cellStyle name="Normal 5 7 2 4 7 2" xfId="48186"/>
    <cellStyle name="Normal 5 7 2 4 8" xfId="28374"/>
    <cellStyle name="Normal 5 7 2 5" xfId="2621"/>
    <cellStyle name="Normal 5 7 2 5 2" xfId="5714"/>
    <cellStyle name="Normal 5 7 2 5 2 2" xfId="7496"/>
    <cellStyle name="Normal 5 7 2 5 2 2 2" xfId="10825"/>
    <cellStyle name="Normal 5 7 2 5 2 2 2 2" xfId="17529"/>
    <cellStyle name="Normal 5 7 2 5 2 2 2 2 2" xfId="40950"/>
    <cellStyle name="Normal 5 7 2 5 2 2 2 3" xfId="34318"/>
    <cellStyle name="Normal 5 7 2 5 2 2 3" xfId="14213"/>
    <cellStyle name="Normal 5 7 2 5 2 2 3 2" xfId="37634"/>
    <cellStyle name="Normal 5 7 2 5 2 2 4" xfId="20611"/>
    <cellStyle name="Normal 5 7 2 5 2 2 4 2" xfId="43062"/>
    <cellStyle name="Normal 5 7 2 5 2 2 5" xfId="31002"/>
    <cellStyle name="Normal 5 7 2 5 2 3" xfId="9167"/>
    <cellStyle name="Normal 5 7 2 5 2 3 2" xfId="15871"/>
    <cellStyle name="Normal 5 7 2 5 2 3 2 2" xfId="39292"/>
    <cellStyle name="Normal 5 7 2 5 2 3 3" xfId="21529"/>
    <cellStyle name="Normal 5 7 2 5 2 3 3 2" xfId="43980"/>
    <cellStyle name="Normal 5 7 2 5 2 3 4" xfId="32660"/>
    <cellStyle name="Normal 5 7 2 5 2 4" xfId="12555"/>
    <cellStyle name="Normal 5 7 2 5 2 4 2" xfId="22969"/>
    <cellStyle name="Normal 5 7 2 5 2 4 2 2" xfId="45391"/>
    <cellStyle name="Normal 5 7 2 5 2 4 3" xfId="35976"/>
    <cellStyle name="Normal 5 7 2 5 2 5" xfId="20141"/>
    <cellStyle name="Normal 5 7 2 5 2 5 2" xfId="42676"/>
    <cellStyle name="Normal 5 7 2 5 2 6" xfId="29344"/>
    <cellStyle name="Normal 5 7 2 5 3" xfId="6597"/>
    <cellStyle name="Normal 5 7 2 5 3 2" xfId="9929"/>
    <cellStyle name="Normal 5 7 2 5 3 2 2" xfId="16633"/>
    <cellStyle name="Normal 5 7 2 5 3 2 2 2" xfId="40054"/>
    <cellStyle name="Normal 5 7 2 5 3 2 3" xfId="33422"/>
    <cellStyle name="Normal 5 7 2 5 3 3" xfId="13317"/>
    <cellStyle name="Normal 5 7 2 5 3 3 2" xfId="36738"/>
    <cellStyle name="Normal 5 7 2 5 3 4" xfId="20513"/>
    <cellStyle name="Normal 5 7 2 5 3 4 2" xfId="42966"/>
    <cellStyle name="Normal 5 7 2 5 3 5" xfId="30106"/>
    <cellStyle name="Normal 5 7 2 5 4" xfId="8263"/>
    <cellStyle name="Normal 5 7 2 5 4 2" xfId="14975"/>
    <cellStyle name="Normal 5 7 2 5 4 2 2" xfId="38396"/>
    <cellStyle name="Normal 5 7 2 5 4 3" xfId="21070"/>
    <cellStyle name="Normal 5 7 2 5 4 3 2" xfId="43521"/>
    <cellStyle name="Normal 5 7 2 5 4 4" xfId="31764"/>
    <cellStyle name="Normal 5 7 2 5 5" xfId="11657"/>
    <cellStyle name="Normal 5 7 2 5 5 2" xfId="22152"/>
    <cellStyle name="Normal 5 7 2 5 5 2 2" xfId="44576"/>
    <cellStyle name="Normal 5 7 2 5 5 3" xfId="35080"/>
    <cellStyle name="Normal 5 7 2 5 6" xfId="19291"/>
    <cellStyle name="Normal 5 7 2 5 6 2" xfId="41844"/>
    <cellStyle name="Normal 5 7 2 5 7" xfId="28448"/>
    <cellStyle name="Normal 5 7 2 6" xfId="4130"/>
    <cellStyle name="Normal 5 7 2 6 2" xfId="7094"/>
    <cellStyle name="Normal 5 7 2 6 2 2" xfId="10426"/>
    <cellStyle name="Normal 5 7 2 6 2 2 2" xfId="17130"/>
    <cellStyle name="Normal 5 7 2 6 2 2 2 2" xfId="40551"/>
    <cellStyle name="Normal 5 7 2 6 2 2 3" xfId="33919"/>
    <cellStyle name="Normal 5 7 2 6 2 3" xfId="13814"/>
    <cellStyle name="Normal 5 7 2 6 2 3 2" xfId="37235"/>
    <cellStyle name="Normal 5 7 2 6 2 4" xfId="20562"/>
    <cellStyle name="Normal 5 7 2 6 2 4 2" xfId="43013"/>
    <cellStyle name="Normal 5 7 2 6 2 5" xfId="30603"/>
    <cellStyle name="Normal 5 7 2 6 3" xfId="8761"/>
    <cellStyle name="Normal 5 7 2 6 3 2" xfId="15472"/>
    <cellStyle name="Normal 5 7 2 6 3 2 2" xfId="38893"/>
    <cellStyle name="Normal 5 7 2 6 3 3" xfId="21434"/>
    <cellStyle name="Normal 5 7 2 6 3 3 2" xfId="43885"/>
    <cellStyle name="Normal 5 7 2 6 3 4" xfId="32261"/>
    <cellStyle name="Normal 5 7 2 6 4" xfId="12154"/>
    <cellStyle name="Normal 5 7 2 6 4 2" xfId="22564"/>
    <cellStyle name="Normal 5 7 2 6 4 2 2" xfId="44986"/>
    <cellStyle name="Normal 5 7 2 6 4 3" xfId="35577"/>
    <cellStyle name="Normal 5 7 2 6 5" xfId="19723"/>
    <cellStyle name="Normal 5 7 2 6 5 2" xfId="42260"/>
    <cellStyle name="Normal 5 7 2 6 6" xfId="28945"/>
    <cellStyle name="Normal 5 7 2 7" xfId="6124"/>
    <cellStyle name="Normal 5 7 2 7 2" xfId="9458"/>
    <cellStyle name="Normal 5 7 2 7 2 2" xfId="16162"/>
    <cellStyle name="Normal 5 7 2 7 2 2 2" xfId="39583"/>
    <cellStyle name="Normal 5 7 2 7 2 3" xfId="32951"/>
    <cellStyle name="Normal 5 7 2 7 3" xfId="12846"/>
    <cellStyle name="Normal 5 7 2 7 3 2" xfId="36267"/>
    <cellStyle name="Normal 5 7 2 7 4" xfId="20464"/>
    <cellStyle name="Normal 5 7 2 7 4 2" xfId="42917"/>
    <cellStyle name="Normal 5 7 2 7 5" xfId="29635"/>
    <cellStyle name="Normal 5 7 2 8" xfId="7790"/>
    <cellStyle name="Normal 5 7 2 8 2" xfId="14504"/>
    <cellStyle name="Normal 5 7 2 8 2 2" xfId="37925"/>
    <cellStyle name="Normal 5 7 2 8 3" xfId="20975"/>
    <cellStyle name="Normal 5 7 2 8 3 2" xfId="43426"/>
    <cellStyle name="Normal 5 7 2 8 4" xfId="31293"/>
    <cellStyle name="Normal 5 7 2 9" xfId="11186"/>
    <cellStyle name="Normal 5 7 2 9 2" xfId="21714"/>
    <cellStyle name="Normal 5 7 2 9 2 2" xfId="44163"/>
    <cellStyle name="Normal 5 7 2 9 3" xfId="34609"/>
    <cellStyle name="Normal 5 7 3" xfId="1634"/>
    <cellStyle name="Normal 5 7 3 10" xfId="23714"/>
    <cellStyle name="Normal 5 7 3 10 2" xfId="46003"/>
    <cellStyle name="Normal 5 7 3 11" xfId="28052"/>
    <cellStyle name="Normal 5 7 3 2" xfId="1831"/>
    <cellStyle name="Normal 5 7 3 2 10" xfId="28183"/>
    <cellStyle name="Normal 5 7 3 2 2" xfId="2366"/>
    <cellStyle name="Normal 5 7 3 2 2 2" xfId="5604"/>
    <cellStyle name="Normal 5 7 3 2 2 2 2" xfId="7427"/>
    <cellStyle name="Normal 5 7 3 2 2 2 2 2" xfId="10758"/>
    <cellStyle name="Normal 5 7 3 2 2 2 2 2 2" xfId="17462"/>
    <cellStyle name="Normal 5 7 3 2 2 2 2 2 2 2" xfId="40883"/>
    <cellStyle name="Normal 5 7 3 2 2 2 2 2 3" xfId="23179"/>
    <cellStyle name="Normal 5 7 3 2 2 2 2 2 3 2" xfId="45601"/>
    <cellStyle name="Normal 5 7 3 2 2 2 2 2 4" xfId="34251"/>
    <cellStyle name="Normal 5 7 3 2 2 2 2 3" xfId="14146"/>
    <cellStyle name="Normal 5 7 3 2 2 2 2 3 2" xfId="37567"/>
    <cellStyle name="Normal 5 7 3 2 2 2 2 4" xfId="20354"/>
    <cellStyle name="Normal 5 7 3 2 2 2 2 4 2" xfId="42889"/>
    <cellStyle name="Normal 5 7 3 2 2 2 2 5" xfId="30935"/>
    <cellStyle name="Normal 5 7 3 2 2 2 3" xfId="9100"/>
    <cellStyle name="Normal 5 7 3 2 2 2 3 2" xfId="15804"/>
    <cellStyle name="Normal 5 7 3 2 2 2 3 2 2" xfId="39225"/>
    <cellStyle name="Normal 5 7 3 2 2 2 3 3" xfId="21444"/>
    <cellStyle name="Normal 5 7 3 2 2 2 3 3 2" xfId="43895"/>
    <cellStyle name="Normal 5 7 3 2 2 2 3 4" xfId="32593"/>
    <cellStyle name="Normal 5 7 3 2 2 2 4" xfId="12488"/>
    <cellStyle name="Normal 5 7 3 2 2 2 4 2" xfId="22367"/>
    <cellStyle name="Normal 5 7 3 2 2 2 4 2 2" xfId="44789"/>
    <cellStyle name="Normal 5 7 3 2 2 2 4 3" xfId="35909"/>
    <cellStyle name="Normal 5 7 3 2 2 2 5" xfId="19515"/>
    <cellStyle name="Normal 5 7 3 2 2 2 5 2" xfId="42057"/>
    <cellStyle name="Normal 5 7 3 2 2 2 6" xfId="29277"/>
    <cellStyle name="Normal 5 7 3 2 2 3" xfId="6526"/>
    <cellStyle name="Normal 5 7 3 2 2 3 2" xfId="9860"/>
    <cellStyle name="Normal 5 7 3 2 2 3 2 2" xfId="16564"/>
    <cellStyle name="Normal 5 7 3 2 2 3 2 2 2" xfId="39985"/>
    <cellStyle name="Normal 5 7 3 2 2 3 2 3" xfId="22774"/>
    <cellStyle name="Normal 5 7 3 2 2 3 2 3 2" xfId="45196"/>
    <cellStyle name="Normal 5 7 3 2 2 3 2 4" xfId="33353"/>
    <cellStyle name="Normal 5 7 3 2 2 3 3" xfId="13248"/>
    <cellStyle name="Normal 5 7 3 2 2 3 3 2" xfId="36669"/>
    <cellStyle name="Normal 5 7 3 2 2 3 4" xfId="19938"/>
    <cellStyle name="Normal 5 7 3 2 2 3 4 2" xfId="42473"/>
    <cellStyle name="Normal 5 7 3 2 2 3 5" xfId="30037"/>
    <cellStyle name="Normal 5 7 3 2 2 4" xfId="8193"/>
    <cellStyle name="Normal 5 7 3 2 2 4 2" xfId="14906"/>
    <cellStyle name="Normal 5 7 3 2 2 4 2 2" xfId="38327"/>
    <cellStyle name="Normal 5 7 3 2 2 4 3" xfId="20985"/>
    <cellStyle name="Normal 5 7 3 2 2 4 3 2" xfId="43436"/>
    <cellStyle name="Normal 5 7 3 2 2 4 4" xfId="31695"/>
    <cellStyle name="Normal 5 7 3 2 2 5" xfId="11588"/>
    <cellStyle name="Normal 5 7 3 2 2 5 2" xfId="21943"/>
    <cellStyle name="Normal 5 7 3 2 2 5 2 2" xfId="44375"/>
    <cellStyle name="Normal 5 7 3 2 2 5 3" xfId="35011"/>
    <cellStyle name="Normal 5 7 3 2 2 6" xfId="18809"/>
    <cellStyle name="Normal 5 7 3 2 2 6 2" xfId="41632"/>
    <cellStyle name="Normal 5 7 3 2 2 7" xfId="25946"/>
    <cellStyle name="Normal 5 7 3 2 2 7 2" xfId="48191"/>
    <cellStyle name="Normal 5 7 3 2 2 8" xfId="28379"/>
    <cellStyle name="Normal 5 7 3 2 3" xfId="2828"/>
    <cellStyle name="Normal 5 7 3 2 3 2" xfId="5920"/>
    <cellStyle name="Normal 5 7 3 2 3 2 2" xfId="7702"/>
    <cellStyle name="Normal 5 7 3 2 3 2 2 2" xfId="11031"/>
    <cellStyle name="Normal 5 7 3 2 3 2 2 2 2" xfId="17735"/>
    <cellStyle name="Normal 5 7 3 2 3 2 2 2 2 2" xfId="41156"/>
    <cellStyle name="Normal 5 7 3 2 3 2 2 2 3" xfId="34524"/>
    <cellStyle name="Normal 5 7 3 2 3 2 2 3" xfId="14419"/>
    <cellStyle name="Normal 5 7 3 2 3 2 2 3 2" xfId="37840"/>
    <cellStyle name="Normal 5 7 3 2 3 2 2 4" xfId="22974"/>
    <cellStyle name="Normal 5 7 3 2 3 2 2 4 2" xfId="45396"/>
    <cellStyle name="Normal 5 7 3 2 3 2 2 5" xfId="31208"/>
    <cellStyle name="Normal 5 7 3 2 3 2 3" xfId="9373"/>
    <cellStyle name="Normal 5 7 3 2 3 2 3 2" xfId="16077"/>
    <cellStyle name="Normal 5 7 3 2 3 2 3 2 2" xfId="39498"/>
    <cellStyle name="Normal 5 7 3 2 3 2 3 3" xfId="32866"/>
    <cellStyle name="Normal 5 7 3 2 3 2 4" xfId="12761"/>
    <cellStyle name="Normal 5 7 3 2 3 2 4 2" xfId="36182"/>
    <cellStyle name="Normal 5 7 3 2 3 2 5" xfId="20146"/>
    <cellStyle name="Normal 5 7 3 2 3 2 5 2" xfId="42681"/>
    <cellStyle name="Normal 5 7 3 2 3 2 6" xfId="29550"/>
    <cellStyle name="Normal 5 7 3 2 3 3" xfId="6803"/>
    <cellStyle name="Normal 5 7 3 2 3 3 2" xfId="10135"/>
    <cellStyle name="Normal 5 7 3 2 3 3 2 2" xfId="16839"/>
    <cellStyle name="Normal 5 7 3 2 3 3 2 2 2" xfId="40260"/>
    <cellStyle name="Normal 5 7 3 2 3 3 2 3" xfId="33628"/>
    <cellStyle name="Normal 5 7 3 2 3 3 3" xfId="13523"/>
    <cellStyle name="Normal 5 7 3 2 3 3 3 2" xfId="36944"/>
    <cellStyle name="Normal 5 7 3 2 3 3 4" xfId="21443"/>
    <cellStyle name="Normal 5 7 3 2 3 3 4 2" xfId="43894"/>
    <cellStyle name="Normal 5 7 3 2 3 3 5" xfId="30312"/>
    <cellStyle name="Normal 5 7 3 2 3 4" xfId="8469"/>
    <cellStyle name="Normal 5 7 3 2 3 4 2" xfId="15181"/>
    <cellStyle name="Normal 5 7 3 2 3 4 2 2" xfId="38602"/>
    <cellStyle name="Normal 5 7 3 2 3 4 3" xfId="22157"/>
    <cellStyle name="Normal 5 7 3 2 3 4 3 2" xfId="44581"/>
    <cellStyle name="Normal 5 7 3 2 3 4 4" xfId="31970"/>
    <cellStyle name="Normal 5 7 3 2 3 5" xfId="11863"/>
    <cellStyle name="Normal 5 7 3 2 3 5 2" xfId="35286"/>
    <cellStyle name="Normal 5 7 3 2 3 6" xfId="19296"/>
    <cellStyle name="Normal 5 7 3 2 3 6 2" xfId="41849"/>
    <cellStyle name="Normal 5 7 3 2 3 7" xfId="28654"/>
    <cellStyle name="Normal 5 7 3 2 4" xfId="4135"/>
    <cellStyle name="Normal 5 7 3 2 4 2" xfId="7099"/>
    <cellStyle name="Normal 5 7 3 2 4 2 2" xfId="10431"/>
    <cellStyle name="Normal 5 7 3 2 4 2 2 2" xfId="17135"/>
    <cellStyle name="Normal 5 7 3 2 4 2 2 2 2" xfId="40556"/>
    <cellStyle name="Normal 5 7 3 2 4 2 2 3" xfId="33924"/>
    <cellStyle name="Normal 5 7 3 2 4 2 3" xfId="13819"/>
    <cellStyle name="Normal 5 7 3 2 4 2 3 2" xfId="37240"/>
    <cellStyle name="Normal 5 7 3 2 4 2 4" xfId="22569"/>
    <cellStyle name="Normal 5 7 3 2 4 2 4 2" xfId="44991"/>
    <cellStyle name="Normal 5 7 3 2 4 2 5" xfId="30608"/>
    <cellStyle name="Normal 5 7 3 2 4 3" xfId="8766"/>
    <cellStyle name="Normal 5 7 3 2 4 3 2" xfId="15477"/>
    <cellStyle name="Normal 5 7 3 2 4 3 2 2" xfId="38898"/>
    <cellStyle name="Normal 5 7 3 2 4 3 3" xfId="32266"/>
    <cellStyle name="Normal 5 7 3 2 4 4" xfId="12159"/>
    <cellStyle name="Normal 5 7 3 2 4 4 2" xfId="35582"/>
    <cellStyle name="Normal 5 7 3 2 4 5" xfId="19728"/>
    <cellStyle name="Normal 5 7 3 2 4 5 2" xfId="42265"/>
    <cellStyle name="Normal 5 7 3 2 4 6" xfId="28950"/>
    <cellStyle name="Normal 5 7 3 2 5" xfId="6330"/>
    <cellStyle name="Normal 5 7 3 2 5 2" xfId="9664"/>
    <cellStyle name="Normal 5 7 3 2 5 2 2" xfId="16368"/>
    <cellStyle name="Normal 5 7 3 2 5 2 2 2" xfId="39789"/>
    <cellStyle name="Normal 5 7 3 2 5 2 3" xfId="33157"/>
    <cellStyle name="Normal 5 7 3 2 5 3" xfId="13052"/>
    <cellStyle name="Normal 5 7 3 2 5 3 2" xfId="36473"/>
    <cellStyle name="Normal 5 7 3 2 5 4" xfId="20984"/>
    <cellStyle name="Normal 5 7 3 2 5 4 2" xfId="43435"/>
    <cellStyle name="Normal 5 7 3 2 5 5" xfId="29841"/>
    <cellStyle name="Normal 5 7 3 2 6" xfId="7996"/>
    <cellStyle name="Normal 5 7 3 2 6 2" xfId="14710"/>
    <cellStyle name="Normal 5 7 3 2 6 2 2" xfId="38131"/>
    <cellStyle name="Normal 5 7 3 2 6 3" xfId="21719"/>
    <cellStyle name="Normal 5 7 3 2 6 3 2" xfId="44168"/>
    <cellStyle name="Normal 5 7 3 2 6 4" xfId="31499"/>
    <cellStyle name="Normal 5 7 3 2 7" xfId="11392"/>
    <cellStyle name="Normal 5 7 3 2 7 2" xfId="34815"/>
    <cellStyle name="Normal 5 7 3 2 8" xfId="18109"/>
    <cellStyle name="Normal 5 7 3 2 8 2" xfId="41397"/>
    <cellStyle name="Normal 5 7 3 2 9" xfId="23715"/>
    <cellStyle name="Normal 5 7 3 2 9 2" xfId="46004"/>
    <cellStyle name="Normal 5 7 3 3" xfId="2365"/>
    <cellStyle name="Normal 5 7 3 3 2" xfId="5603"/>
    <cellStyle name="Normal 5 7 3 3 2 2" xfId="7426"/>
    <cellStyle name="Normal 5 7 3 3 2 2 2" xfId="10757"/>
    <cellStyle name="Normal 5 7 3 3 2 2 2 2" xfId="17461"/>
    <cellStyle name="Normal 5 7 3 3 2 2 2 2 2" xfId="40882"/>
    <cellStyle name="Normal 5 7 3 3 2 2 2 3" xfId="23178"/>
    <cellStyle name="Normal 5 7 3 3 2 2 2 3 2" xfId="45600"/>
    <cellStyle name="Normal 5 7 3 3 2 2 2 4" xfId="34250"/>
    <cellStyle name="Normal 5 7 3 3 2 2 3" xfId="14145"/>
    <cellStyle name="Normal 5 7 3 3 2 2 3 2" xfId="37566"/>
    <cellStyle name="Normal 5 7 3 3 2 2 4" xfId="20353"/>
    <cellStyle name="Normal 5 7 3 3 2 2 4 2" xfId="42888"/>
    <cellStyle name="Normal 5 7 3 3 2 2 5" xfId="30934"/>
    <cellStyle name="Normal 5 7 3 3 2 3" xfId="9099"/>
    <cellStyle name="Normal 5 7 3 3 2 3 2" xfId="15803"/>
    <cellStyle name="Normal 5 7 3 3 2 3 2 2" xfId="39224"/>
    <cellStyle name="Normal 5 7 3 3 2 3 3" xfId="21445"/>
    <cellStyle name="Normal 5 7 3 3 2 3 3 2" xfId="43896"/>
    <cellStyle name="Normal 5 7 3 3 2 3 4" xfId="32592"/>
    <cellStyle name="Normal 5 7 3 3 2 4" xfId="12487"/>
    <cellStyle name="Normal 5 7 3 3 2 4 2" xfId="22366"/>
    <cellStyle name="Normal 5 7 3 3 2 4 2 2" xfId="44788"/>
    <cellStyle name="Normal 5 7 3 3 2 4 3" xfId="35908"/>
    <cellStyle name="Normal 5 7 3 3 2 5" xfId="19514"/>
    <cellStyle name="Normal 5 7 3 3 2 5 2" xfId="42056"/>
    <cellStyle name="Normal 5 7 3 3 2 6" xfId="29276"/>
    <cellStyle name="Normal 5 7 3 3 3" xfId="6525"/>
    <cellStyle name="Normal 5 7 3 3 3 2" xfId="9859"/>
    <cellStyle name="Normal 5 7 3 3 3 2 2" xfId="16563"/>
    <cellStyle name="Normal 5 7 3 3 3 2 2 2" xfId="39984"/>
    <cellStyle name="Normal 5 7 3 3 3 2 3" xfId="22773"/>
    <cellStyle name="Normal 5 7 3 3 3 2 3 2" xfId="45195"/>
    <cellStyle name="Normal 5 7 3 3 3 2 4" xfId="33352"/>
    <cellStyle name="Normal 5 7 3 3 3 3" xfId="13247"/>
    <cellStyle name="Normal 5 7 3 3 3 3 2" xfId="36668"/>
    <cellStyle name="Normal 5 7 3 3 3 4" xfId="19937"/>
    <cellStyle name="Normal 5 7 3 3 3 4 2" xfId="42472"/>
    <cellStyle name="Normal 5 7 3 3 3 5" xfId="30036"/>
    <cellStyle name="Normal 5 7 3 3 4" xfId="8192"/>
    <cellStyle name="Normal 5 7 3 3 4 2" xfId="14905"/>
    <cellStyle name="Normal 5 7 3 3 4 2 2" xfId="38326"/>
    <cellStyle name="Normal 5 7 3 3 4 3" xfId="20986"/>
    <cellStyle name="Normal 5 7 3 3 4 3 2" xfId="43437"/>
    <cellStyle name="Normal 5 7 3 3 4 4" xfId="31694"/>
    <cellStyle name="Normal 5 7 3 3 5" xfId="11587"/>
    <cellStyle name="Normal 5 7 3 3 5 2" xfId="21942"/>
    <cellStyle name="Normal 5 7 3 3 5 2 2" xfId="44374"/>
    <cellStyle name="Normal 5 7 3 3 5 3" xfId="35010"/>
    <cellStyle name="Normal 5 7 3 3 6" xfId="18808"/>
    <cellStyle name="Normal 5 7 3 3 6 2" xfId="41631"/>
    <cellStyle name="Normal 5 7 3 3 7" xfId="25945"/>
    <cellStyle name="Normal 5 7 3 3 7 2" xfId="48190"/>
    <cellStyle name="Normal 5 7 3 3 8" xfId="28378"/>
    <cellStyle name="Normal 5 7 3 4" xfId="2696"/>
    <cellStyle name="Normal 5 7 3 4 2" xfId="5789"/>
    <cellStyle name="Normal 5 7 3 4 2 2" xfId="7571"/>
    <cellStyle name="Normal 5 7 3 4 2 2 2" xfId="10900"/>
    <cellStyle name="Normal 5 7 3 4 2 2 2 2" xfId="17604"/>
    <cellStyle name="Normal 5 7 3 4 2 2 2 2 2" xfId="41025"/>
    <cellStyle name="Normal 5 7 3 4 2 2 2 3" xfId="34393"/>
    <cellStyle name="Normal 5 7 3 4 2 2 3" xfId="14288"/>
    <cellStyle name="Normal 5 7 3 4 2 2 3 2" xfId="37709"/>
    <cellStyle name="Normal 5 7 3 4 2 2 4" xfId="22973"/>
    <cellStyle name="Normal 5 7 3 4 2 2 4 2" xfId="45395"/>
    <cellStyle name="Normal 5 7 3 4 2 2 5" xfId="31077"/>
    <cellStyle name="Normal 5 7 3 4 2 3" xfId="9242"/>
    <cellStyle name="Normal 5 7 3 4 2 3 2" xfId="15946"/>
    <cellStyle name="Normal 5 7 3 4 2 3 2 2" xfId="39367"/>
    <cellStyle name="Normal 5 7 3 4 2 3 3" xfId="32735"/>
    <cellStyle name="Normal 5 7 3 4 2 4" xfId="12630"/>
    <cellStyle name="Normal 5 7 3 4 2 4 2" xfId="36051"/>
    <cellStyle name="Normal 5 7 3 4 2 5" xfId="20145"/>
    <cellStyle name="Normal 5 7 3 4 2 5 2" xfId="42680"/>
    <cellStyle name="Normal 5 7 3 4 2 6" xfId="29419"/>
    <cellStyle name="Normal 5 7 3 4 3" xfId="6672"/>
    <cellStyle name="Normal 5 7 3 4 3 2" xfId="10004"/>
    <cellStyle name="Normal 5 7 3 4 3 2 2" xfId="16708"/>
    <cellStyle name="Normal 5 7 3 4 3 2 2 2" xfId="40129"/>
    <cellStyle name="Normal 5 7 3 4 3 2 3" xfId="33497"/>
    <cellStyle name="Normal 5 7 3 4 3 3" xfId="13392"/>
    <cellStyle name="Normal 5 7 3 4 3 3 2" xfId="36813"/>
    <cellStyle name="Normal 5 7 3 4 3 4" xfId="21442"/>
    <cellStyle name="Normal 5 7 3 4 3 4 2" xfId="43893"/>
    <cellStyle name="Normal 5 7 3 4 3 5" xfId="30181"/>
    <cellStyle name="Normal 5 7 3 4 4" xfId="8338"/>
    <cellStyle name="Normal 5 7 3 4 4 2" xfId="15050"/>
    <cellStyle name="Normal 5 7 3 4 4 2 2" xfId="38471"/>
    <cellStyle name="Normal 5 7 3 4 4 3" xfId="22156"/>
    <cellStyle name="Normal 5 7 3 4 4 3 2" xfId="44580"/>
    <cellStyle name="Normal 5 7 3 4 4 4" xfId="31839"/>
    <cellStyle name="Normal 5 7 3 4 5" xfId="11732"/>
    <cellStyle name="Normal 5 7 3 4 5 2" xfId="35155"/>
    <cellStyle name="Normal 5 7 3 4 6" xfId="19295"/>
    <cellStyle name="Normal 5 7 3 4 6 2" xfId="41848"/>
    <cellStyle name="Normal 5 7 3 4 7" xfId="28523"/>
    <cellStyle name="Normal 5 7 3 5" xfId="4134"/>
    <cellStyle name="Normal 5 7 3 5 2" xfId="7098"/>
    <cellStyle name="Normal 5 7 3 5 2 2" xfId="10430"/>
    <cellStyle name="Normal 5 7 3 5 2 2 2" xfId="17134"/>
    <cellStyle name="Normal 5 7 3 5 2 2 2 2" xfId="40555"/>
    <cellStyle name="Normal 5 7 3 5 2 2 3" xfId="33923"/>
    <cellStyle name="Normal 5 7 3 5 2 3" xfId="13818"/>
    <cellStyle name="Normal 5 7 3 5 2 3 2" xfId="37239"/>
    <cellStyle name="Normal 5 7 3 5 2 4" xfId="22568"/>
    <cellStyle name="Normal 5 7 3 5 2 4 2" xfId="44990"/>
    <cellStyle name="Normal 5 7 3 5 2 5" xfId="30607"/>
    <cellStyle name="Normal 5 7 3 5 3" xfId="8765"/>
    <cellStyle name="Normal 5 7 3 5 3 2" xfId="15476"/>
    <cellStyle name="Normal 5 7 3 5 3 2 2" xfId="38897"/>
    <cellStyle name="Normal 5 7 3 5 3 3" xfId="32265"/>
    <cellStyle name="Normal 5 7 3 5 4" xfId="12158"/>
    <cellStyle name="Normal 5 7 3 5 4 2" xfId="35581"/>
    <cellStyle name="Normal 5 7 3 5 5" xfId="19727"/>
    <cellStyle name="Normal 5 7 3 5 5 2" xfId="42264"/>
    <cellStyle name="Normal 5 7 3 5 6" xfId="28949"/>
    <cellStyle name="Normal 5 7 3 6" xfId="6199"/>
    <cellStyle name="Normal 5 7 3 6 2" xfId="9533"/>
    <cellStyle name="Normal 5 7 3 6 2 2" xfId="16237"/>
    <cellStyle name="Normal 5 7 3 6 2 2 2" xfId="39658"/>
    <cellStyle name="Normal 5 7 3 6 2 3" xfId="33026"/>
    <cellStyle name="Normal 5 7 3 6 3" xfId="12921"/>
    <cellStyle name="Normal 5 7 3 6 3 2" xfId="36342"/>
    <cellStyle name="Normal 5 7 3 6 4" xfId="20983"/>
    <cellStyle name="Normal 5 7 3 6 4 2" xfId="43434"/>
    <cellStyle name="Normal 5 7 3 6 5" xfId="29710"/>
    <cellStyle name="Normal 5 7 3 7" xfId="7865"/>
    <cellStyle name="Normal 5 7 3 7 2" xfId="14579"/>
    <cellStyle name="Normal 5 7 3 7 2 2" xfId="38000"/>
    <cellStyle name="Normal 5 7 3 7 3" xfId="21718"/>
    <cellStyle name="Normal 5 7 3 7 3 2" xfId="44167"/>
    <cellStyle name="Normal 5 7 3 7 4" xfId="31368"/>
    <cellStyle name="Normal 5 7 3 8" xfId="11261"/>
    <cellStyle name="Normal 5 7 3 8 2" xfId="34684"/>
    <cellStyle name="Normal 5 7 3 9" xfId="18108"/>
    <cellStyle name="Normal 5 7 3 9 2" xfId="41396"/>
    <cellStyle name="Normal 5 7 4" xfId="1719"/>
    <cellStyle name="Normal 5 7 4 10" xfId="28072"/>
    <cellStyle name="Normal 5 7 4 2" xfId="2367"/>
    <cellStyle name="Normal 5 7 4 2 2" xfId="5605"/>
    <cellStyle name="Normal 5 7 4 2 2 2" xfId="7428"/>
    <cellStyle name="Normal 5 7 4 2 2 2 2" xfId="10759"/>
    <cellStyle name="Normal 5 7 4 2 2 2 2 2" xfId="17463"/>
    <cellStyle name="Normal 5 7 4 2 2 2 2 2 2" xfId="40884"/>
    <cellStyle name="Normal 5 7 4 2 2 2 2 3" xfId="23180"/>
    <cellStyle name="Normal 5 7 4 2 2 2 2 3 2" xfId="45602"/>
    <cellStyle name="Normal 5 7 4 2 2 2 2 4" xfId="34252"/>
    <cellStyle name="Normal 5 7 4 2 2 2 3" xfId="14147"/>
    <cellStyle name="Normal 5 7 4 2 2 2 3 2" xfId="37568"/>
    <cellStyle name="Normal 5 7 4 2 2 2 4" xfId="20355"/>
    <cellStyle name="Normal 5 7 4 2 2 2 4 2" xfId="42890"/>
    <cellStyle name="Normal 5 7 4 2 2 2 5" xfId="30936"/>
    <cellStyle name="Normal 5 7 4 2 2 3" xfId="9101"/>
    <cellStyle name="Normal 5 7 4 2 2 3 2" xfId="15805"/>
    <cellStyle name="Normal 5 7 4 2 2 3 2 2" xfId="39226"/>
    <cellStyle name="Normal 5 7 4 2 2 3 3" xfId="21447"/>
    <cellStyle name="Normal 5 7 4 2 2 3 3 2" xfId="43898"/>
    <cellStyle name="Normal 5 7 4 2 2 3 4" xfId="32594"/>
    <cellStyle name="Normal 5 7 4 2 2 4" xfId="12489"/>
    <cellStyle name="Normal 5 7 4 2 2 4 2" xfId="22368"/>
    <cellStyle name="Normal 5 7 4 2 2 4 2 2" xfId="44790"/>
    <cellStyle name="Normal 5 7 4 2 2 4 3" xfId="35910"/>
    <cellStyle name="Normal 5 7 4 2 2 5" xfId="19516"/>
    <cellStyle name="Normal 5 7 4 2 2 5 2" xfId="42058"/>
    <cellStyle name="Normal 5 7 4 2 2 6" xfId="29278"/>
    <cellStyle name="Normal 5 7 4 2 3" xfId="6527"/>
    <cellStyle name="Normal 5 7 4 2 3 2" xfId="9861"/>
    <cellStyle name="Normal 5 7 4 2 3 2 2" xfId="16565"/>
    <cellStyle name="Normal 5 7 4 2 3 2 2 2" xfId="39986"/>
    <cellStyle name="Normal 5 7 4 2 3 2 3" xfId="22775"/>
    <cellStyle name="Normal 5 7 4 2 3 2 3 2" xfId="45197"/>
    <cellStyle name="Normal 5 7 4 2 3 2 4" xfId="33354"/>
    <cellStyle name="Normal 5 7 4 2 3 3" xfId="13249"/>
    <cellStyle name="Normal 5 7 4 2 3 3 2" xfId="36670"/>
    <cellStyle name="Normal 5 7 4 2 3 4" xfId="19939"/>
    <cellStyle name="Normal 5 7 4 2 3 4 2" xfId="42474"/>
    <cellStyle name="Normal 5 7 4 2 3 5" xfId="30038"/>
    <cellStyle name="Normal 5 7 4 2 4" xfId="8194"/>
    <cellStyle name="Normal 5 7 4 2 4 2" xfId="14907"/>
    <cellStyle name="Normal 5 7 4 2 4 2 2" xfId="38328"/>
    <cellStyle name="Normal 5 7 4 2 4 3" xfId="20988"/>
    <cellStyle name="Normal 5 7 4 2 4 3 2" xfId="43439"/>
    <cellStyle name="Normal 5 7 4 2 4 4" xfId="31696"/>
    <cellStyle name="Normal 5 7 4 2 5" xfId="11589"/>
    <cellStyle name="Normal 5 7 4 2 5 2" xfId="21944"/>
    <cellStyle name="Normal 5 7 4 2 5 2 2" xfId="44376"/>
    <cellStyle name="Normal 5 7 4 2 5 3" xfId="35012"/>
    <cellStyle name="Normal 5 7 4 2 6" xfId="18810"/>
    <cellStyle name="Normal 5 7 4 2 6 2" xfId="41633"/>
    <cellStyle name="Normal 5 7 4 2 7" xfId="25947"/>
    <cellStyle name="Normal 5 7 4 2 7 2" xfId="48192"/>
    <cellStyle name="Normal 5 7 4 2 8" xfId="28380"/>
    <cellStyle name="Normal 5 7 4 3" xfId="2717"/>
    <cellStyle name="Normal 5 7 4 3 2" xfId="5809"/>
    <cellStyle name="Normal 5 7 4 3 2 2" xfId="7591"/>
    <cellStyle name="Normal 5 7 4 3 2 2 2" xfId="10920"/>
    <cellStyle name="Normal 5 7 4 3 2 2 2 2" xfId="17624"/>
    <cellStyle name="Normal 5 7 4 3 2 2 2 2 2" xfId="41045"/>
    <cellStyle name="Normal 5 7 4 3 2 2 2 3" xfId="34413"/>
    <cellStyle name="Normal 5 7 4 3 2 2 3" xfId="14308"/>
    <cellStyle name="Normal 5 7 4 3 2 2 3 2" xfId="37729"/>
    <cellStyle name="Normal 5 7 4 3 2 2 4" xfId="22975"/>
    <cellStyle name="Normal 5 7 4 3 2 2 4 2" xfId="45397"/>
    <cellStyle name="Normal 5 7 4 3 2 2 5" xfId="31097"/>
    <cellStyle name="Normal 5 7 4 3 2 3" xfId="9262"/>
    <cellStyle name="Normal 5 7 4 3 2 3 2" xfId="15966"/>
    <cellStyle name="Normal 5 7 4 3 2 3 2 2" xfId="39387"/>
    <cellStyle name="Normal 5 7 4 3 2 3 3" xfId="32755"/>
    <cellStyle name="Normal 5 7 4 3 2 4" xfId="12650"/>
    <cellStyle name="Normal 5 7 4 3 2 4 2" xfId="36071"/>
    <cellStyle name="Normal 5 7 4 3 2 5" xfId="20147"/>
    <cellStyle name="Normal 5 7 4 3 2 5 2" xfId="42682"/>
    <cellStyle name="Normal 5 7 4 3 2 6" xfId="29439"/>
    <cellStyle name="Normal 5 7 4 3 3" xfId="6692"/>
    <cellStyle name="Normal 5 7 4 3 3 2" xfId="10024"/>
    <cellStyle name="Normal 5 7 4 3 3 2 2" xfId="16728"/>
    <cellStyle name="Normal 5 7 4 3 3 2 2 2" xfId="40149"/>
    <cellStyle name="Normal 5 7 4 3 3 2 3" xfId="33517"/>
    <cellStyle name="Normal 5 7 4 3 3 3" xfId="13412"/>
    <cellStyle name="Normal 5 7 4 3 3 3 2" xfId="36833"/>
    <cellStyle name="Normal 5 7 4 3 3 4" xfId="21446"/>
    <cellStyle name="Normal 5 7 4 3 3 4 2" xfId="43897"/>
    <cellStyle name="Normal 5 7 4 3 3 5" xfId="30201"/>
    <cellStyle name="Normal 5 7 4 3 4" xfId="8358"/>
    <cellStyle name="Normal 5 7 4 3 4 2" xfId="15070"/>
    <cellStyle name="Normal 5 7 4 3 4 2 2" xfId="38491"/>
    <cellStyle name="Normal 5 7 4 3 4 3" xfId="22158"/>
    <cellStyle name="Normal 5 7 4 3 4 3 2" xfId="44582"/>
    <cellStyle name="Normal 5 7 4 3 4 4" xfId="31859"/>
    <cellStyle name="Normal 5 7 4 3 5" xfId="11752"/>
    <cellStyle name="Normal 5 7 4 3 5 2" xfId="35175"/>
    <cellStyle name="Normal 5 7 4 3 6" xfId="19297"/>
    <cellStyle name="Normal 5 7 4 3 6 2" xfId="41850"/>
    <cellStyle name="Normal 5 7 4 3 7" xfId="28543"/>
    <cellStyle name="Normal 5 7 4 4" xfId="4136"/>
    <cellStyle name="Normal 5 7 4 4 2" xfId="7100"/>
    <cellStyle name="Normal 5 7 4 4 2 2" xfId="10432"/>
    <cellStyle name="Normal 5 7 4 4 2 2 2" xfId="17136"/>
    <cellStyle name="Normal 5 7 4 4 2 2 2 2" xfId="40557"/>
    <cellStyle name="Normal 5 7 4 4 2 2 3" xfId="33925"/>
    <cellStyle name="Normal 5 7 4 4 2 3" xfId="13820"/>
    <cellStyle name="Normal 5 7 4 4 2 3 2" xfId="37241"/>
    <cellStyle name="Normal 5 7 4 4 2 4" xfId="22570"/>
    <cellStyle name="Normal 5 7 4 4 2 4 2" xfId="44992"/>
    <cellStyle name="Normal 5 7 4 4 2 5" xfId="30609"/>
    <cellStyle name="Normal 5 7 4 4 3" xfId="8767"/>
    <cellStyle name="Normal 5 7 4 4 3 2" xfId="15478"/>
    <cellStyle name="Normal 5 7 4 4 3 2 2" xfId="38899"/>
    <cellStyle name="Normal 5 7 4 4 3 3" xfId="32267"/>
    <cellStyle name="Normal 5 7 4 4 4" xfId="12160"/>
    <cellStyle name="Normal 5 7 4 4 4 2" xfId="35583"/>
    <cellStyle name="Normal 5 7 4 4 5" xfId="19729"/>
    <cellStyle name="Normal 5 7 4 4 5 2" xfId="42266"/>
    <cellStyle name="Normal 5 7 4 4 6" xfId="28951"/>
    <cellStyle name="Normal 5 7 4 5" xfId="6219"/>
    <cellStyle name="Normal 5 7 4 5 2" xfId="9553"/>
    <cellStyle name="Normal 5 7 4 5 2 2" xfId="16257"/>
    <cellStyle name="Normal 5 7 4 5 2 2 2" xfId="39678"/>
    <cellStyle name="Normal 5 7 4 5 2 3" xfId="33046"/>
    <cellStyle name="Normal 5 7 4 5 3" xfId="12941"/>
    <cellStyle name="Normal 5 7 4 5 3 2" xfId="36362"/>
    <cellStyle name="Normal 5 7 4 5 4" xfId="20987"/>
    <cellStyle name="Normal 5 7 4 5 4 2" xfId="43438"/>
    <cellStyle name="Normal 5 7 4 5 5" xfId="29730"/>
    <cellStyle name="Normal 5 7 4 6" xfId="7885"/>
    <cellStyle name="Normal 5 7 4 6 2" xfId="14599"/>
    <cellStyle name="Normal 5 7 4 6 2 2" xfId="38020"/>
    <cellStyle name="Normal 5 7 4 6 3" xfId="21720"/>
    <cellStyle name="Normal 5 7 4 6 3 2" xfId="44169"/>
    <cellStyle name="Normal 5 7 4 6 4" xfId="31388"/>
    <cellStyle name="Normal 5 7 4 7" xfId="11281"/>
    <cellStyle name="Normal 5 7 4 7 2" xfId="34704"/>
    <cellStyle name="Normal 5 7 4 8" xfId="18110"/>
    <cellStyle name="Normal 5 7 4 8 2" xfId="41398"/>
    <cellStyle name="Normal 5 7 4 9" xfId="23716"/>
    <cellStyle name="Normal 5 7 4 9 2" xfId="46005"/>
    <cellStyle name="Normal 5 7 5" xfId="2360"/>
    <cellStyle name="Normal 5 7 5 2" xfId="5598"/>
    <cellStyle name="Normal 5 7 5 2 2" xfId="7421"/>
    <cellStyle name="Normal 5 7 5 2 2 2" xfId="10752"/>
    <cellStyle name="Normal 5 7 5 2 2 2 2" xfId="17456"/>
    <cellStyle name="Normal 5 7 5 2 2 2 2 2" xfId="40877"/>
    <cellStyle name="Normal 5 7 5 2 2 2 3" xfId="23173"/>
    <cellStyle name="Normal 5 7 5 2 2 2 3 2" xfId="45595"/>
    <cellStyle name="Normal 5 7 5 2 2 2 4" xfId="34245"/>
    <cellStyle name="Normal 5 7 5 2 2 3" xfId="14140"/>
    <cellStyle name="Normal 5 7 5 2 2 3 2" xfId="37561"/>
    <cellStyle name="Normal 5 7 5 2 2 4" xfId="20348"/>
    <cellStyle name="Normal 5 7 5 2 2 4 2" xfId="42883"/>
    <cellStyle name="Normal 5 7 5 2 2 5" xfId="30929"/>
    <cellStyle name="Normal 5 7 5 2 3" xfId="9094"/>
    <cellStyle name="Normal 5 7 5 2 3 2" xfId="15798"/>
    <cellStyle name="Normal 5 7 5 2 3 2 2" xfId="39219"/>
    <cellStyle name="Normal 5 7 5 2 3 3" xfId="21448"/>
    <cellStyle name="Normal 5 7 5 2 3 3 2" xfId="43899"/>
    <cellStyle name="Normal 5 7 5 2 3 4" xfId="32587"/>
    <cellStyle name="Normal 5 7 5 2 4" xfId="12482"/>
    <cellStyle name="Normal 5 7 5 2 4 2" xfId="22361"/>
    <cellStyle name="Normal 5 7 5 2 4 2 2" xfId="44783"/>
    <cellStyle name="Normal 5 7 5 2 4 3" xfId="35903"/>
    <cellStyle name="Normal 5 7 5 2 5" xfId="19509"/>
    <cellStyle name="Normal 5 7 5 2 5 2" xfId="42051"/>
    <cellStyle name="Normal 5 7 5 2 6" xfId="29271"/>
    <cellStyle name="Normal 5 7 5 3" xfId="6520"/>
    <cellStyle name="Normal 5 7 5 3 2" xfId="9854"/>
    <cellStyle name="Normal 5 7 5 3 2 2" xfId="16558"/>
    <cellStyle name="Normal 5 7 5 3 2 2 2" xfId="39979"/>
    <cellStyle name="Normal 5 7 5 3 2 3" xfId="22768"/>
    <cellStyle name="Normal 5 7 5 3 2 3 2" xfId="45190"/>
    <cellStyle name="Normal 5 7 5 3 2 4" xfId="33347"/>
    <cellStyle name="Normal 5 7 5 3 3" xfId="13242"/>
    <cellStyle name="Normal 5 7 5 3 3 2" xfId="36663"/>
    <cellStyle name="Normal 5 7 5 3 4" xfId="19932"/>
    <cellStyle name="Normal 5 7 5 3 4 2" xfId="42467"/>
    <cellStyle name="Normal 5 7 5 3 5" xfId="30031"/>
    <cellStyle name="Normal 5 7 5 4" xfId="8187"/>
    <cellStyle name="Normal 5 7 5 4 2" xfId="14900"/>
    <cellStyle name="Normal 5 7 5 4 2 2" xfId="38321"/>
    <cellStyle name="Normal 5 7 5 4 3" xfId="20989"/>
    <cellStyle name="Normal 5 7 5 4 3 2" xfId="43440"/>
    <cellStyle name="Normal 5 7 5 4 4" xfId="31689"/>
    <cellStyle name="Normal 5 7 5 5" xfId="11582"/>
    <cellStyle name="Normal 5 7 5 5 2" xfId="21937"/>
    <cellStyle name="Normal 5 7 5 5 2 2" xfId="44369"/>
    <cellStyle name="Normal 5 7 5 5 3" xfId="35005"/>
    <cellStyle name="Normal 5 7 5 6" xfId="18803"/>
    <cellStyle name="Normal 5 7 5 6 2" xfId="41626"/>
    <cellStyle name="Normal 5 7 5 7" xfId="25940"/>
    <cellStyle name="Normal 5 7 5 7 2" xfId="48185"/>
    <cellStyle name="Normal 5 7 5 8" xfId="28373"/>
    <cellStyle name="Normal 5 7 6" xfId="2584"/>
    <cellStyle name="Normal 5 7 6 2" xfId="5678"/>
    <cellStyle name="Normal 5 7 6 2 2" xfId="7461"/>
    <cellStyle name="Normal 5 7 6 2 2 2" xfId="10790"/>
    <cellStyle name="Normal 5 7 6 2 2 2 2" xfId="17494"/>
    <cellStyle name="Normal 5 7 6 2 2 2 2 2" xfId="40915"/>
    <cellStyle name="Normal 5 7 6 2 2 2 3" xfId="34283"/>
    <cellStyle name="Normal 5 7 6 2 2 3" xfId="14178"/>
    <cellStyle name="Normal 5 7 6 2 2 3 2" xfId="37599"/>
    <cellStyle name="Normal 5 7 6 2 2 4" xfId="20610"/>
    <cellStyle name="Normal 5 7 6 2 2 4 2" xfId="43061"/>
    <cellStyle name="Normal 5 7 6 2 2 5" xfId="30967"/>
    <cellStyle name="Normal 5 7 6 2 3" xfId="9132"/>
    <cellStyle name="Normal 5 7 6 2 3 2" xfId="15836"/>
    <cellStyle name="Normal 5 7 6 2 3 2 2" xfId="39257"/>
    <cellStyle name="Normal 5 7 6 2 3 3" xfId="21528"/>
    <cellStyle name="Normal 5 7 6 2 3 3 2" xfId="43979"/>
    <cellStyle name="Normal 5 7 6 2 3 4" xfId="32625"/>
    <cellStyle name="Normal 5 7 6 2 4" xfId="12520"/>
    <cellStyle name="Normal 5 7 6 2 4 2" xfId="22968"/>
    <cellStyle name="Normal 5 7 6 2 4 2 2" xfId="45390"/>
    <cellStyle name="Normal 5 7 6 2 4 3" xfId="35941"/>
    <cellStyle name="Normal 5 7 6 2 5" xfId="20140"/>
    <cellStyle name="Normal 5 7 6 2 5 2" xfId="42675"/>
    <cellStyle name="Normal 5 7 6 2 6" xfId="29309"/>
    <cellStyle name="Normal 5 7 6 3" xfId="6561"/>
    <cellStyle name="Normal 5 7 6 3 2" xfId="9893"/>
    <cellStyle name="Normal 5 7 6 3 2 2" xfId="16597"/>
    <cellStyle name="Normal 5 7 6 3 2 2 2" xfId="40018"/>
    <cellStyle name="Normal 5 7 6 3 2 3" xfId="33386"/>
    <cellStyle name="Normal 5 7 6 3 3" xfId="13281"/>
    <cellStyle name="Normal 5 7 6 3 3 2" xfId="36702"/>
    <cellStyle name="Normal 5 7 6 3 4" xfId="20512"/>
    <cellStyle name="Normal 5 7 6 3 4 2" xfId="42965"/>
    <cellStyle name="Normal 5 7 6 3 5" xfId="30070"/>
    <cellStyle name="Normal 5 7 6 4" xfId="8227"/>
    <cellStyle name="Normal 5 7 6 4 2" xfId="14939"/>
    <cellStyle name="Normal 5 7 6 4 2 2" xfId="38360"/>
    <cellStyle name="Normal 5 7 6 4 3" xfId="21069"/>
    <cellStyle name="Normal 5 7 6 4 3 2" xfId="43520"/>
    <cellStyle name="Normal 5 7 6 4 4" xfId="31728"/>
    <cellStyle name="Normal 5 7 6 5" xfId="11621"/>
    <cellStyle name="Normal 5 7 6 5 2" xfId="22151"/>
    <cellStyle name="Normal 5 7 6 5 2 2" xfId="44575"/>
    <cellStyle name="Normal 5 7 6 5 3" xfId="35044"/>
    <cellStyle name="Normal 5 7 6 6" xfId="19290"/>
    <cellStyle name="Normal 5 7 6 6 2" xfId="41843"/>
    <cellStyle name="Normal 5 7 6 7" xfId="28412"/>
    <cellStyle name="Normal 5 7 7" xfId="4129"/>
    <cellStyle name="Normal 5 7 7 2" xfId="7093"/>
    <cellStyle name="Normal 5 7 7 2 2" xfId="10425"/>
    <cellStyle name="Normal 5 7 7 2 2 2" xfId="17129"/>
    <cellStyle name="Normal 5 7 7 2 2 2 2" xfId="40550"/>
    <cellStyle name="Normal 5 7 7 2 2 3" xfId="33918"/>
    <cellStyle name="Normal 5 7 7 2 3" xfId="13813"/>
    <cellStyle name="Normal 5 7 7 2 3 2" xfId="37234"/>
    <cellStyle name="Normal 5 7 7 2 4" xfId="20561"/>
    <cellStyle name="Normal 5 7 7 2 4 2" xfId="43012"/>
    <cellStyle name="Normal 5 7 7 2 5" xfId="30602"/>
    <cellStyle name="Normal 5 7 7 3" xfId="8760"/>
    <cellStyle name="Normal 5 7 7 3 2" xfId="15471"/>
    <cellStyle name="Normal 5 7 7 3 2 2" xfId="38892"/>
    <cellStyle name="Normal 5 7 7 3 3" xfId="21433"/>
    <cellStyle name="Normal 5 7 7 3 3 2" xfId="43884"/>
    <cellStyle name="Normal 5 7 7 3 4" xfId="32260"/>
    <cellStyle name="Normal 5 7 7 4" xfId="12153"/>
    <cellStyle name="Normal 5 7 7 4 2" xfId="22563"/>
    <cellStyle name="Normal 5 7 7 4 2 2" xfId="44985"/>
    <cellStyle name="Normal 5 7 7 4 3" xfId="35576"/>
    <cellStyle name="Normal 5 7 7 5" xfId="19722"/>
    <cellStyle name="Normal 5 7 7 5 2" xfId="42259"/>
    <cellStyle name="Normal 5 7 7 6" xfId="28944"/>
    <cellStyle name="Normal 5 7 8" xfId="6088"/>
    <cellStyle name="Normal 5 7 8 2" xfId="9422"/>
    <cellStyle name="Normal 5 7 8 2 2" xfId="16126"/>
    <cellStyle name="Normal 5 7 8 2 2 2" xfId="39547"/>
    <cellStyle name="Normal 5 7 8 2 3" xfId="32915"/>
    <cellStyle name="Normal 5 7 8 3" xfId="12810"/>
    <cellStyle name="Normal 5 7 8 3 2" xfId="36231"/>
    <cellStyle name="Normal 5 7 8 4" xfId="20463"/>
    <cellStyle name="Normal 5 7 8 4 2" xfId="42916"/>
    <cellStyle name="Normal 5 7 8 5" xfId="29599"/>
    <cellStyle name="Normal 5 7 9" xfId="7753"/>
    <cellStyle name="Normal 5 7 9 2" xfId="14468"/>
    <cellStyle name="Normal 5 7 9 2 2" xfId="37889"/>
    <cellStyle name="Normal 5 7 9 3" xfId="20974"/>
    <cellStyle name="Normal 5 7 9 3 2" xfId="43425"/>
    <cellStyle name="Normal 5 7 9 4" xfId="31257"/>
    <cellStyle name="Normal 5 8" xfId="1476"/>
    <cellStyle name="Normal 5 8 10" xfId="23717"/>
    <cellStyle name="Normal 5 8 10 2" xfId="46006"/>
    <cellStyle name="Normal 5 8 11" xfId="28006"/>
    <cellStyle name="Normal 5 8 2" xfId="1785"/>
    <cellStyle name="Normal 5 8 2 10" xfId="28137"/>
    <cellStyle name="Normal 5 8 2 2" xfId="2369"/>
    <cellStyle name="Normal 5 8 2 2 2" xfId="5607"/>
    <cellStyle name="Normal 5 8 2 2 2 2" xfId="7430"/>
    <cellStyle name="Normal 5 8 2 2 2 2 2" xfId="10761"/>
    <cellStyle name="Normal 5 8 2 2 2 2 2 2" xfId="17465"/>
    <cellStyle name="Normal 5 8 2 2 2 2 2 2 2" xfId="40886"/>
    <cellStyle name="Normal 5 8 2 2 2 2 2 3" xfId="23182"/>
    <cellStyle name="Normal 5 8 2 2 2 2 2 3 2" xfId="45604"/>
    <cellStyle name="Normal 5 8 2 2 2 2 2 4" xfId="34254"/>
    <cellStyle name="Normal 5 8 2 2 2 2 3" xfId="14149"/>
    <cellStyle name="Normal 5 8 2 2 2 2 3 2" xfId="37570"/>
    <cellStyle name="Normal 5 8 2 2 2 2 4" xfId="20357"/>
    <cellStyle name="Normal 5 8 2 2 2 2 4 2" xfId="42892"/>
    <cellStyle name="Normal 5 8 2 2 2 2 5" xfId="30938"/>
    <cellStyle name="Normal 5 8 2 2 2 3" xfId="9103"/>
    <cellStyle name="Normal 5 8 2 2 2 3 2" xfId="15807"/>
    <cellStyle name="Normal 5 8 2 2 2 3 2 2" xfId="39228"/>
    <cellStyle name="Normal 5 8 2 2 2 3 3" xfId="21451"/>
    <cellStyle name="Normal 5 8 2 2 2 3 3 2" xfId="43902"/>
    <cellStyle name="Normal 5 8 2 2 2 3 4" xfId="32596"/>
    <cellStyle name="Normal 5 8 2 2 2 4" xfId="12491"/>
    <cellStyle name="Normal 5 8 2 2 2 4 2" xfId="22370"/>
    <cellStyle name="Normal 5 8 2 2 2 4 2 2" xfId="44792"/>
    <cellStyle name="Normal 5 8 2 2 2 4 3" xfId="35912"/>
    <cellStyle name="Normal 5 8 2 2 2 5" xfId="19518"/>
    <cellStyle name="Normal 5 8 2 2 2 5 2" xfId="42060"/>
    <cellStyle name="Normal 5 8 2 2 2 6" xfId="29280"/>
    <cellStyle name="Normal 5 8 2 2 3" xfId="6529"/>
    <cellStyle name="Normal 5 8 2 2 3 2" xfId="9863"/>
    <cellStyle name="Normal 5 8 2 2 3 2 2" xfId="16567"/>
    <cellStyle name="Normal 5 8 2 2 3 2 2 2" xfId="39988"/>
    <cellStyle name="Normal 5 8 2 2 3 2 3" xfId="22777"/>
    <cellStyle name="Normal 5 8 2 2 3 2 3 2" xfId="45199"/>
    <cellStyle name="Normal 5 8 2 2 3 2 4" xfId="33356"/>
    <cellStyle name="Normal 5 8 2 2 3 3" xfId="13251"/>
    <cellStyle name="Normal 5 8 2 2 3 3 2" xfId="36672"/>
    <cellStyle name="Normal 5 8 2 2 3 4" xfId="19941"/>
    <cellStyle name="Normal 5 8 2 2 3 4 2" xfId="42476"/>
    <cellStyle name="Normal 5 8 2 2 3 5" xfId="30040"/>
    <cellStyle name="Normal 5 8 2 2 4" xfId="8196"/>
    <cellStyle name="Normal 5 8 2 2 4 2" xfId="14909"/>
    <cellStyle name="Normal 5 8 2 2 4 2 2" xfId="38330"/>
    <cellStyle name="Normal 5 8 2 2 4 3" xfId="20992"/>
    <cellStyle name="Normal 5 8 2 2 4 3 2" xfId="43443"/>
    <cellStyle name="Normal 5 8 2 2 4 4" xfId="31698"/>
    <cellStyle name="Normal 5 8 2 2 5" xfId="11591"/>
    <cellStyle name="Normal 5 8 2 2 5 2" xfId="21946"/>
    <cellStyle name="Normal 5 8 2 2 5 2 2" xfId="44378"/>
    <cellStyle name="Normal 5 8 2 2 5 3" xfId="35014"/>
    <cellStyle name="Normal 5 8 2 2 6" xfId="18812"/>
    <cellStyle name="Normal 5 8 2 2 6 2" xfId="41635"/>
    <cellStyle name="Normal 5 8 2 2 7" xfId="25949"/>
    <cellStyle name="Normal 5 8 2 2 7 2" xfId="48194"/>
    <cellStyle name="Normal 5 8 2 2 8" xfId="28382"/>
    <cellStyle name="Normal 5 8 2 3" xfId="2782"/>
    <cellStyle name="Normal 5 8 2 3 2" xfId="5874"/>
    <cellStyle name="Normal 5 8 2 3 2 2" xfId="7656"/>
    <cellStyle name="Normal 5 8 2 3 2 2 2" xfId="10985"/>
    <cellStyle name="Normal 5 8 2 3 2 2 2 2" xfId="17689"/>
    <cellStyle name="Normal 5 8 2 3 2 2 2 2 2" xfId="41110"/>
    <cellStyle name="Normal 5 8 2 3 2 2 2 3" xfId="34478"/>
    <cellStyle name="Normal 5 8 2 3 2 2 3" xfId="14373"/>
    <cellStyle name="Normal 5 8 2 3 2 2 3 2" xfId="37794"/>
    <cellStyle name="Normal 5 8 2 3 2 2 4" xfId="22977"/>
    <cellStyle name="Normal 5 8 2 3 2 2 4 2" xfId="45399"/>
    <cellStyle name="Normal 5 8 2 3 2 2 5" xfId="31162"/>
    <cellStyle name="Normal 5 8 2 3 2 3" xfId="9327"/>
    <cellStyle name="Normal 5 8 2 3 2 3 2" xfId="16031"/>
    <cellStyle name="Normal 5 8 2 3 2 3 2 2" xfId="39452"/>
    <cellStyle name="Normal 5 8 2 3 2 3 3" xfId="32820"/>
    <cellStyle name="Normal 5 8 2 3 2 4" xfId="12715"/>
    <cellStyle name="Normal 5 8 2 3 2 4 2" xfId="36136"/>
    <cellStyle name="Normal 5 8 2 3 2 5" xfId="20149"/>
    <cellStyle name="Normal 5 8 2 3 2 5 2" xfId="42684"/>
    <cellStyle name="Normal 5 8 2 3 2 6" xfId="29504"/>
    <cellStyle name="Normal 5 8 2 3 3" xfId="6757"/>
    <cellStyle name="Normal 5 8 2 3 3 2" xfId="10089"/>
    <cellStyle name="Normal 5 8 2 3 3 2 2" xfId="16793"/>
    <cellStyle name="Normal 5 8 2 3 3 2 2 2" xfId="40214"/>
    <cellStyle name="Normal 5 8 2 3 3 2 3" xfId="33582"/>
    <cellStyle name="Normal 5 8 2 3 3 3" xfId="13477"/>
    <cellStyle name="Normal 5 8 2 3 3 3 2" xfId="36898"/>
    <cellStyle name="Normal 5 8 2 3 3 4" xfId="21450"/>
    <cellStyle name="Normal 5 8 2 3 3 4 2" xfId="43901"/>
    <cellStyle name="Normal 5 8 2 3 3 5" xfId="30266"/>
    <cellStyle name="Normal 5 8 2 3 4" xfId="8423"/>
    <cellStyle name="Normal 5 8 2 3 4 2" xfId="15135"/>
    <cellStyle name="Normal 5 8 2 3 4 2 2" xfId="38556"/>
    <cellStyle name="Normal 5 8 2 3 4 3" xfId="22160"/>
    <cellStyle name="Normal 5 8 2 3 4 3 2" xfId="44584"/>
    <cellStyle name="Normal 5 8 2 3 4 4" xfId="31924"/>
    <cellStyle name="Normal 5 8 2 3 5" xfId="11817"/>
    <cellStyle name="Normal 5 8 2 3 5 2" xfId="35240"/>
    <cellStyle name="Normal 5 8 2 3 6" xfId="19299"/>
    <cellStyle name="Normal 5 8 2 3 6 2" xfId="41852"/>
    <cellStyle name="Normal 5 8 2 3 7" xfId="28608"/>
    <cellStyle name="Normal 5 8 2 4" xfId="4138"/>
    <cellStyle name="Normal 5 8 2 4 2" xfId="7102"/>
    <cellStyle name="Normal 5 8 2 4 2 2" xfId="10434"/>
    <cellStyle name="Normal 5 8 2 4 2 2 2" xfId="17138"/>
    <cellStyle name="Normal 5 8 2 4 2 2 2 2" xfId="40559"/>
    <cellStyle name="Normal 5 8 2 4 2 2 3" xfId="33927"/>
    <cellStyle name="Normal 5 8 2 4 2 3" xfId="13822"/>
    <cellStyle name="Normal 5 8 2 4 2 3 2" xfId="37243"/>
    <cellStyle name="Normal 5 8 2 4 2 4" xfId="22572"/>
    <cellStyle name="Normal 5 8 2 4 2 4 2" xfId="44994"/>
    <cellStyle name="Normal 5 8 2 4 2 5" xfId="30611"/>
    <cellStyle name="Normal 5 8 2 4 3" xfId="8769"/>
    <cellStyle name="Normal 5 8 2 4 3 2" xfId="15480"/>
    <cellStyle name="Normal 5 8 2 4 3 2 2" xfId="38901"/>
    <cellStyle name="Normal 5 8 2 4 3 3" xfId="32269"/>
    <cellStyle name="Normal 5 8 2 4 4" xfId="12162"/>
    <cellStyle name="Normal 5 8 2 4 4 2" xfId="35585"/>
    <cellStyle name="Normal 5 8 2 4 5" xfId="19731"/>
    <cellStyle name="Normal 5 8 2 4 5 2" xfId="42268"/>
    <cellStyle name="Normal 5 8 2 4 6" xfId="28953"/>
    <cellStyle name="Normal 5 8 2 5" xfId="6284"/>
    <cellStyle name="Normal 5 8 2 5 2" xfId="9618"/>
    <cellStyle name="Normal 5 8 2 5 2 2" xfId="16322"/>
    <cellStyle name="Normal 5 8 2 5 2 2 2" xfId="39743"/>
    <cellStyle name="Normal 5 8 2 5 2 3" xfId="33111"/>
    <cellStyle name="Normal 5 8 2 5 3" xfId="13006"/>
    <cellStyle name="Normal 5 8 2 5 3 2" xfId="36427"/>
    <cellStyle name="Normal 5 8 2 5 4" xfId="20991"/>
    <cellStyle name="Normal 5 8 2 5 4 2" xfId="43442"/>
    <cellStyle name="Normal 5 8 2 5 5" xfId="29795"/>
    <cellStyle name="Normal 5 8 2 6" xfId="7950"/>
    <cellStyle name="Normal 5 8 2 6 2" xfId="14664"/>
    <cellStyle name="Normal 5 8 2 6 2 2" xfId="38085"/>
    <cellStyle name="Normal 5 8 2 6 3" xfId="21722"/>
    <cellStyle name="Normal 5 8 2 6 3 2" xfId="44171"/>
    <cellStyle name="Normal 5 8 2 6 4" xfId="31453"/>
    <cellStyle name="Normal 5 8 2 7" xfId="11346"/>
    <cellStyle name="Normal 5 8 2 7 2" xfId="34769"/>
    <cellStyle name="Normal 5 8 2 8" xfId="18112"/>
    <cellStyle name="Normal 5 8 2 8 2" xfId="41400"/>
    <cellStyle name="Normal 5 8 2 9" xfId="23718"/>
    <cellStyle name="Normal 5 8 2 9 2" xfId="46007"/>
    <cellStyle name="Normal 5 8 3" xfId="2368"/>
    <cellStyle name="Normal 5 8 3 2" xfId="5606"/>
    <cellStyle name="Normal 5 8 3 2 2" xfId="7429"/>
    <cellStyle name="Normal 5 8 3 2 2 2" xfId="10760"/>
    <cellStyle name="Normal 5 8 3 2 2 2 2" xfId="17464"/>
    <cellStyle name="Normal 5 8 3 2 2 2 2 2" xfId="40885"/>
    <cellStyle name="Normal 5 8 3 2 2 2 3" xfId="23181"/>
    <cellStyle name="Normal 5 8 3 2 2 2 3 2" xfId="45603"/>
    <cellStyle name="Normal 5 8 3 2 2 2 4" xfId="34253"/>
    <cellStyle name="Normal 5 8 3 2 2 3" xfId="14148"/>
    <cellStyle name="Normal 5 8 3 2 2 3 2" xfId="37569"/>
    <cellStyle name="Normal 5 8 3 2 2 4" xfId="20356"/>
    <cellStyle name="Normal 5 8 3 2 2 4 2" xfId="42891"/>
    <cellStyle name="Normal 5 8 3 2 2 5" xfId="30937"/>
    <cellStyle name="Normal 5 8 3 2 3" xfId="9102"/>
    <cellStyle name="Normal 5 8 3 2 3 2" xfId="15806"/>
    <cellStyle name="Normal 5 8 3 2 3 2 2" xfId="39227"/>
    <cellStyle name="Normal 5 8 3 2 3 3" xfId="21452"/>
    <cellStyle name="Normal 5 8 3 2 3 3 2" xfId="43903"/>
    <cellStyle name="Normal 5 8 3 2 3 4" xfId="32595"/>
    <cellStyle name="Normal 5 8 3 2 4" xfId="12490"/>
    <cellStyle name="Normal 5 8 3 2 4 2" xfId="22369"/>
    <cellStyle name="Normal 5 8 3 2 4 2 2" xfId="44791"/>
    <cellStyle name="Normal 5 8 3 2 4 3" xfId="35911"/>
    <cellStyle name="Normal 5 8 3 2 5" xfId="19517"/>
    <cellStyle name="Normal 5 8 3 2 5 2" xfId="42059"/>
    <cellStyle name="Normal 5 8 3 2 6" xfId="29279"/>
    <cellStyle name="Normal 5 8 3 3" xfId="6528"/>
    <cellStyle name="Normal 5 8 3 3 2" xfId="9862"/>
    <cellStyle name="Normal 5 8 3 3 2 2" xfId="16566"/>
    <cellStyle name="Normal 5 8 3 3 2 2 2" xfId="39987"/>
    <cellStyle name="Normal 5 8 3 3 2 3" xfId="22776"/>
    <cellStyle name="Normal 5 8 3 3 2 3 2" xfId="45198"/>
    <cellStyle name="Normal 5 8 3 3 2 4" xfId="33355"/>
    <cellStyle name="Normal 5 8 3 3 3" xfId="13250"/>
    <cellStyle name="Normal 5 8 3 3 3 2" xfId="36671"/>
    <cellStyle name="Normal 5 8 3 3 4" xfId="19940"/>
    <cellStyle name="Normal 5 8 3 3 4 2" xfId="42475"/>
    <cellStyle name="Normal 5 8 3 3 5" xfId="30039"/>
    <cellStyle name="Normal 5 8 3 4" xfId="8195"/>
    <cellStyle name="Normal 5 8 3 4 2" xfId="14908"/>
    <cellStyle name="Normal 5 8 3 4 2 2" xfId="38329"/>
    <cellStyle name="Normal 5 8 3 4 3" xfId="20993"/>
    <cellStyle name="Normal 5 8 3 4 3 2" xfId="43444"/>
    <cellStyle name="Normal 5 8 3 4 4" xfId="31697"/>
    <cellStyle name="Normal 5 8 3 5" xfId="11590"/>
    <cellStyle name="Normal 5 8 3 5 2" xfId="21945"/>
    <cellStyle name="Normal 5 8 3 5 2 2" xfId="44377"/>
    <cellStyle name="Normal 5 8 3 5 3" xfId="35013"/>
    <cellStyle name="Normal 5 8 3 6" xfId="18811"/>
    <cellStyle name="Normal 5 8 3 6 2" xfId="41634"/>
    <cellStyle name="Normal 5 8 3 7" xfId="25948"/>
    <cellStyle name="Normal 5 8 3 7 2" xfId="48193"/>
    <cellStyle name="Normal 5 8 3 8" xfId="28381"/>
    <cellStyle name="Normal 5 8 4" xfId="2650"/>
    <cellStyle name="Normal 5 8 4 2" xfId="5743"/>
    <cellStyle name="Normal 5 8 4 2 2" xfId="7525"/>
    <cellStyle name="Normal 5 8 4 2 2 2" xfId="10854"/>
    <cellStyle name="Normal 5 8 4 2 2 2 2" xfId="17558"/>
    <cellStyle name="Normal 5 8 4 2 2 2 2 2" xfId="40979"/>
    <cellStyle name="Normal 5 8 4 2 2 2 3" xfId="34347"/>
    <cellStyle name="Normal 5 8 4 2 2 3" xfId="14242"/>
    <cellStyle name="Normal 5 8 4 2 2 3 2" xfId="37663"/>
    <cellStyle name="Normal 5 8 4 2 2 4" xfId="22976"/>
    <cellStyle name="Normal 5 8 4 2 2 4 2" xfId="45398"/>
    <cellStyle name="Normal 5 8 4 2 2 5" xfId="31031"/>
    <cellStyle name="Normal 5 8 4 2 3" xfId="9196"/>
    <cellStyle name="Normal 5 8 4 2 3 2" xfId="15900"/>
    <cellStyle name="Normal 5 8 4 2 3 2 2" xfId="39321"/>
    <cellStyle name="Normal 5 8 4 2 3 3" xfId="32689"/>
    <cellStyle name="Normal 5 8 4 2 4" xfId="12584"/>
    <cellStyle name="Normal 5 8 4 2 4 2" xfId="36005"/>
    <cellStyle name="Normal 5 8 4 2 5" xfId="20148"/>
    <cellStyle name="Normal 5 8 4 2 5 2" xfId="42683"/>
    <cellStyle name="Normal 5 8 4 2 6" xfId="29373"/>
    <cellStyle name="Normal 5 8 4 3" xfId="6626"/>
    <cellStyle name="Normal 5 8 4 3 2" xfId="9958"/>
    <cellStyle name="Normal 5 8 4 3 2 2" xfId="16662"/>
    <cellStyle name="Normal 5 8 4 3 2 2 2" xfId="40083"/>
    <cellStyle name="Normal 5 8 4 3 2 3" xfId="33451"/>
    <cellStyle name="Normal 5 8 4 3 3" xfId="13346"/>
    <cellStyle name="Normal 5 8 4 3 3 2" xfId="36767"/>
    <cellStyle name="Normal 5 8 4 3 4" xfId="21449"/>
    <cellStyle name="Normal 5 8 4 3 4 2" xfId="43900"/>
    <cellStyle name="Normal 5 8 4 3 5" xfId="30135"/>
    <cellStyle name="Normal 5 8 4 4" xfId="8292"/>
    <cellStyle name="Normal 5 8 4 4 2" xfId="15004"/>
    <cellStyle name="Normal 5 8 4 4 2 2" xfId="38425"/>
    <cellStyle name="Normal 5 8 4 4 3" xfId="22159"/>
    <cellStyle name="Normal 5 8 4 4 3 2" xfId="44583"/>
    <cellStyle name="Normal 5 8 4 4 4" xfId="31793"/>
    <cellStyle name="Normal 5 8 4 5" xfId="11686"/>
    <cellStyle name="Normal 5 8 4 5 2" xfId="35109"/>
    <cellStyle name="Normal 5 8 4 6" xfId="19298"/>
    <cellStyle name="Normal 5 8 4 6 2" xfId="41851"/>
    <cellStyle name="Normal 5 8 4 7" xfId="28477"/>
    <cellStyle name="Normal 5 8 5" xfId="4137"/>
    <cellStyle name="Normal 5 8 5 2" xfId="7101"/>
    <cellStyle name="Normal 5 8 5 2 2" xfId="10433"/>
    <cellStyle name="Normal 5 8 5 2 2 2" xfId="17137"/>
    <cellStyle name="Normal 5 8 5 2 2 2 2" xfId="40558"/>
    <cellStyle name="Normal 5 8 5 2 2 3" xfId="33926"/>
    <cellStyle name="Normal 5 8 5 2 3" xfId="13821"/>
    <cellStyle name="Normal 5 8 5 2 3 2" xfId="37242"/>
    <cellStyle name="Normal 5 8 5 2 4" xfId="22571"/>
    <cellStyle name="Normal 5 8 5 2 4 2" xfId="44993"/>
    <cellStyle name="Normal 5 8 5 2 5" xfId="30610"/>
    <cellStyle name="Normal 5 8 5 3" xfId="8768"/>
    <cellStyle name="Normal 5 8 5 3 2" xfId="15479"/>
    <cellStyle name="Normal 5 8 5 3 2 2" xfId="38900"/>
    <cellStyle name="Normal 5 8 5 3 3" xfId="32268"/>
    <cellStyle name="Normal 5 8 5 4" xfId="12161"/>
    <cellStyle name="Normal 5 8 5 4 2" xfId="35584"/>
    <cellStyle name="Normal 5 8 5 5" xfId="19730"/>
    <cellStyle name="Normal 5 8 5 5 2" xfId="42267"/>
    <cellStyle name="Normal 5 8 5 6" xfId="28952"/>
    <cellStyle name="Normal 5 8 6" xfId="6153"/>
    <cellStyle name="Normal 5 8 6 2" xfId="9487"/>
    <cellStyle name="Normal 5 8 6 2 2" xfId="16191"/>
    <cellStyle name="Normal 5 8 6 2 2 2" xfId="39612"/>
    <cellStyle name="Normal 5 8 6 2 3" xfId="32980"/>
    <cellStyle name="Normal 5 8 6 3" xfId="12875"/>
    <cellStyle name="Normal 5 8 6 3 2" xfId="36296"/>
    <cellStyle name="Normal 5 8 6 4" xfId="20990"/>
    <cellStyle name="Normal 5 8 6 4 2" xfId="43441"/>
    <cellStyle name="Normal 5 8 6 5" xfId="29664"/>
    <cellStyle name="Normal 5 8 7" xfId="7819"/>
    <cellStyle name="Normal 5 8 7 2" xfId="14533"/>
    <cellStyle name="Normal 5 8 7 2 2" xfId="37954"/>
    <cellStyle name="Normal 5 8 7 3" xfId="21721"/>
    <cellStyle name="Normal 5 8 7 3 2" xfId="44170"/>
    <cellStyle name="Normal 5 8 7 4" xfId="31322"/>
    <cellStyle name="Normal 5 8 8" xfId="11215"/>
    <cellStyle name="Normal 5 8 8 2" xfId="34638"/>
    <cellStyle name="Normal 5 8 9" xfId="18111"/>
    <cellStyle name="Normal 5 8 9 2" xfId="41399"/>
    <cellStyle name="Normal 5 9" xfId="6071"/>
    <cellStyle name="Normal 5 9 2" xfId="7736"/>
    <cellStyle name="Normal 5 9 2 2" xfId="11065"/>
    <cellStyle name="Normal 5 9 2 2 2" xfId="17769"/>
    <cellStyle name="Normal 5 9 2 2 2 2" xfId="41190"/>
    <cellStyle name="Normal 5 9 2 2 3" xfId="34558"/>
    <cellStyle name="Normal 5 9 2 3" xfId="14453"/>
    <cellStyle name="Normal 5 9 2 3 2" xfId="37874"/>
    <cellStyle name="Normal 5 9 2 4" xfId="31242"/>
    <cellStyle name="Normal 5 9 3" xfId="9407"/>
    <cellStyle name="Normal 5 9 3 2" xfId="16111"/>
    <cellStyle name="Normal 5 9 3 2 2" xfId="39532"/>
    <cellStyle name="Normal 5 9 3 3" xfId="32900"/>
    <cellStyle name="Normal 5 9 4" xfId="12795"/>
    <cellStyle name="Normal 5 9 4 2" xfId="36216"/>
    <cellStyle name="Normal 5 9 5" xfId="18779"/>
    <cellStyle name="Normal 5 9 6" xfId="29584"/>
    <cellStyle name="Normal 50" xfId="766"/>
    <cellStyle name="Normal 50 2" xfId="4139"/>
    <cellStyle name="Normal 50 2 2" xfId="4140"/>
    <cellStyle name="Normal 50 3" xfId="4141"/>
    <cellStyle name="Normal 50 4" xfId="4142"/>
    <cellStyle name="Normal 51" xfId="770"/>
    <cellStyle name="Normal 51 2" xfId="4143"/>
    <cellStyle name="Normal 51 2 2" xfId="4144"/>
    <cellStyle name="Normal 51 3" xfId="4145"/>
    <cellStyle name="Normal 51 4" xfId="4146"/>
    <cellStyle name="Normal 52" xfId="767"/>
    <cellStyle name="Normal 52 2" xfId="4147"/>
    <cellStyle name="Normal 52 2 2" xfId="4148"/>
    <cellStyle name="Normal 52 3" xfId="4149"/>
    <cellStyle name="Normal 52 4" xfId="4150"/>
    <cellStyle name="Normal 53" xfId="769"/>
    <cellStyle name="Normal 53 2" xfId="4151"/>
    <cellStyle name="Normal 53 2 2" xfId="4152"/>
    <cellStyle name="Normal 53 3" xfId="4153"/>
    <cellStyle name="Normal 53 4" xfId="4154"/>
    <cellStyle name="Normal 54" xfId="768"/>
    <cellStyle name="Normal 54 2" xfId="4155"/>
    <cellStyle name="Normal 54 2 2" xfId="4156"/>
    <cellStyle name="Normal 54 3" xfId="4157"/>
    <cellStyle name="Normal 54 4" xfId="4158"/>
    <cellStyle name="Normal 55" xfId="771"/>
    <cellStyle name="Normal 55 2" xfId="4159"/>
    <cellStyle name="Normal 55 2 2" xfId="4160"/>
    <cellStyle name="Normal 55 3" xfId="4161"/>
    <cellStyle name="Normal 55 4" xfId="4162"/>
    <cellStyle name="Normal 56" xfId="776"/>
    <cellStyle name="Normal 56 2" xfId="4163"/>
    <cellStyle name="Normal 56 2 2" xfId="4164"/>
    <cellStyle name="Normal 56 3" xfId="4165"/>
    <cellStyle name="Normal 56 4" xfId="4166"/>
    <cellStyle name="Normal 57" xfId="772"/>
    <cellStyle name="Normal 57 2" xfId="4167"/>
    <cellStyle name="Normal 57 2 2" xfId="4168"/>
    <cellStyle name="Normal 57 3" xfId="4169"/>
    <cellStyle name="Normal 57 4" xfId="4170"/>
    <cellStyle name="Normal 58" xfId="775"/>
    <cellStyle name="Normal 58 2" xfId="4171"/>
    <cellStyle name="Normal 58 2 2" xfId="4172"/>
    <cellStyle name="Normal 58 2 3" xfId="18813"/>
    <cellStyle name="Normal 58 3" xfId="4173"/>
    <cellStyle name="Normal 58 4" xfId="4174"/>
    <cellStyle name="Normal 59" xfId="773"/>
    <cellStyle name="Normal 59 2" xfId="4175"/>
    <cellStyle name="Normal 6" xfId="513"/>
    <cellStyle name="Normal 6 2" xfId="514"/>
    <cellStyle name="Normal 6 2 2" xfId="873"/>
    <cellStyle name="Normal 6 2 2 2" xfId="874"/>
    <cellStyle name="Normal 6 2 2 2 2" xfId="18816"/>
    <cellStyle name="Normal 6 2 2 3" xfId="18815"/>
    <cellStyle name="Normal 6 2 3" xfId="875"/>
    <cellStyle name="Normal 6 2 3 2" xfId="18817"/>
    <cellStyle name="Normal 6 2 4" xfId="5199"/>
    <cellStyle name="Normal 6 2 4 2" xfId="18814"/>
    <cellStyle name="Normal 6 3" xfId="515"/>
    <cellStyle name="Normal 6 3 2" xfId="876"/>
    <cellStyle name="Normal 6 3 2 2" xfId="4177"/>
    <cellStyle name="Normal 6 3 2 3" xfId="4176"/>
    <cellStyle name="Normal 6 3 3" xfId="4178"/>
    <cellStyle name="Normal 6 4" xfId="877"/>
    <cellStyle name="Normal 6 4 2" xfId="4179"/>
    <cellStyle name="Normal 6 5" xfId="878"/>
    <cellStyle name="Normal 6 5 2" xfId="18818"/>
    <cellStyle name="Normal 6 6" xfId="1155"/>
    <cellStyle name="Normal 6 6 2" xfId="18819"/>
    <cellStyle name="Normal 6 7" xfId="1637"/>
    <cellStyle name="Normal 6 7 2" xfId="5121"/>
    <cellStyle name="Normal 6 7 2 2" xfId="18820"/>
    <cellStyle name="Normal 6 8" xfId="1636"/>
    <cellStyle name="Normal 60" xfId="774"/>
    <cellStyle name="Normal 60 2" xfId="4180"/>
    <cellStyle name="Normal 61" xfId="777"/>
    <cellStyle name="Normal 61 2" xfId="4181"/>
    <cellStyle name="Normal 62" xfId="778"/>
    <cellStyle name="Normal 62 2" xfId="4182"/>
    <cellStyle name="Normal 63" xfId="779"/>
    <cellStyle name="Normal 63 2" xfId="4183"/>
    <cellStyle name="Normal 64" xfId="780"/>
    <cellStyle name="Normal 64 2" xfId="4184"/>
    <cellStyle name="Normal 64 2 10" xfId="28954"/>
    <cellStyle name="Normal 64 2 2" xfId="4185"/>
    <cellStyle name="Normal 64 2 2 2" xfId="7104"/>
    <cellStyle name="Normal 64 2 2 2 2" xfId="10436"/>
    <cellStyle name="Normal 64 2 2 2 2 2" xfId="17140"/>
    <cellStyle name="Normal 64 2 2 2 2 2 2" xfId="27170"/>
    <cellStyle name="Normal 64 2 2 2 2 2 2 2" xfId="49415"/>
    <cellStyle name="Normal 64 2 2 2 2 2 3" xfId="24957"/>
    <cellStyle name="Normal 64 2 2 2 2 2 3 2" xfId="47202"/>
    <cellStyle name="Normal 64 2 2 2 2 2 4" xfId="40561"/>
    <cellStyle name="Normal 64 2 2 2 2 3" xfId="25537"/>
    <cellStyle name="Normal 64 2 2 2 2 3 2" xfId="27842"/>
    <cellStyle name="Normal 64 2 2 2 2 3 2 2" xfId="50087"/>
    <cellStyle name="Normal 64 2 2 2 2 3 3" xfId="47782"/>
    <cellStyle name="Normal 64 2 2 2 2 4" xfId="26496"/>
    <cellStyle name="Normal 64 2 2 2 2 4 2" xfId="48741"/>
    <cellStyle name="Normal 64 2 2 2 2 5" xfId="24292"/>
    <cellStyle name="Normal 64 2 2 2 2 5 2" xfId="46538"/>
    <cellStyle name="Normal 64 2 2 2 2 6" xfId="33929"/>
    <cellStyle name="Normal 64 2 2 2 3" xfId="13824"/>
    <cellStyle name="Normal 64 2 2 2 3 2" xfId="26838"/>
    <cellStyle name="Normal 64 2 2 2 3 2 2" xfId="49083"/>
    <cellStyle name="Normal 64 2 2 2 3 3" xfId="24625"/>
    <cellStyle name="Normal 64 2 2 2 3 3 2" xfId="46870"/>
    <cellStyle name="Normal 64 2 2 2 3 4" xfId="37245"/>
    <cellStyle name="Normal 64 2 2 2 4" xfId="25201"/>
    <cellStyle name="Normal 64 2 2 2 4 2" xfId="27506"/>
    <cellStyle name="Normal 64 2 2 2 4 2 2" xfId="49751"/>
    <cellStyle name="Normal 64 2 2 2 4 3" xfId="47446"/>
    <cellStyle name="Normal 64 2 2 2 5" xfId="26167"/>
    <cellStyle name="Normal 64 2 2 2 5 2" xfId="48412"/>
    <cellStyle name="Normal 64 2 2 2 6" xfId="23976"/>
    <cellStyle name="Normal 64 2 2 2 6 2" xfId="46222"/>
    <cellStyle name="Normal 64 2 2 2 7" xfId="30613"/>
    <cellStyle name="Normal 64 2 2 3" xfId="8771"/>
    <cellStyle name="Normal 64 2 2 3 2" xfId="15482"/>
    <cellStyle name="Normal 64 2 2 3 2 2" xfId="27004"/>
    <cellStyle name="Normal 64 2 2 3 2 2 2" xfId="49249"/>
    <cellStyle name="Normal 64 2 2 3 2 3" xfId="24791"/>
    <cellStyle name="Normal 64 2 2 3 2 3 2" xfId="47036"/>
    <cellStyle name="Normal 64 2 2 3 2 4" xfId="38903"/>
    <cellStyle name="Normal 64 2 2 3 3" xfId="25369"/>
    <cellStyle name="Normal 64 2 2 3 3 2" xfId="27674"/>
    <cellStyle name="Normal 64 2 2 3 3 2 2" xfId="49919"/>
    <cellStyle name="Normal 64 2 2 3 3 3" xfId="47614"/>
    <cellStyle name="Normal 64 2 2 3 4" xfId="26331"/>
    <cellStyle name="Normal 64 2 2 3 4 2" xfId="48576"/>
    <cellStyle name="Normal 64 2 2 3 5" xfId="24127"/>
    <cellStyle name="Normal 64 2 2 3 5 2" xfId="46373"/>
    <cellStyle name="Normal 64 2 2 3 6" xfId="32271"/>
    <cellStyle name="Normal 64 2 2 4" xfId="12164"/>
    <cellStyle name="Normal 64 2 2 4 2" xfId="26672"/>
    <cellStyle name="Normal 64 2 2 4 2 2" xfId="48917"/>
    <cellStyle name="Normal 64 2 2 4 3" xfId="24459"/>
    <cellStyle name="Normal 64 2 2 4 3 2" xfId="46704"/>
    <cellStyle name="Normal 64 2 2 4 4" xfId="35587"/>
    <cellStyle name="Normal 64 2 2 5" xfId="23720"/>
    <cellStyle name="Normal 64 2 2 5 2" xfId="27338"/>
    <cellStyle name="Normal 64 2 2 5 2 2" xfId="49583"/>
    <cellStyle name="Normal 64 2 2 5 3" xfId="46009"/>
    <cellStyle name="Normal 64 2 2 6" xfId="25951"/>
    <cellStyle name="Normal 64 2 2 6 2" xfId="48196"/>
    <cellStyle name="Normal 64 2 2 7" xfId="28955"/>
    <cellStyle name="Normal 64 2 3" xfId="4186"/>
    <cellStyle name="Normal 64 2 3 2" xfId="7105"/>
    <cellStyle name="Normal 64 2 3 2 2" xfId="10437"/>
    <cellStyle name="Normal 64 2 3 2 2 2" xfId="17141"/>
    <cellStyle name="Normal 64 2 3 2 2 2 2" xfId="27130"/>
    <cellStyle name="Normal 64 2 3 2 2 2 2 2" xfId="49375"/>
    <cellStyle name="Normal 64 2 3 2 2 2 3" xfId="24917"/>
    <cellStyle name="Normal 64 2 3 2 2 2 3 2" xfId="47162"/>
    <cellStyle name="Normal 64 2 3 2 2 2 4" xfId="40562"/>
    <cellStyle name="Normal 64 2 3 2 2 3" xfId="25495"/>
    <cellStyle name="Normal 64 2 3 2 2 3 2" xfId="27800"/>
    <cellStyle name="Normal 64 2 3 2 2 3 2 2" xfId="50045"/>
    <cellStyle name="Normal 64 2 3 2 2 3 3" xfId="47740"/>
    <cellStyle name="Normal 64 2 3 2 2 4" xfId="26456"/>
    <cellStyle name="Normal 64 2 3 2 2 4 2" xfId="48701"/>
    <cellStyle name="Normal 64 2 3 2 2 5" xfId="24252"/>
    <cellStyle name="Normal 64 2 3 2 2 5 2" xfId="46498"/>
    <cellStyle name="Normal 64 2 3 2 2 6" xfId="33930"/>
    <cellStyle name="Normal 64 2 3 2 3" xfId="13825"/>
    <cellStyle name="Normal 64 2 3 2 3 2" xfId="26798"/>
    <cellStyle name="Normal 64 2 3 2 3 2 2" xfId="49043"/>
    <cellStyle name="Normal 64 2 3 2 3 3" xfId="24585"/>
    <cellStyle name="Normal 64 2 3 2 3 3 2" xfId="46830"/>
    <cellStyle name="Normal 64 2 3 2 3 4" xfId="37246"/>
    <cellStyle name="Normal 64 2 3 2 4" xfId="25159"/>
    <cellStyle name="Normal 64 2 3 2 4 2" xfId="27464"/>
    <cellStyle name="Normal 64 2 3 2 4 2 2" xfId="49709"/>
    <cellStyle name="Normal 64 2 3 2 4 3" xfId="47404"/>
    <cellStyle name="Normal 64 2 3 2 5" xfId="26127"/>
    <cellStyle name="Normal 64 2 3 2 5 2" xfId="48372"/>
    <cellStyle name="Normal 64 2 3 2 6" xfId="23936"/>
    <cellStyle name="Normal 64 2 3 2 6 2" xfId="46182"/>
    <cellStyle name="Normal 64 2 3 2 7" xfId="30614"/>
    <cellStyle name="Normal 64 2 3 3" xfId="8772"/>
    <cellStyle name="Normal 64 2 3 3 2" xfId="15483"/>
    <cellStyle name="Normal 64 2 3 3 2 2" xfId="26964"/>
    <cellStyle name="Normal 64 2 3 3 2 2 2" xfId="49209"/>
    <cellStyle name="Normal 64 2 3 3 2 3" xfId="24751"/>
    <cellStyle name="Normal 64 2 3 3 2 3 2" xfId="46996"/>
    <cellStyle name="Normal 64 2 3 3 2 4" xfId="38904"/>
    <cellStyle name="Normal 64 2 3 3 3" xfId="25327"/>
    <cellStyle name="Normal 64 2 3 3 3 2" xfId="27632"/>
    <cellStyle name="Normal 64 2 3 3 3 2 2" xfId="49877"/>
    <cellStyle name="Normal 64 2 3 3 3 3" xfId="47572"/>
    <cellStyle name="Normal 64 2 3 3 4" xfId="26291"/>
    <cellStyle name="Normal 64 2 3 3 4 2" xfId="48536"/>
    <cellStyle name="Normal 64 2 3 3 5" xfId="24087"/>
    <cellStyle name="Normal 64 2 3 3 5 2" xfId="46333"/>
    <cellStyle name="Normal 64 2 3 3 6" xfId="32272"/>
    <cellStyle name="Normal 64 2 3 4" xfId="12165"/>
    <cellStyle name="Normal 64 2 3 4 2" xfId="26632"/>
    <cellStyle name="Normal 64 2 3 4 2 2" xfId="48877"/>
    <cellStyle name="Normal 64 2 3 4 3" xfId="24419"/>
    <cellStyle name="Normal 64 2 3 4 3 2" xfId="46664"/>
    <cellStyle name="Normal 64 2 3 4 4" xfId="35588"/>
    <cellStyle name="Normal 64 2 3 5" xfId="23721"/>
    <cellStyle name="Normal 64 2 3 5 2" xfId="27296"/>
    <cellStyle name="Normal 64 2 3 5 2 2" xfId="49541"/>
    <cellStyle name="Normal 64 2 3 5 3" xfId="46010"/>
    <cellStyle name="Normal 64 2 3 6" xfId="25952"/>
    <cellStyle name="Normal 64 2 3 6 2" xfId="48197"/>
    <cellStyle name="Normal 64 2 3 7" xfId="28956"/>
    <cellStyle name="Normal 64 2 4" xfId="7103"/>
    <cellStyle name="Normal 64 2 4 2" xfId="10435"/>
    <cellStyle name="Normal 64 2 4 2 2" xfId="17139"/>
    <cellStyle name="Normal 64 2 4 2 2 2" xfId="24999"/>
    <cellStyle name="Normal 64 2 4 2 2 2 2" xfId="27212"/>
    <cellStyle name="Normal 64 2 4 2 2 2 2 2" xfId="49457"/>
    <cellStyle name="Normal 64 2 4 2 2 2 3" xfId="47244"/>
    <cellStyle name="Normal 64 2 4 2 2 3" xfId="25579"/>
    <cellStyle name="Normal 64 2 4 2 2 3 2" xfId="27884"/>
    <cellStyle name="Normal 64 2 4 2 2 3 2 2" xfId="50129"/>
    <cellStyle name="Normal 64 2 4 2 2 3 3" xfId="47824"/>
    <cellStyle name="Normal 64 2 4 2 2 4" xfId="26538"/>
    <cellStyle name="Normal 64 2 4 2 2 4 2" xfId="48783"/>
    <cellStyle name="Normal 64 2 4 2 2 5" xfId="24334"/>
    <cellStyle name="Normal 64 2 4 2 2 5 2" xfId="46580"/>
    <cellStyle name="Normal 64 2 4 2 2 6" xfId="40560"/>
    <cellStyle name="Normal 64 2 4 2 3" xfId="24667"/>
    <cellStyle name="Normal 64 2 4 2 3 2" xfId="26880"/>
    <cellStyle name="Normal 64 2 4 2 3 2 2" xfId="49125"/>
    <cellStyle name="Normal 64 2 4 2 3 3" xfId="46912"/>
    <cellStyle name="Normal 64 2 4 2 4" xfId="25243"/>
    <cellStyle name="Normal 64 2 4 2 4 2" xfId="27548"/>
    <cellStyle name="Normal 64 2 4 2 4 2 2" xfId="49793"/>
    <cellStyle name="Normal 64 2 4 2 4 3" xfId="47488"/>
    <cellStyle name="Normal 64 2 4 2 5" xfId="26208"/>
    <cellStyle name="Normal 64 2 4 2 5 2" xfId="48453"/>
    <cellStyle name="Normal 64 2 4 2 6" xfId="24017"/>
    <cellStyle name="Normal 64 2 4 2 6 2" xfId="46263"/>
    <cellStyle name="Normal 64 2 4 2 7" xfId="33928"/>
    <cellStyle name="Normal 64 2 4 3" xfId="13823"/>
    <cellStyle name="Normal 64 2 4 3 2" xfId="24833"/>
    <cellStyle name="Normal 64 2 4 3 2 2" xfId="27046"/>
    <cellStyle name="Normal 64 2 4 3 2 2 2" xfId="49291"/>
    <cellStyle name="Normal 64 2 4 3 2 3" xfId="47078"/>
    <cellStyle name="Normal 64 2 4 3 3" xfId="25411"/>
    <cellStyle name="Normal 64 2 4 3 3 2" xfId="27716"/>
    <cellStyle name="Normal 64 2 4 3 3 2 2" xfId="49961"/>
    <cellStyle name="Normal 64 2 4 3 3 3" xfId="47656"/>
    <cellStyle name="Normal 64 2 4 3 4" xfId="26373"/>
    <cellStyle name="Normal 64 2 4 3 4 2" xfId="48618"/>
    <cellStyle name="Normal 64 2 4 3 5" xfId="24169"/>
    <cellStyle name="Normal 64 2 4 3 5 2" xfId="46415"/>
    <cellStyle name="Normal 64 2 4 3 6" xfId="37244"/>
    <cellStyle name="Normal 64 2 4 4" xfId="24501"/>
    <cellStyle name="Normal 64 2 4 4 2" xfId="26714"/>
    <cellStyle name="Normal 64 2 4 4 2 2" xfId="48959"/>
    <cellStyle name="Normal 64 2 4 4 3" xfId="46746"/>
    <cellStyle name="Normal 64 2 4 5" xfId="25075"/>
    <cellStyle name="Normal 64 2 4 5 2" xfId="27380"/>
    <cellStyle name="Normal 64 2 4 5 2 2" xfId="49625"/>
    <cellStyle name="Normal 64 2 4 5 3" xfId="47320"/>
    <cellStyle name="Normal 64 2 4 6" xfId="26055"/>
    <cellStyle name="Normal 64 2 4 6 2" xfId="48300"/>
    <cellStyle name="Normal 64 2 4 7" xfId="23864"/>
    <cellStyle name="Normal 64 2 4 7 2" xfId="46110"/>
    <cellStyle name="Normal 64 2 4 8" xfId="30612"/>
    <cellStyle name="Normal 64 2 5" xfId="8770"/>
    <cellStyle name="Normal 64 2 5 2" xfId="15481"/>
    <cellStyle name="Normal 64 2 5 2 2" xfId="24875"/>
    <cellStyle name="Normal 64 2 5 2 2 2" xfId="27088"/>
    <cellStyle name="Normal 64 2 5 2 2 2 2" xfId="49333"/>
    <cellStyle name="Normal 64 2 5 2 2 3" xfId="47120"/>
    <cellStyle name="Normal 64 2 5 2 3" xfId="25453"/>
    <cellStyle name="Normal 64 2 5 2 3 2" xfId="27758"/>
    <cellStyle name="Normal 64 2 5 2 3 2 2" xfId="50003"/>
    <cellStyle name="Normal 64 2 5 2 3 3" xfId="47698"/>
    <cellStyle name="Normal 64 2 5 2 4" xfId="26415"/>
    <cellStyle name="Normal 64 2 5 2 4 2" xfId="48660"/>
    <cellStyle name="Normal 64 2 5 2 5" xfId="24211"/>
    <cellStyle name="Normal 64 2 5 2 5 2" xfId="46457"/>
    <cellStyle name="Normal 64 2 5 2 6" xfId="38902"/>
    <cellStyle name="Normal 64 2 5 3" xfId="24543"/>
    <cellStyle name="Normal 64 2 5 3 2" xfId="26756"/>
    <cellStyle name="Normal 64 2 5 3 2 2" xfId="49001"/>
    <cellStyle name="Normal 64 2 5 3 3" xfId="46788"/>
    <cellStyle name="Normal 64 2 5 4" xfId="25117"/>
    <cellStyle name="Normal 64 2 5 4 2" xfId="27422"/>
    <cellStyle name="Normal 64 2 5 4 2 2" xfId="49667"/>
    <cellStyle name="Normal 64 2 5 4 3" xfId="47362"/>
    <cellStyle name="Normal 64 2 5 5" xfId="26087"/>
    <cellStyle name="Normal 64 2 5 5 2" xfId="48332"/>
    <cellStyle name="Normal 64 2 5 6" xfId="23896"/>
    <cellStyle name="Normal 64 2 5 6 2" xfId="46142"/>
    <cellStyle name="Normal 64 2 5 7" xfId="32270"/>
    <cellStyle name="Normal 64 2 6" xfId="12163"/>
    <cellStyle name="Normal 64 2 6 2" xfId="24709"/>
    <cellStyle name="Normal 64 2 6 2 2" xfId="26922"/>
    <cellStyle name="Normal 64 2 6 2 2 2" xfId="49167"/>
    <cellStyle name="Normal 64 2 6 2 3" xfId="46954"/>
    <cellStyle name="Normal 64 2 6 3" xfId="25285"/>
    <cellStyle name="Normal 64 2 6 3 2" xfId="27590"/>
    <cellStyle name="Normal 64 2 6 3 2 2" xfId="49835"/>
    <cellStyle name="Normal 64 2 6 3 3" xfId="47530"/>
    <cellStyle name="Normal 64 2 6 4" xfId="26250"/>
    <cellStyle name="Normal 64 2 6 4 2" xfId="48495"/>
    <cellStyle name="Normal 64 2 6 5" xfId="24046"/>
    <cellStyle name="Normal 64 2 6 5 2" xfId="46292"/>
    <cellStyle name="Normal 64 2 6 6" xfId="35586"/>
    <cellStyle name="Normal 64 2 7" xfId="18821"/>
    <cellStyle name="Normal 64 2 7 2" xfId="26590"/>
    <cellStyle name="Normal 64 2 7 2 2" xfId="48835"/>
    <cellStyle name="Normal 64 2 7 3" xfId="24377"/>
    <cellStyle name="Normal 64 2 7 3 2" xfId="46622"/>
    <cellStyle name="Normal 64 2 8" xfId="23719"/>
    <cellStyle name="Normal 64 2 8 2" xfId="27254"/>
    <cellStyle name="Normal 64 2 8 2 2" xfId="49499"/>
    <cellStyle name="Normal 64 2 8 3" xfId="46008"/>
    <cellStyle name="Normal 64 2 9" xfId="25950"/>
    <cellStyle name="Normal 64 2 9 2" xfId="48195"/>
    <cellStyle name="Normal 64 3" xfId="4187"/>
    <cellStyle name="Normal 64 3 2" xfId="7106"/>
    <cellStyle name="Normal 64 3 2 2" xfId="10438"/>
    <cellStyle name="Normal 64 3 2 2 2" xfId="17142"/>
    <cellStyle name="Normal 64 3 2 2 2 2" xfId="27150"/>
    <cellStyle name="Normal 64 3 2 2 2 2 2" xfId="49395"/>
    <cellStyle name="Normal 64 3 2 2 2 3" xfId="24937"/>
    <cellStyle name="Normal 64 3 2 2 2 3 2" xfId="47182"/>
    <cellStyle name="Normal 64 3 2 2 2 4" xfId="40563"/>
    <cellStyle name="Normal 64 3 2 2 3" xfId="25516"/>
    <cellStyle name="Normal 64 3 2 2 3 2" xfId="27821"/>
    <cellStyle name="Normal 64 3 2 2 3 2 2" xfId="50066"/>
    <cellStyle name="Normal 64 3 2 2 3 3" xfId="47761"/>
    <cellStyle name="Normal 64 3 2 2 4" xfId="26476"/>
    <cellStyle name="Normal 64 3 2 2 4 2" xfId="48721"/>
    <cellStyle name="Normal 64 3 2 2 5" xfId="24272"/>
    <cellStyle name="Normal 64 3 2 2 5 2" xfId="46518"/>
    <cellStyle name="Normal 64 3 2 2 6" xfId="33931"/>
    <cellStyle name="Normal 64 3 2 3" xfId="13826"/>
    <cellStyle name="Normal 64 3 2 3 2" xfId="26818"/>
    <cellStyle name="Normal 64 3 2 3 2 2" xfId="49063"/>
    <cellStyle name="Normal 64 3 2 3 3" xfId="24605"/>
    <cellStyle name="Normal 64 3 2 3 3 2" xfId="46850"/>
    <cellStyle name="Normal 64 3 2 3 4" xfId="37247"/>
    <cellStyle name="Normal 64 3 2 4" xfId="25180"/>
    <cellStyle name="Normal 64 3 2 4 2" xfId="27485"/>
    <cellStyle name="Normal 64 3 2 4 2 2" xfId="49730"/>
    <cellStyle name="Normal 64 3 2 4 3" xfId="47425"/>
    <cellStyle name="Normal 64 3 2 5" xfId="26147"/>
    <cellStyle name="Normal 64 3 2 5 2" xfId="48392"/>
    <cellStyle name="Normal 64 3 2 6" xfId="23956"/>
    <cellStyle name="Normal 64 3 2 6 2" xfId="46202"/>
    <cellStyle name="Normal 64 3 2 7" xfId="30615"/>
    <cellStyle name="Normal 64 3 3" xfId="8773"/>
    <cellStyle name="Normal 64 3 3 2" xfId="15484"/>
    <cellStyle name="Normal 64 3 3 2 2" xfId="26984"/>
    <cellStyle name="Normal 64 3 3 2 2 2" xfId="49229"/>
    <cellStyle name="Normal 64 3 3 2 3" xfId="24771"/>
    <cellStyle name="Normal 64 3 3 2 3 2" xfId="47016"/>
    <cellStyle name="Normal 64 3 3 2 4" xfId="38905"/>
    <cellStyle name="Normal 64 3 3 3" xfId="25348"/>
    <cellStyle name="Normal 64 3 3 3 2" xfId="27653"/>
    <cellStyle name="Normal 64 3 3 3 2 2" xfId="49898"/>
    <cellStyle name="Normal 64 3 3 3 3" xfId="47593"/>
    <cellStyle name="Normal 64 3 3 4" xfId="26311"/>
    <cellStyle name="Normal 64 3 3 4 2" xfId="48556"/>
    <cellStyle name="Normal 64 3 3 5" xfId="24107"/>
    <cellStyle name="Normal 64 3 3 5 2" xfId="46353"/>
    <cellStyle name="Normal 64 3 3 6" xfId="32273"/>
    <cellStyle name="Normal 64 3 4" xfId="12166"/>
    <cellStyle name="Normal 64 3 4 2" xfId="26652"/>
    <cellStyle name="Normal 64 3 4 2 2" xfId="48897"/>
    <cellStyle name="Normal 64 3 4 3" xfId="24439"/>
    <cellStyle name="Normal 64 3 4 3 2" xfId="46684"/>
    <cellStyle name="Normal 64 3 4 4" xfId="35589"/>
    <cellStyle name="Normal 64 3 5" xfId="23722"/>
    <cellStyle name="Normal 64 3 5 2" xfId="27317"/>
    <cellStyle name="Normal 64 3 5 2 2" xfId="49562"/>
    <cellStyle name="Normal 64 3 5 3" xfId="46011"/>
    <cellStyle name="Normal 64 3 6" xfId="25953"/>
    <cellStyle name="Normal 64 3 6 2" xfId="48198"/>
    <cellStyle name="Normal 64 3 7" xfId="28957"/>
    <cellStyle name="Normal 64 4" xfId="4188"/>
    <cellStyle name="Normal 64 4 2" xfId="7107"/>
    <cellStyle name="Normal 64 4 2 2" xfId="10439"/>
    <cellStyle name="Normal 64 4 2 2 2" xfId="17143"/>
    <cellStyle name="Normal 64 4 2 2 2 2" xfId="27109"/>
    <cellStyle name="Normal 64 4 2 2 2 2 2" xfId="49354"/>
    <cellStyle name="Normal 64 4 2 2 2 3" xfId="24896"/>
    <cellStyle name="Normal 64 4 2 2 2 3 2" xfId="47141"/>
    <cellStyle name="Normal 64 4 2 2 2 4" xfId="40564"/>
    <cellStyle name="Normal 64 4 2 2 3" xfId="25474"/>
    <cellStyle name="Normal 64 4 2 2 3 2" xfId="27779"/>
    <cellStyle name="Normal 64 4 2 2 3 2 2" xfId="50024"/>
    <cellStyle name="Normal 64 4 2 2 3 3" xfId="47719"/>
    <cellStyle name="Normal 64 4 2 2 4" xfId="26436"/>
    <cellStyle name="Normal 64 4 2 2 4 2" xfId="48681"/>
    <cellStyle name="Normal 64 4 2 2 5" xfId="24232"/>
    <cellStyle name="Normal 64 4 2 2 5 2" xfId="46478"/>
    <cellStyle name="Normal 64 4 2 2 6" xfId="33932"/>
    <cellStyle name="Normal 64 4 2 3" xfId="13827"/>
    <cellStyle name="Normal 64 4 2 3 2" xfId="26777"/>
    <cellStyle name="Normal 64 4 2 3 2 2" xfId="49022"/>
    <cellStyle name="Normal 64 4 2 3 3" xfId="24564"/>
    <cellStyle name="Normal 64 4 2 3 3 2" xfId="46809"/>
    <cellStyle name="Normal 64 4 2 3 4" xfId="37248"/>
    <cellStyle name="Normal 64 4 2 4" xfId="25138"/>
    <cellStyle name="Normal 64 4 2 4 2" xfId="27443"/>
    <cellStyle name="Normal 64 4 2 4 2 2" xfId="49688"/>
    <cellStyle name="Normal 64 4 2 4 3" xfId="47383"/>
    <cellStyle name="Normal 64 4 2 5" xfId="26107"/>
    <cellStyle name="Normal 64 4 2 5 2" xfId="48352"/>
    <cellStyle name="Normal 64 4 2 6" xfId="23916"/>
    <cellStyle name="Normal 64 4 2 6 2" xfId="46162"/>
    <cellStyle name="Normal 64 4 2 7" xfId="30616"/>
    <cellStyle name="Normal 64 4 3" xfId="8774"/>
    <cellStyle name="Normal 64 4 3 2" xfId="15485"/>
    <cellStyle name="Normal 64 4 3 2 2" xfId="26943"/>
    <cellStyle name="Normal 64 4 3 2 2 2" xfId="49188"/>
    <cellStyle name="Normal 64 4 3 2 3" xfId="24730"/>
    <cellStyle name="Normal 64 4 3 2 3 2" xfId="46975"/>
    <cellStyle name="Normal 64 4 3 2 4" xfId="38906"/>
    <cellStyle name="Normal 64 4 3 3" xfId="25306"/>
    <cellStyle name="Normal 64 4 3 3 2" xfId="27611"/>
    <cellStyle name="Normal 64 4 3 3 2 2" xfId="49856"/>
    <cellStyle name="Normal 64 4 3 3 3" xfId="47551"/>
    <cellStyle name="Normal 64 4 3 4" xfId="26271"/>
    <cellStyle name="Normal 64 4 3 4 2" xfId="48516"/>
    <cellStyle name="Normal 64 4 3 5" xfId="24067"/>
    <cellStyle name="Normal 64 4 3 5 2" xfId="46313"/>
    <cellStyle name="Normal 64 4 3 6" xfId="32274"/>
    <cellStyle name="Normal 64 4 4" xfId="12167"/>
    <cellStyle name="Normal 64 4 4 2" xfId="26611"/>
    <cellStyle name="Normal 64 4 4 2 2" xfId="48856"/>
    <cellStyle name="Normal 64 4 4 3" xfId="24398"/>
    <cellStyle name="Normal 64 4 4 3 2" xfId="46643"/>
    <cellStyle name="Normal 64 4 4 4" xfId="35590"/>
    <cellStyle name="Normal 64 4 5" xfId="23723"/>
    <cellStyle name="Normal 64 4 5 2" xfId="27275"/>
    <cellStyle name="Normal 64 4 5 2 2" xfId="49520"/>
    <cellStyle name="Normal 64 4 5 3" xfId="46012"/>
    <cellStyle name="Normal 64 4 6" xfId="25954"/>
    <cellStyle name="Normal 64 4 6 2" xfId="48199"/>
    <cellStyle name="Normal 64 4 7" xfId="28958"/>
    <cellStyle name="Normal 64 5" xfId="4189"/>
    <cellStyle name="Normal 64 5 2" xfId="7108"/>
    <cellStyle name="Normal 64 5 2 2" xfId="10440"/>
    <cellStyle name="Normal 64 5 2 2 2" xfId="17144"/>
    <cellStyle name="Normal 64 5 2 2 2 2" xfId="27191"/>
    <cellStyle name="Normal 64 5 2 2 2 2 2" xfId="49436"/>
    <cellStyle name="Normal 64 5 2 2 2 3" xfId="24978"/>
    <cellStyle name="Normal 64 5 2 2 2 3 2" xfId="47223"/>
    <cellStyle name="Normal 64 5 2 2 2 4" xfId="40565"/>
    <cellStyle name="Normal 64 5 2 2 3" xfId="25558"/>
    <cellStyle name="Normal 64 5 2 2 3 2" xfId="27863"/>
    <cellStyle name="Normal 64 5 2 2 3 2 2" xfId="50108"/>
    <cellStyle name="Normal 64 5 2 2 3 3" xfId="47803"/>
    <cellStyle name="Normal 64 5 2 2 4" xfId="26517"/>
    <cellStyle name="Normal 64 5 2 2 4 2" xfId="48762"/>
    <cellStyle name="Normal 64 5 2 2 5" xfId="24313"/>
    <cellStyle name="Normal 64 5 2 2 5 2" xfId="46559"/>
    <cellStyle name="Normal 64 5 2 2 6" xfId="33933"/>
    <cellStyle name="Normal 64 5 2 3" xfId="13828"/>
    <cellStyle name="Normal 64 5 2 3 2" xfId="26859"/>
    <cellStyle name="Normal 64 5 2 3 2 2" xfId="49104"/>
    <cellStyle name="Normal 64 5 2 3 3" xfId="24646"/>
    <cellStyle name="Normal 64 5 2 3 3 2" xfId="46891"/>
    <cellStyle name="Normal 64 5 2 3 4" xfId="37249"/>
    <cellStyle name="Normal 64 5 2 4" xfId="25222"/>
    <cellStyle name="Normal 64 5 2 4 2" xfId="27527"/>
    <cellStyle name="Normal 64 5 2 4 2 2" xfId="49772"/>
    <cellStyle name="Normal 64 5 2 4 3" xfId="47467"/>
    <cellStyle name="Normal 64 5 2 5" xfId="26188"/>
    <cellStyle name="Normal 64 5 2 5 2" xfId="48433"/>
    <cellStyle name="Normal 64 5 2 6" xfId="23997"/>
    <cellStyle name="Normal 64 5 2 6 2" xfId="46243"/>
    <cellStyle name="Normal 64 5 2 7" xfId="30617"/>
    <cellStyle name="Normal 64 5 3" xfId="8775"/>
    <cellStyle name="Normal 64 5 3 2" xfId="15486"/>
    <cellStyle name="Normal 64 5 3 2 2" xfId="27025"/>
    <cellStyle name="Normal 64 5 3 2 2 2" xfId="49270"/>
    <cellStyle name="Normal 64 5 3 2 3" xfId="24812"/>
    <cellStyle name="Normal 64 5 3 2 3 2" xfId="47057"/>
    <cellStyle name="Normal 64 5 3 2 4" xfId="38907"/>
    <cellStyle name="Normal 64 5 3 3" xfId="25390"/>
    <cellStyle name="Normal 64 5 3 3 2" xfId="27695"/>
    <cellStyle name="Normal 64 5 3 3 2 2" xfId="49940"/>
    <cellStyle name="Normal 64 5 3 3 3" xfId="47635"/>
    <cellStyle name="Normal 64 5 3 4" xfId="26352"/>
    <cellStyle name="Normal 64 5 3 4 2" xfId="48597"/>
    <cellStyle name="Normal 64 5 3 5" xfId="24148"/>
    <cellStyle name="Normal 64 5 3 5 2" xfId="46394"/>
    <cellStyle name="Normal 64 5 3 6" xfId="32275"/>
    <cellStyle name="Normal 64 5 4" xfId="12168"/>
    <cellStyle name="Normal 64 5 4 2" xfId="26693"/>
    <cellStyle name="Normal 64 5 4 2 2" xfId="48938"/>
    <cellStyle name="Normal 64 5 4 3" xfId="24480"/>
    <cellStyle name="Normal 64 5 4 3 2" xfId="46725"/>
    <cellStyle name="Normal 64 5 4 4" xfId="35591"/>
    <cellStyle name="Normal 64 5 5" xfId="23724"/>
    <cellStyle name="Normal 64 5 5 2" xfId="27359"/>
    <cellStyle name="Normal 64 5 5 2 2" xfId="49604"/>
    <cellStyle name="Normal 64 5 5 3" xfId="46013"/>
    <cellStyle name="Normal 64 5 6" xfId="25955"/>
    <cellStyle name="Normal 64 5 6 2" xfId="48200"/>
    <cellStyle name="Normal 64 5 7" xfId="28959"/>
    <cellStyle name="Normal 64 6" xfId="23878"/>
    <cellStyle name="Normal 64 6 2" xfId="24190"/>
    <cellStyle name="Normal 64 6 2 2" xfId="24854"/>
    <cellStyle name="Normal 64 6 2 2 2" xfId="27067"/>
    <cellStyle name="Normal 64 6 2 2 2 2" xfId="49312"/>
    <cellStyle name="Normal 64 6 2 2 3" xfId="47099"/>
    <cellStyle name="Normal 64 6 2 3" xfId="25432"/>
    <cellStyle name="Normal 64 6 2 3 2" xfId="27737"/>
    <cellStyle name="Normal 64 6 2 3 2 2" xfId="49982"/>
    <cellStyle name="Normal 64 6 2 3 3" xfId="47677"/>
    <cellStyle name="Normal 64 6 2 4" xfId="26394"/>
    <cellStyle name="Normal 64 6 2 4 2" xfId="48639"/>
    <cellStyle name="Normal 64 6 2 5" xfId="46436"/>
    <cellStyle name="Normal 64 6 3" xfId="24522"/>
    <cellStyle name="Normal 64 6 3 2" xfId="26735"/>
    <cellStyle name="Normal 64 6 3 2 2" xfId="48980"/>
    <cellStyle name="Normal 64 6 3 3" xfId="46767"/>
    <cellStyle name="Normal 64 6 4" xfId="25096"/>
    <cellStyle name="Normal 64 6 4 2" xfId="27401"/>
    <cellStyle name="Normal 64 6 4 2 2" xfId="49646"/>
    <cellStyle name="Normal 64 6 4 3" xfId="47341"/>
    <cellStyle name="Normal 64 6 5" xfId="26069"/>
    <cellStyle name="Normal 64 6 5 2" xfId="48314"/>
    <cellStyle name="Normal 64 6 6" xfId="46124"/>
    <cellStyle name="Normal 64 7" xfId="24027"/>
    <cellStyle name="Normal 64 7 2" xfId="24688"/>
    <cellStyle name="Normal 64 7 2 2" xfId="26901"/>
    <cellStyle name="Normal 64 7 2 2 2" xfId="49146"/>
    <cellStyle name="Normal 64 7 2 3" xfId="46933"/>
    <cellStyle name="Normal 64 7 3" xfId="25264"/>
    <cellStyle name="Normal 64 7 3 2" xfId="27569"/>
    <cellStyle name="Normal 64 7 3 2 2" xfId="49814"/>
    <cellStyle name="Normal 64 7 3 3" xfId="47509"/>
    <cellStyle name="Normal 64 7 4" xfId="26229"/>
    <cellStyle name="Normal 64 7 4 2" xfId="48474"/>
    <cellStyle name="Normal 64 7 5" xfId="46273"/>
    <cellStyle name="Normal 64 8" xfId="24366"/>
    <cellStyle name="Normal 64 8 2" xfId="26569"/>
    <cellStyle name="Normal 64 8 2 2" xfId="48814"/>
    <cellStyle name="Normal 64 8 3" xfId="46611"/>
    <cellStyle name="Normal 64 9" xfId="25020"/>
    <cellStyle name="Normal 64 9 2" xfId="27233"/>
    <cellStyle name="Normal 64 9 2 2" xfId="49478"/>
    <cellStyle name="Normal 64 9 3" xfId="47265"/>
    <cellStyle name="Normal 65" xfId="781"/>
    <cellStyle name="Normal 65 2" xfId="4190"/>
    <cellStyle name="Normal 65 2 10" xfId="28960"/>
    <cellStyle name="Normal 65 2 2" xfId="4191"/>
    <cellStyle name="Normal 65 2 2 2" xfId="7110"/>
    <cellStyle name="Normal 65 2 2 2 2" xfId="10442"/>
    <cellStyle name="Normal 65 2 2 2 2 2" xfId="17146"/>
    <cellStyle name="Normal 65 2 2 2 2 2 2" xfId="27171"/>
    <cellStyle name="Normal 65 2 2 2 2 2 2 2" xfId="49416"/>
    <cellStyle name="Normal 65 2 2 2 2 2 3" xfId="24958"/>
    <cellStyle name="Normal 65 2 2 2 2 2 3 2" xfId="47203"/>
    <cellStyle name="Normal 65 2 2 2 2 2 4" xfId="40567"/>
    <cellStyle name="Normal 65 2 2 2 2 3" xfId="25538"/>
    <cellStyle name="Normal 65 2 2 2 2 3 2" xfId="27843"/>
    <cellStyle name="Normal 65 2 2 2 2 3 2 2" xfId="50088"/>
    <cellStyle name="Normal 65 2 2 2 2 3 3" xfId="47783"/>
    <cellStyle name="Normal 65 2 2 2 2 4" xfId="26497"/>
    <cellStyle name="Normal 65 2 2 2 2 4 2" xfId="48742"/>
    <cellStyle name="Normal 65 2 2 2 2 5" xfId="24293"/>
    <cellStyle name="Normal 65 2 2 2 2 5 2" xfId="46539"/>
    <cellStyle name="Normal 65 2 2 2 2 6" xfId="33935"/>
    <cellStyle name="Normal 65 2 2 2 3" xfId="13830"/>
    <cellStyle name="Normal 65 2 2 2 3 2" xfId="26839"/>
    <cellStyle name="Normal 65 2 2 2 3 2 2" xfId="49084"/>
    <cellStyle name="Normal 65 2 2 2 3 3" xfId="24626"/>
    <cellStyle name="Normal 65 2 2 2 3 3 2" xfId="46871"/>
    <cellStyle name="Normal 65 2 2 2 3 4" xfId="37251"/>
    <cellStyle name="Normal 65 2 2 2 4" xfId="25202"/>
    <cellStyle name="Normal 65 2 2 2 4 2" xfId="27507"/>
    <cellStyle name="Normal 65 2 2 2 4 2 2" xfId="49752"/>
    <cellStyle name="Normal 65 2 2 2 4 3" xfId="47447"/>
    <cellStyle name="Normal 65 2 2 2 5" xfId="26168"/>
    <cellStyle name="Normal 65 2 2 2 5 2" xfId="48413"/>
    <cellStyle name="Normal 65 2 2 2 6" xfId="23977"/>
    <cellStyle name="Normal 65 2 2 2 6 2" xfId="46223"/>
    <cellStyle name="Normal 65 2 2 2 7" xfId="30619"/>
    <cellStyle name="Normal 65 2 2 3" xfId="8777"/>
    <cellStyle name="Normal 65 2 2 3 2" xfId="15488"/>
    <cellStyle name="Normal 65 2 2 3 2 2" xfId="27005"/>
    <cellStyle name="Normal 65 2 2 3 2 2 2" xfId="49250"/>
    <cellStyle name="Normal 65 2 2 3 2 3" xfId="24792"/>
    <cellStyle name="Normal 65 2 2 3 2 3 2" xfId="47037"/>
    <cellStyle name="Normal 65 2 2 3 2 4" xfId="38909"/>
    <cellStyle name="Normal 65 2 2 3 3" xfId="25370"/>
    <cellStyle name="Normal 65 2 2 3 3 2" xfId="27675"/>
    <cellStyle name="Normal 65 2 2 3 3 2 2" xfId="49920"/>
    <cellStyle name="Normal 65 2 2 3 3 3" xfId="47615"/>
    <cellStyle name="Normal 65 2 2 3 4" xfId="26332"/>
    <cellStyle name="Normal 65 2 2 3 4 2" xfId="48577"/>
    <cellStyle name="Normal 65 2 2 3 5" xfId="24128"/>
    <cellStyle name="Normal 65 2 2 3 5 2" xfId="46374"/>
    <cellStyle name="Normal 65 2 2 3 6" xfId="32277"/>
    <cellStyle name="Normal 65 2 2 4" xfId="12170"/>
    <cellStyle name="Normal 65 2 2 4 2" xfId="26673"/>
    <cellStyle name="Normal 65 2 2 4 2 2" xfId="48918"/>
    <cellStyle name="Normal 65 2 2 4 3" xfId="24460"/>
    <cellStyle name="Normal 65 2 2 4 3 2" xfId="46705"/>
    <cellStyle name="Normal 65 2 2 4 4" xfId="35593"/>
    <cellStyle name="Normal 65 2 2 5" xfId="23726"/>
    <cellStyle name="Normal 65 2 2 5 2" xfId="27339"/>
    <cellStyle name="Normal 65 2 2 5 2 2" xfId="49584"/>
    <cellStyle name="Normal 65 2 2 5 3" xfId="46015"/>
    <cellStyle name="Normal 65 2 2 6" xfId="25957"/>
    <cellStyle name="Normal 65 2 2 6 2" xfId="48202"/>
    <cellStyle name="Normal 65 2 2 7" xfId="28961"/>
    <cellStyle name="Normal 65 2 3" xfId="4192"/>
    <cellStyle name="Normal 65 2 3 2" xfId="7111"/>
    <cellStyle name="Normal 65 2 3 2 2" xfId="10443"/>
    <cellStyle name="Normal 65 2 3 2 2 2" xfId="17147"/>
    <cellStyle name="Normal 65 2 3 2 2 2 2" xfId="27131"/>
    <cellStyle name="Normal 65 2 3 2 2 2 2 2" xfId="49376"/>
    <cellStyle name="Normal 65 2 3 2 2 2 3" xfId="24918"/>
    <cellStyle name="Normal 65 2 3 2 2 2 3 2" xfId="47163"/>
    <cellStyle name="Normal 65 2 3 2 2 2 4" xfId="40568"/>
    <cellStyle name="Normal 65 2 3 2 2 3" xfId="25496"/>
    <cellStyle name="Normal 65 2 3 2 2 3 2" xfId="27801"/>
    <cellStyle name="Normal 65 2 3 2 2 3 2 2" xfId="50046"/>
    <cellStyle name="Normal 65 2 3 2 2 3 3" xfId="47741"/>
    <cellStyle name="Normal 65 2 3 2 2 4" xfId="26457"/>
    <cellStyle name="Normal 65 2 3 2 2 4 2" xfId="48702"/>
    <cellStyle name="Normal 65 2 3 2 2 5" xfId="24253"/>
    <cellStyle name="Normal 65 2 3 2 2 5 2" xfId="46499"/>
    <cellStyle name="Normal 65 2 3 2 2 6" xfId="33936"/>
    <cellStyle name="Normal 65 2 3 2 3" xfId="13831"/>
    <cellStyle name="Normal 65 2 3 2 3 2" xfId="26799"/>
    <cellStyle name="Normal 65 2 3 2 3 2 2" xfId="49044"/>
    <cellStyle name="Normal 65 2 3 2 3 3" xfId="24586"/>
    <cellStyle name="Normal 65 2 3 2 3 3 2" xfId="46831"/>
    <cellStyle name="Normal 65 2 3 2 3 4" xfId="37252"/>
    <cellStyle name="Normal 65 2 3 2 4" xfId="25160"/>
    <cellStyle name="Normal 65 2 3 2 4 2" xfId="27465"/>
    <cellStyle name="Normal 65 2 3 2 4 2 2" xfId="49710"/>
    <cellStyle name="Normal 65 2 3 2 4 3" xfId="47405"/>
    <cellStyle name="Normal 65 2 3 2 5" xfId="26128"/>
    <cellStyle name="Normal 65 2 3 2 5 2" xfId="48373"/>
    <cellStyle name="Normal 65 2 3 2 6" xfId="23937"/>
    <cellStyle name="Normal 65 2 3 2 6 2" xfId="46183"/>
    <cellStyle name="Normal 65 2 3 2 7" xfId="30620"/>
    <cellStyle name="Normal 65 2 3 3" xfId="8778"/>
    <cellStyle name="Normal 65 2 3 3 2" xfId="15489"/>
    <cellStyle name="Normal 65 2 3 3 2 2" xfId="26965"/>
    <cellStyle name="Normal 65 2 3 3 2 2 2" xfId="49210"/>
    <cellStyle name="Normal 65 2 3 3 2 3" xfId="24752"/>
    <cellStyle name="Normal 65 2 3 3 2 3 2" xfId="46997"/>
    <cellStyle name="Normal 65 2 3 3 2 4" xfId="38910"/>
    <cellStyle name="Normal 65 2 3 3 3" xfId="25328"/>
    <cellStyle name="Normal 65 2 3 3 3 2" xfId="27633"/>
    <cellStyle name="Normal 65 2 3 3 3 2 2" xfId="49878"/>
    <cellStyle name="Normal 65 2 3 3 3 3" xfId="47573"/>
    <cellStyle name="Normal 65 2 3 3 4" xfId="26292"/>
    <cellStyle name="Normal 65 2 3 3 4 2" xfId="48537"/>
    <cellStyle name="Normal 65 2 3 3 5" xfId="24088"/>
    <cellStyle name="Normal 65 2 3 3 5 2" xfId="46334"/>
    <cellStyle name="Normal 65 2 3 3 6" xfId="32278"/>
    <cellStyle name="Normal 65 2 3 4" xfId="12171"/>
    <cellStyle name="Normal 65 2 3 4 2" xfId="26633"/>
    <cellStyle name="Normal 65 2 3 4 2 2" xfId="48878"/>
    <cellStyle name="Normal 65 2 3 4 3" xfId="24420"/>
    <cellStyle name="Normal 65 2 3 4 3 2" xfId="46665"/>
    <cellStyle name="Normal 65 2 3 4 4" xfId="35594"/>
    <cellStyle name="Normal 65 2 3 5" xfId="23727"/>
    <cellStyle name="Normal 65 2 3 5 2" xfId="27297"/>
    <cellStyle name="Normal 65 2 3 5 2 2" xfId="49542"/>
    <cellStyle name="Normal 65 2 3 5 3" xfId="46016"/>
    <cellStyle name="Normal 65 2 3 6" xfId="25958"/>
    <cellStyle name="Normal 65 2 3 6 2" xfId="48203"/>
    <cellStyle name="Normal 65 2 3 7" xfId="28962"/>
    <cellStyle name="Normal 65 2 4" xfId="7109"/>
    <cellStyle name="Normal 65 2 4 2" xfId="10441"/>
    <cellStyle name="Normal 65 2 4 2 2" xfId="17145"/>
    <cellStyle name="Normal 65 2 4 2 2 2" xfId="25000"/>
    <cellStyle name="Normal 65 2 4 2 2 2 2" xfId="27213"/>
    <cellStyle name="Normal 65 2 4 2 2 2 2 2" xfId="49458"/>
    <cellStyle name="Normal 65 2 4 2 2 2 3" xfId="47245"/>
    <cellStyle name="Normal 65 2 4 2 2 3" xfId="25580"/>
    <cellStyle name="Normal 65 2 4 2 2 3 2" xfId="27885"/>
    <cellStyle name="Normal 65 2 4 2 2 3 2 2" xfId="50130"/>
    <cellStyle name="Normal 65 2 4 2 2 3 3" xfId="47825"/>
    <cellStyle name="Normal 65 2 4 2 2 4" xfId="26539"/>
    <cellStyle name="Normal 65 2 4 2 2 4 2" xfId="48784"/>
    <cellStyle name="Normal 65 2 4 2 2 5" xfId="24335"/>
    <cellStyle name="Normal 65 2 4 2 2 5 2" xfId="46581"/>
    <cellStyle name="Normal 65 2 4 2 2 6" xfId="40566"/>
    <cellStyle name="Normal 65 2 4 2 3" xfId="24668"/>
    <cellStyle name="Normal 65 2 4 2 3 2" xfId="26881"/>
    <cellStyle name="Normal 65 2 4 2 3 2 2" xfId="49126"/>
    <cellStyle name="Normal 65 2 4 2 3 3" xfId="46913"/>
    <cellStyle name="Normal 65 2 4 2 4" xfId="25244"/>
    <cellStyle name="Normal 65 2 4 2 4 2" xfId="27549"/>
    <cellStyle name="Normal 65 2 4 2 4 2 2" xfId="49794"/>
    <cellStyle name="Normal 65 2 4 2 4 3" xfId="47489"/>
    <cellStyle name="Normal 65 2 4 2 5" xfId="26209"/>
    <cellStyle name="Normal 65 2 4 2 5 2" xfId="48454"/>
    <cellStyle name="Normal 65 2 4 2 6" xfId="24018"/>
    <cellStyle name="Normal 65 2 4 2 6 2" xfId="46264"/>
    <cellStyle name="Normal 65 2 4 2 7" xfId="33934"/>
    <cellStyle name="Normal 65 2 4 3" xfId="13829"/>
    <cellStyle name="Normal 65 2 4 3 2" xfId="24834"/>
    <cellStyle name="Normal 65 2 4 3 2 2" xfId="27047"/>
    <cellStyle name="Normal 65 2 4 3 2 2 2" xfId="49292"/>
    <cellStyle name="Normal 65 2 4 3 2 3" xfId="47079"/>
    <cellStyle name="Normal 65 2 4 3 3" xfId="25412"/>
    <cellStyle name="Normal 65 2 4 3 3 2" xfId="27717"/>
    <cellStyle name="Normal 65 2 4 3 3 2 2" xfId="49962"/>
    <cellStyle name="Normal 65 2 4 3 3 3" xfId="47657"/>
    <cellStyle name="Normal 65 2 4 3 4" xfId="26374"/>
    <cellStyle name="Normal 65 2 4 3 4 2" xfId="48619"/>
    <cellStyle name="Normal 65 2 4 3 5" xfId="24170"/>
    <cellStyle name="Normal 65 2 4 3 5 2" xfId="46416"/>
    <cellStyle name="Normal 65 2 4 3 6" xfId="37250"/>
    <cellStyle name="Normal 65 2 4 4" xfId="24502"/>
    <cellStyle name="Normal 65 2 4 4 2" xfId="26715"/>
    <cellStyle name="Normal 65 2 4 4 2 2" xfId="48960"/>
    <cellStyle name="Normal 65 2 4 4 3" xfId="46747"/>
    <cellStyle name="Normal 65 2 4 5" xfId="25076"/>
    <cellStyle name="Normal 65 2 4 5 2" xfId="27381"/>
    <cellStyle name="Normal 65 2 4 5 2 2" xfId="49626"/>
    <cellStyle name="Normal 65 2 4 5 3" xfId="47321"/>
    <cellStyle name="Normal 65 2 4 6" xfId="26056"/>
    <cellStyle name="Normal 65 2 4 6 2" xfId="48301"/>
    <cellStyle name="Normal 65 2 4 7" xfId="23865"/>
    <cellStyle name="Normal 65 2 4 7 2" xfId="46111"/>
    <cellStyle name="Normal 65 2 4 8" xfId="30618"/>
    <cellStyle name="Normal 65 2 5" xfId="8776"/>
    <cellStyle name="Normal 65 2 5 2" xfId="15487"/>
    <cellStyle name="Normal 65 2 5 2 2" xfId="24876"/>
    <cellStyle name="Normal 65 2 5 2 2 2" xfId="27089"/>
    <cellStyle name="Normal 65 2 5 2 2 2 2" xfId="49334"/>
    <cellStyle name="Normal 65 2 5 2 2 3" xfId="47121"/>
    <cellStyle name="Normal 65 2 5 2 3" xfId="25454"/>
    <cellStyle name="Normal 65 2 5 2 3 2" xfId="27759"/>
    <cellStyle name="Normal 65 2 5 2 3 2 2" xfId="50004"/>
    <cellStyle name="Normal 65 2 5 2 3 3" xfId="47699"/>
    <cellStyle name="Normal 65 2 5 2 4" xfId="26416"/>
    <cellStyle name="Normal 65 2 5 2 4 2" xfId="48661"/>
    <cellStyle name="Normal 65 2 5 2 5" xfId="24212"/>
    <cellStyle name="Normal 65 2 5 2 5 2" xfId="46458"/>
    <cellStyle name="Normal 65 2 5 2 6" xfId="38908"/>
    <cellStyle name="Normal 65 2 5 3" xfId="24544"/>
    <cellStyle name="Normal 65 2 5 3 2" xfId="26757"/>
    <cellStyle name="Normal 65 2 5 3 2 2" xfId="49002"/>
    <cellStyle name="Normal 65 2 5 3 3" xfId="46789"/>
    <cellStyle name="Normal 65 2 5 4" xfId="25118"/>
    <cellStyle name="Normal 65 2 5 4 2" xfId="27423"/>
    <cellStyle name="Normal 65 2 5 4 2 2" xfId="49668"/>
    <cellStyle name="Normal 65 2 5 4 3" xfId="47363"/>
    <cellStyle name="Normal 65 2 5 5" xfId="26088"/>
    <cellStyle name="Normal 65 2 5 5 2" xfId="48333"/>
    <cellStyle name="Normal 65 2 5 6" xfId="23897"/>
    <cellStyle name="Normal 65 2 5 6 2" xfId="46143"/>
    <cellStyle name="Normal 65 2 5 7" xfId="32276"/>
    <cellStyle name="Normal 65 2 6" xfId="12169"/>
    <cellStyle name="Normal 65 2 6 2" xfId="24710"/>
    <cellStyle name="Normal 65 2 6 2 2" xfId="26923"/>
    <cellStyle name="Normal 65 2 6 2 2 2" xfId="49168"/>
    <cellStyle name="Normal 65 2 6 2 3" xfId="46955"/>
    <cellStyle name="Normal 65 2 6 3" xfId="25286"/>
    <cellStyle name="Normal 65 2 6 3 2" xfId="27591"/>
    <cellStyle name="Normal 65 2 6 3 2 2" xfId="49836"/>
    <cellStyle name="Normal 65 2 6 3 3" xfId="47531"/>
    <cellStyle name="Normal 65 2 6 4" xfId="26251"/>
    <cellStyle name="Normal 65 2 6 4 2" xfId="48496"/>
    <cellStyle name="Normal 65 2 6 5" xfId="24047"/>
    <cellStyle name="Normal 65 2 6 5 2" xfId="46293"/>
    <cellStyle name="Normal 65 2 6 6" xfId="35592"/>
    <cellStyle name="Normal 65 2 7" xfId="18822"/>
    <cellStyle name="Normal 65 2 7 2" xfId="26591"/>
    <cellStyle name="Normal 65 2 7 2 2" xfId="48836"/>
    <cellStyle name="Normal 65 2 7 3" xfId="24378"/>
    <cellStyle name="Normal 65 2 7 3 2" xfId="46623"/>
    <cellStyle name="Normal 65 2 8" xfId="23725"/>
    <cellStyle name="Normal 65 2 8 2" xfId="27255"/>
    <cellStyle name="Normal 65 2 8 2 2" xfId="49500"/>
    <cellStyle name="Normal 65 2 8 3" xfId="46014"/>
    <cellStyle name="Normal 65 2 9" xfId="25956"/>
    <cellStyle name="Normal 65 2 9 2" xfId="48201"/>
    <cellStyle name="Normal 65 3" xfId="4193"/>
    <cellStyle name="Normal 65 3 2" xfId="7112"/>
    <cellStyle name="Normal 65 3 2 2" xfId="10444"/>
    <cellStyle name="Normal 65 3 2 2 2" xfId="17148"/>
    <cellStyle name="Normal 65 3 2 2 2 2" xfId="27151"/>
    <cellStyle name="Normal 65 3 2 2 2 2 2" xfId="49396"/>
    <cellStyle name="Normal 65 3 2 2 2 3" xfId="24938"/>
    <cellStyle name="Normal 65 3 2 2 2 3 2" xfId="47183"/>
    <cellStyle name="Normal 65 3 2 2 2 4" xfId="40569"/>
    <cellStyle name="Normal 65 3 2 2 3" xfId="25517"/>
    <cellStyle name="Normal 65 3 2 2 3 2" xfId="27822"/>
    <cellStyle name="Normal 65 3 2 2 3 2 2" xfId="50067"/>
    <cellStyle name="Normal 65 3 2 2 3 3" xfId="47762"/>
    <cellStyle name="Normal 65 3 2 2 4" xfId="26477"/>
    <cellStyle name="Normal 65 3 2 2 4 2" xfId="48722"/>
    <cellStyle name="Normal 65 3 2 2 5" xfId="24273"/>
    <cellStyle name="Normal 65 3 2 2 5 2" xfId="46519"/>
    <cellStyle name="Normal 65 3 2 2 6" xfId="33937"/>
    <cellStyle name="Normal 65 3 2 3" xfId="13832"/>
    <cellStyle name="Normal 65 3 2 3 2" xfId="26819"/>
    <cellStyle name="Normal 65 3 2 3 2 2" xfId="49064"/>
    <cellStyle name="Normal 65 3 2 3 3" xfId="24606"/>
    <cellStyle name="Normal 65 3 2 3 3 2" xfId="46851"/>
    <cellStyle name="Normal 65 3 2 3 4" xfId="37253"/>
    <cellStyle name="Normal 65 3 2 4" xfId="25181"/>
    <cellStyle name="Normal 65 3 2 4 2" xfId="27486"/>
    <cellStyle name="Normal 65 3 2 4 2 2" xfId="49731"/>
    <cellStyle name="Normal 65 3 2 4 3" xfId="47426"/>
    <cellStyle name="Normal 65 3 2 5" xfId="26148"/>
    <cellStyle name="Normal 65 3 2 5 2" xfId="48393"/>
    <cellStyle name="Normal 65 3 2 6" xfId="23957"/>
    <cellStyle name="Normal 65 3 2 6 2" xfId="46203"/>
    <cellStyle name="Normal 65 3 2 7" xfId="30621"/>
    <cellStyle name="Normal 65 3 3" xfId="8779"/>
    <cellStyle name="Normal 65 3 3 2" xfId="15490"/>
    <cellStyle name="Normal 65 3 3 2 2" xfId="26985"/>
    <cellStyle name="Normal 65 3 3 2 2 2" xfId="49230"/>
    <cellStyle name="Normal 65 3 3 2 3" xfId="24772"/>
    <cellStyle name="Normal 65 3 3 2 3 2" xfId="47017"/>
    <cellStyle name="Normal 65 3 3 2 4" xfId="38911"/>
    <cellStyle name="Normal 65 3 3 3" xfId="25349"/>
    <cellStyle name="Normal 65 3 3 3 2" xfId="27654"/>
    <cellStyle name="Normal 65 3 3 3 2 2" xfId="49899"/>
    <cellStyle name="Normal 65 3 3 3 3" xfId="47594"/>
    <cellStyle name="Normal 65 3 3 4" xfId="26312"/>
    <cellStyle name="Normal 65 3 3 4 2" xfId="48557"/>
    <cellStyle name="Normal 65 3 3 5" xfId="24108"/>
    <cellStyle name="Normal 65 3 3 5 2" xfId="46354"/>
    <cellStyle name="Normal 65 3 3 6" xfId="32279"/>
    <cellStyle name="Normal 65 3 4" xfId="12172"/>
    <cellStyle name="Normal 65 3 4 2" xfId="26653"/>
    <cellStyle name="Normal 65 3 4 2 2" xfId="48898"/>
    <cellStyle name="Normal 65 3 4 3" xfId="24440"/>
    <cellStyle name="Normal 65 3 4 3 2" xfId="46685"/>
    <cellStyle name="Normal 65 3 4 4" xfId="35595"/>
    <cellStyle name="Normal 65 3 5" xfId="23728"/>
    <cellStyle name="Normal 65 3 5 2" xfId="27318"/>
    <cellStyle name="Normal 65 3 5 2 2" xfId="49563"/>
    <cellStyle name="Normal 65 3 5 3" xfId="46017"/>
    <cellStyle name="Normal 65 3 6" xfId="25959"/>
    <cellStyle name="Normal 65 3 6 2" xfId="48204"/>
    <cellStyle name="Normal 65 3 7" xfId="28963"/>
    <cellStyle name="Normal 65 4" xfId="4194"/>
    <cellStyle name="Normal 65 4 2" xfId="7113"/>
    <cellStyle name="Normal 65 4 2 2" xfId="10445"/>
    <cellStyle name="Normal 65 4 2 2 2" xfId="17149"/>
    <cellStyle name="Normal 65 4 2 2 2 2" xfId="27110"/>
    <cellStyle name="Normal 65 4 2 2 2 2 2" xfId="49355"/>
    <cellStyle name="Normal 65 4 2 2 2 3" xfId="24897"/>
    <cellStyle name="Normal 65 4 2 2 2 3 2" xfId="47142"/>
    <cellStyle name="Normal 65 4 2 2 2 4" xfId="40570"/>
    <cellStyle name="Normal 65 4 2 2 3" xfId="25475"/>
    <cellStyle name="Normal 65 4 2 2 3 2" xfId="27780"/>
    <cellStyle name="Normal 65 4 2 2 3 2 2" xfId="50025"/>
    <cellStyle name="Normal 65 4 2 2 3 3" xfId="47720"/>
    <cellStyle name="Normal 65 4 2 2 4" xfId="26437"/>
    <cellStyle name="Normal 65 4 2 2 4 2" xfId="48682"/>
    <cellStyle name="Normal 65 4 2 2 5" xfId="24233"/>
    <cellStyle name="Normal 65 4 2 2 5 2" xfId="46479"/>
    <cellStyle name="Normal 65 4 2 2 6" xfId="33938"/>
    <cellStyle name="Normal 65 4 2 3" xfId="13833"/>
    <cellStyle name="Normal 65 4 2 3 2" xfId="26778"/>
    <cellStyle name="Normal 65 4 2 3 2 2" xfId="49023"/>
    <cellStyle name="Normal 65 4 2 3 3" xfId="24565"/>
    <cellStyle name="Normal 65 4 2 3 3 2" xfId="46810"/>
    <cellStyle name="Normal 65 4 2 3 4" xfId="37254"/>
    <cellStyle name="Normal 65 4 2 4" xfId="25139"/>
    <cellStyle name="Normal 65 4 2 4 2" xfId="27444"/>
    <cellStyle name="Normal 65 4 2 4 2 2" xfId="49689"/>
    <cellStyle name="Normal 65 4 2 4 3" xfId="47384"/>
    <cellStyle name="Normal 65 4 2 5" xfId="26108"/>
    <cellStyle name="Normal 65 4 2 5 2" xfId="48353"/>
    <cellStyle name="Normal 65 4 2 6" xfId="23917"/>
    <cellStyle name="Normal 65 4 2 6 2" xfId="46163"/>
    <cellStyle name="Normal 65 4 2 7" xfId="30622"/>
    <cellStyle name="Normal 65 4 3" xfId="8780"/>
    <cellStyle name="Normal 65 4 3 2" xfId="15491"/>
    <cellStyle name="Normal 65 4 3 2 2" xfId="26944"/>
    <cellStyle name="Normal 65 4 3 2 2 2" xfId="49189"/>
    <cellStyle name="Normal 65 4 3 2 3" xfId="24731"/>
    <cellStyle name="Normal 65 4 3 2 3 2" xfId="46976"/>
    <cellStyle name="Normal 65 4 3 2 4" xfId="38912"/>
    <cellStyle name="Normal 65 4 3 3" xfId="25307"/>
    <cellStyle name="Normal 65 4 3 3 2" xfId="27612"/>
    <cellStyle name="Normal 65 4 3 3 2 2" xfId="49857"/>
    <cellStyle name="Normal 65 4 3 3 3" xfId="47552"/>
    <cellStyle name="Normal 65 4 3 4" xfId="26272"/>
    <cellStyle name="Normal 65 4 3 4 2" xfId="48517"/>
    <cellStyle name="Normal 65 4 3 5" xfId="24068"/>
    <cellStyle name="Normal 65 4 3 5 2" xfId="46314"/>
    <cellStyle name="Normal 65 4 3 6" xfId="32280"/>
    <cellStyle name="Normal 65 4 4" xfId="12173"/>
    <cellStyle name="Normal 65 4 4 2" xfId="26612"/>
    <cellStyle name="Normal 65 4 4 2 2" xfId="48857"/>
    <cellStyle name="Normal 65 4 4 3" xfId="24399"/>
    <cellStyle name="Normal 65 4 4 3 2" xfId="46644"/>
    <cellStyle name="Normal 65 4 4 4" xfId="35596"/>
    <cellStyle name="Normal 65 4 5" xfId="23729"/>
    <cellStyle name="Normal 65 4 5 2" xfId="27276"/>
    <cellStyle name="Normal 65 4 5 2 2" xfId="49521"/>
    <cellStyle name="Normal 65 4 5 3" xfId="46018"/>
    <cellStyle name="Normal 65 4 6" xfId="25960"/>
    <cellStyle name="Normal 65 4 6 2" xfId="48205"/>
    <cellStyle name="Normal 65 4 7" xfId="28964"/>
    <cellStyle name="Normal 65 5" xfId="4195"/>
    <cellStyle name="Normal 65 5 2" xfId="7114"/>
    <cellStyle name="Normal 65 5 2 2" xfId="10446"/>
    <cellStyle name="Normal 65 5 2 2 2" xfId="17150"/>
    <cellStyle name="Normal 65 5 2 2 2 2" xfId="27192"/>
    <cellStyle name="Normal 65 5 2 2 2 2 2" xfId="49437"/>
    <cellStyle name="Normal 65 5 2 2 2 3" xfId="24979"/>
    <cellStyle name="Normal 65 5 2 2 2 3 2" xfId="47224"/>
    <cellStyle name="Normal 65 5 2 2 2 4" xfId="40571"/>
    <cellStyle name="Normal 65 5 2 2 3" xfId="25559"/>
    <cellStyle name="Normal 65 5 2 2 3 2" xfId="27864"/>
    <cellStyle name="Normal 65 5 2 2 3 2 2" xfId="50109"/>
    <cellStyle name="Normal 65 5 2 2 3 3" xfId="47804"/>
    <cellStyle name="Normal 65 5 2 2 4" xfId="26518"/>
    <cellStyle name="Normal 65 5 2 2 4 2" xfId="48763"/>
    <cellStyle name="Normal 65 5 2 2 5" xfId="24314"/>
    <cellStyle name="Normal 65 5 2 2 5 2" xfId="46560"/>
    <cellStyle name="Normal 65 5 2 2 6" xfId="33939"/>
    <cellStyle name="Normal 65 5 2 3" xfId="13834"/>
    <cellStyle name="Normal 65 5 2 3 2" xfId="26860"/>
    <cellStyle name="Normal 65 5 2 3 2 2" xfId="49105"/>
    <cellStyle name="Normal 65 5 2 3 3" xfId="24647"/>
    <cellStyle name="Normal 65 5 2 3 3 2" xfId="46892"/>
    <cellStyle name="Normal 65 5 2 3 4" xfId="37255"/>
    <cellStyle name="Normal 65 5 2 4" xfId="25223"/>
    <cellStyle name="Normal 65 5 2 4 2" xfId="27528"/>
    <cellStyle name="Normal 65 5 2 4 2 2" xfId="49773"/>
    <cellStyle name="Normal 65 5 2 4 3" xfId="47468"/>
    <cellStyle name="Normal 65 5 2 5" xfId="26189"/>
    <cellStyle name="Normal 65 5 2 5 2" xfId="48434"/>
    <cellStyle name="Normal 65 5 2 6" xfId="23998"/>
    <cellStyle name="Normal 65 5 2 6 2" xfId="46244"/>
    <cellStyle name="Normal 65 5 2 7" xfId="30623"/>
    <cellStyle name="Normal 65 5 3" xfId="8781"/>
    <cellStyle name="Normal 65 5 3 2" xfId="15492"/>
    <cellStyle name="Normal 65 5 3 2 2" xfId="27026"/>
    <cellStyle name="Normal 65 5 3 2 2 2" xfId="49271"/>
    <cellStyle name="Normal 65 5 3 2 3" xfId="24813"/>
    <cellStyle name="Normal 65 5 3 2 3 2" xfId="47058"/>
    <cellStyle name="Normal 65 5 3 2 4" xfId="38913"/>
    <cellStyle name="Normal 65 5 3 3" xfId="25391"/>
    <cellStyle name="Normal 65 5 3 3 2" xfId="27696"/>
    <cellStyle name="Normal 65 5 3 3 2 2" xfId="49941"/>
    <cellStyle name="Normal 65 5 3 3 3" xfId="47636"/>
    <cellStyle name="Normal 65 5 3 4" xfId="26353"/>
    <cellStyle name="Normal 65 5 3 4 2" xfId="48598"/>
    <cellStyle name="Normal 65 5 3 5" xfId="24149"/>
    <cellStyle name="Normal 65 5 3 5 2" xfId="46395"/>
    <cellStyle name="Normal 65 5 3 6" xfId="32281"/>
    <cellStyle name="Normal 65 5 4" xfId="12174"/>
    <cellStyle name="Normal 65 5 4 2" xfId="26694"/>
    <cellStyle name="Normal 65 5 4 2 2" xfId="48939"/>
    <cellStyle name="Normal 65 5 4 3" xfId="24481"/>
    <cellStyle name="Normal 65 5 4 3 2" xfId="46726"/>
    <cellStyle name="Normal 65 5 4 4" xfId="35597"/>
    <cellStyle name="Normal 65 5 5" xfId="23730"/>
    <cellStyle name="Normal 65 5 5 2" xfId="27360"/>
    <cellStyle name="Normal 65 5 5 2 2" xfId="49605"/>
    <cellStyle name="Normal 65 5 5 3" xfId="46019"/>
    <cellStyle name="Normal 65 5 6" xfId="25961"/>
    <cellStyle name="Normal 65 5 6 2" xfId="48206"/>
    <cellStyle name="Normal 65 5 7" xfId="28965"/>
    <cellStyle name="Normal 65 6" xfId="23879"/>
    <cellStyle name="Normal 65 6 2" xfId="24191"/>
    <cellStyle name="Normal 65 6 2 2" xfId="24855"/>
    <cellStyle name="Normal 65 6 2 2 2" xfId="27068"/>
    <cellStyle name="Normal 65 6 2 2 2 2" xfId="49313"/>
    <cellStyle name="Normal 65 6 2 2 3" xfId="47100"/>
    <cellStyle name="Normal 65 6 2 3" xfId="25433"/>
    <cellStyle name="Normal 65 6 2 3 2" xfId="27738"/>
    <cellStyle name="Normal 65 6 2 3 2 2" xfId="49983"/>
    <cellStyle name="Normal 65 6 2 3 3" xfId="47678"/>
    <cellStyle name="Normal 65 6 2 4" xfId="26395"/>
    <cellStyle name="Normal 65 6 2 4 2" xfId="48640"/>
    <cellStyle name="Normal 65 6 2 5" xfId="46437"/>
    <cellStyle name="Normal 65 6 3" xfId="24523"/>
    <cellStyle name="Normal 65 6 3 2" xfId="26736"/>
    <cellStyle name="Normal 65 6 3 2 2" xfId="48981"/>
    <cellStyle name="Normal 65 6 3 3" xfId="46768"/>
    <cellStyle name="Normal 65 6 4" xfId="25097"/>
    <cellStyle name="Normal 65 6 4 2" xfId="27402"/>
    <cellStyle name="Normal 65 6 4 2 2" xfId="49647"/>
    <cellStyle name="Normal 65 6 4 3" xfId="47342"/>
    <cellStyle name="Normal 65 6 5" xfId="26070"/>
    <cellStyle name="Normal 65 6 5 2" xfId="48315"/>
    <cellStyle name="Normal 65 6 6" xfId="46125"/>
    <cellStyle name="Normal 65 7" xfId="24028"/>
    <cellStyle name="Normal 65 7 2" xfId="24689"/>
    <cellStyle name="Normal 65 7 2 2" xfId="26902"/>
    <cellStyle name="Normal 65 7 2 2 2" xfId="49147"/>
    <cellStyle name="Normal 65 7 2 3" xfId="46934"/>
    <cellStyle name="Normal 65 7 3" xfId="25265"/>
    <cellStyle name="Normal 65 7 3 2" xfId="27570"/>
    <cellStyle name="Normal 65 7 3 2 2" xfId="49815"/>
    <cellStyle name="Normal 65 7 3 3" xfId="47510"/>
    <cellStyle name="Normal 65 7 4" xfId="26230"/>
    <cellStyle name="Normal 65 7 4 2" xfId="48475"/>
    <cellStyle name="Normal 65 7 5" xfId="46274"/>
    <cellStyle name="Normal 65 8" xfId="24367"/>
    <cellStyle name="Normal 65 8 2" xfId="26570"/>
    <cellStyle name="Normal 65 8 2 2" xfId="48815"/>
    <cellStyle name="Normal 65 8 3" xfId="46612"/>
    <cellStyle name="Normal 65 9" xfId="25021"/>
    <cellStyle name="Normal 65 9 2" xfId="27234"/>
    <cellStyle name="Normal 65 9 2 2" xfId="49479"/>
    <cellStyle name="Normal 65 9 3" xfId="47266"/>
    <cellStyle name="Normal 66" xfId="782"/>
    <cellStyle name="Normal 66 2" xfId="4196"/>
    <cellStyle name="Normal 66 2 10" xfId="28966"/>
    <cellStyle name="Normal 66 2 2" xfId="4197"/>
    <cellStyle name="Normal 66 2 2 2" xfId="7116"/>
    <cellStyle name="Normal 66 2 2 2 2" xfId="10448"/>
    <cellStyle name="Normal 66 2 2 2 2 2" xfId="17152"/>
    <cellStyle name="Normal 66 2 2 2 2 2 2" xfId="27172"/>
    <cellStyle name="Normal 66 2 2 2 2 2 2 2" xfId="49417"/>
    <cellStyle name="Normal 66 2 2 2 2 2 3" xfId="24959"/>
    <cellStyle name="Normal 66 2 2 2 2 2 3 2" xfId="47204"/>
    <cellStyle name="Normal 66 2 2 2 2 2 4" xfId="40573"/>
    <cellStyle name="Normal 66 2 2 2 2 3" xfId="25539"/>
    <cellStyle name="Normal 66 2 2 2 2 3 2" xfId="27844"/>
    <cellStyle name="Normal 66 2 2 2 2 3 2 2" xfId="50089"/>
    <cellStyle name="Normal 66 2 2 2 2 3 3" xfId="47784"/>
    <cellStyle name="Normal 66 2 2 2 2 4" xfId="26498"/>
    <cellStyle name="Normal 66 2 2 2 2 4 2" xfId="48743"/>
    <cellStyle name="Normal 66 2 2 2 2 5" xfId="24294"/>
    <cellStyle name="Normal 66 2 2 2 2 5 2" xfId="46540"/>
    <cellStyle name="Normal 66 2 2 2 2 6" xfId="33941"/>
    <cellStyle name="Normal 66 2 2 2 3" xfId="13836"/>
    <cellStyle name="Normal 66 2 2 2 3 2" xfId="26840"/>
    <cellStyle name="Normal 66 2 2 2 3 2 2" xfId="49085"/>
    <cellStyle name="Normal 66 2 2 2 3 3" xfId="24627"/>
    <cellStyle name="Normal 66 2 2 2 3 3 2" xfId="46872"/>
    <cellStyle name="Normal 66 2 2 2 3 4" xfId="37257"/>
    <cellStyle name="Normal 66 2 2 2 4" xfId="25203"/>
    <cellStyle name="Normal 66 2 2 2 4 2" xfId="27508"/>
    <cellStyle name="Normal 66 2 2 2 4 2 2" xfId="49753"/>
    <cellStyle name="Normal 66 2 2 2 4 3" xfId="47448"/>
    <cellStyle name="Normal 66 2 2 2 5" xfId="26169"/>
    <cellStyle name="Normal 66 2 2 2 5 2" xfId="48414"/>
    <cellStyle name="Normal 66 2 2 2 6" xfId="23978"/>
    <cellStyle name="Normal 66 2 2 2 6 2" xfId="46224"/>
    <cellStyle name="Normal 66 2 2 2 7" xfId="30625"/>
    <cellStyle name="Normal 66 2 2 3" xfId="8783"/>
    <cellStyle name="Normal 66 2 2 3 2" xfId="15494"/>
    <cellStyle name="Normal 66 2 2 3 2 2" xfId="27006"/>
    <cellStyle name="Normal 66 2 2 3 2 2 2" xfId="49251"/>
    <cellStyle name="Normal 66 2 2 3 2 3" xfId="24793"/>
    <cellStyle name="Normal 66 2 2 3 2 3 2" xfId="47038"/>
    <cellStyle name="Normal 66 2 2 3 2 4" xfId="38915"/>
    <cellStyle name="Normal 66 2 2 3 3" xfId="25371"/>
    <cellStyle name="Normal 66 2 2 3 3 2" xfId="27676"/>
    <cellStyle name="Normal 66 2 2 3 3 2 2" xfId="49921"/>
    <cellStyle name="Normal 66 2 2 3 3 3" xfId="47616"/>
    <cellStyle name="Normal 66 2 2 3 4" xfId="26333"/>
    <cellStyle name="Normal 66 2 2 3 4 2" xfId="48578"/>
    <cellStyle name="Normal 66 2 2 3 5" xfId="24129"/>
    <cellStyle name="Normal 66 2 2 3 5 2" xfId="46375"/>
    <cellStyle name="Normal 66 2 2 3 6" xfId="32283"/>
    <cellStyle name="Normal 66 2 2 4" xfId="12176"/>
    <cellStyle name="Normal 66 2 2 4 2" xfId="26674"/>
    <cellStyle name="Normal 66 2 2 4 2 2" xfId="48919"/>
    <cellStyle name="Normal 66 2 2 4 3" xfId="24461"/>
    <cellStyle name="Normal 66 2 2 4 3 2" xfId="46706"/>
    <cellStyle name="Normal 66 2 2 4 4" xfId="35599"/>
    <cellStyle name="Normal 66 2 2 5" xfId="23732"/>
    <cellStyle name="Normal 66 2 2 5 2" xfId="27340"/>
    <cellStyle name="Normal 66 2 2 5 2 2" xfId="49585"/>
    <cellStyle name="Normal 66 2 2 5 3" xfId="46021"/>
    <cellStyle name="Normal 66 2 2 6" xfId="25963"/>
    <cellStyle name="Normal 66 2 2 6 2" xfId="48208"/>
    <cellStyle name="Normal 66 2 2 7" xfId="28967"/>
    <cellStyle name="Normal 66 2 3" xfId="4198"/>
    <cellStyle name="Normal 66 2 3 2" xfId="7117"/>
    <cellStyle name="Normal 66 2 3 2 2" xfId="10449"/>
    <cellStyle name="Normal 66 2 3 2 2 2" xfId="17153"/>
    <cellStyle name="Normal 66 2 3 2 2 2 2" xfId="27132"/>
    <cellStyle name="Normal 66 2 3 2 2 2 2 2" xfId="49377"/>
    <cellStyle name="Normal 66 2 3 2 2 2 3" xfId="24919"/>
    <cellStyle name="Normal 66 2 3 2 2 2 3 2" xfId="47164"/>
    <cellStyle name="Normal 66 2 3 2 2 2 4" xfId="40574"/>
    <cellStyle name="Normal 66 2 3 2 2 3" xfId="25497"/>
    <cellStyle name="Normal 66 2 3 2 2 3 2" xfId="27802"/>
    <cellStyle name="Normal 66 2 3 2 2 3 2 2" xfId="50047"/>
    <cellStyle name="Normal 66 2 3 2 2 3 3" xfId="47742"/>
    <cellStyle name="Normal 66 2 3 2 2 4" xfId="26458"/>
    <cellStyle name="Normal 66 2 3 2 2 4 2" xfId="48703"/>
    <cellStyle name="Normal 66 2 3 2 2 5" xfId="24254"/>
    <cellStyle name="Normal 66 2 3 2 2 5 2" xfId="46500"/>
    <cellStyle name="Normal 66 2 3 2 2 6" xfId="33942"/>
    <cellStyle name="Normal 66 2 3 2 3" xfId="13837"/>
    <cellStyle name="Normal 66 2 3 2 3 2" xfId="26800"/>
    <cellStyle name="Normal 66 2 3 2 3 2 2" xfId="49045"/>
    <cellStyle name="Normal 66 2 3 2 3 3" xfId="24587"/>
    <cellStyle name="Normal 66 2 3 2 3 3 2" xfId="46832"/>
    <cellStyle name="Normal 66 2 3 2 3 4" xfId="37258"/>
    <cellStyle name="Normal 66 2 3 2 4" xfId="25161"/>
    <cellStyle name="Normal 66 2 3 2 4 2" xfId="27466"/>
    <cellStyle name="Normal 66 2 3 2 4 2 2" xfId="49711"/>
    <cellStyle name="Normal 66 2 3 2 4 3" xfId="47406"/>
    <cellStyle name="Normal 66 2 3 2 5" xfId="26129"/>
    <cellStyle name="Normal 66 2 3 2 5 2" xfId="48374"/>
    <cellStyle name="Normal 66 2 3 2 6" xfId="23938"/>
    <cellStyle name="Normal 66 2 3 2 6 2" xfId="46184"/>
    <cellStyle name="Normal 66 2 3 2 7" xfId="30626"/>
    <cellStyle name="Normal 66 2 3 3" xfId="8784"/>
    <cellStyle name="Normal 66 2 3 3 2" xfId="15495"/>
    <cellStyle name="Normal 66 2 3 3 2 2" xfId="26966"/>
    <cellStyle name="Normal 66 2 3 3 2 2 2" xfId="49211"/>
    <cellStyle name="Normal 66 2 3 3 2 3" xfId="24753"/>
    <cellStyle name="Normal 66 2 3 3 2 3 2" xfId="46998"/>
    <cellStyle name="Normal 66 2 3 3 2 4" xfId="38916"/>
    <cellStyle name="Normal 66 2 3 3 3" xfId="25329"/>
    <cellStyle name="Normal 66 2 3 3 3 2" xfId="27634"/>
    <cellStyle name="Normal 66 2 3 3 3 2 2" xfId="49879"/>
    <cellStyle name="Normal 66 2 3 3 3 3" xfId="47574"/>
    <cellStyle name="Normal 66 2 3 3 4" xfId="26293"/>
    <cellStyle name="Normal 66 2 3 3 4 2" xfId="48538"/>
    <cellStyle name="Normal 66 2 3 3 5" xfId="24089"/>
    <cellStyle name="Normal 66 2 3 3 5 2" xfId="46335"/>
    <cellStyle name="Normal 66 2 3 3 6" xfId="32284"/>
    <cellStyle name="Normal 66 2 3 4" xfId="12177"/>
    <cellStyle name="Normal 66 2 3 4 2" xfId="26634"/>
    <cellStyle name="Normal 66 2 3 4 2 2" xfId="48879"/>
    <cellStyle name="Normal 66 2 3 4 3" xfId="24421"/>
    <cellStyle name="Normal 66 2 3 4 3 2" xfId="46666"/>
    <cellStyle name="Normal 66 2 3 4 4" xfId="35600"/>
    <cellStyle name="Normal 66 2 3 5" xfId="23733"/>
    <cellStyle name="Normal 66 2 3 5 2" xfId="27298"/>
    <cellStyle name="Normal 66 2 3 5 2 2" xfId="49543"/>
    <cellStyle name="Normal 66 2 3 5 3" xfId="46022"/>
    <cellStyle name="Normal 66 2 3 6" xfId="25964"/>
    <cellStyle name="Normal 66 2 3 6 2" xfId="48209"/>
    <cellStyle name="Normal 66 2 3 7" xfId="28968"/>
    <cellStyle name="Normal 66 2 4" xfId="7115"/>
    <cellStyle name="Normal 66 2 4 2" xfId="10447"/>
    <cellStyle name="Normal 66 2 4 2 2" xfId="17151"/>
    <cellStyle name="Normal 66 2 4 2 2 2" xfId="25001"/>
    <cellStyle name="Normal 66 2 4 2 2 2 2" xfId="27214"/>
    <cellStyle name="Normal 66 2 4 2 2 2 2 2" xfId="49459"/>
    <cellStyle name="Normal 66 2 4 2 2 2 3" xfId="47246"/>
    <cellStyle name="Normal 66 2 4 2 2 3" xfId="25581"/>
    <cellStyle name="Normal 66 2 4 2 2 3 2" xfId="27886"/>
    <cellStyle name="Normal 66 2 4 2 2 3 2 2" xfId="50131"/>
    <cellStyle name="Normal 66 2 4 2 2 3 3" xfId="47826"/>
    <cellStyle name="Normal 66 2 4 2 2 4" xfId="26540"/>
    <cellStyle name="Normal 66 2 4 2 2 4 2" xfId="48785"/>
    <cellStyle name="Normal 66 2 4 2 2 5" xfId="24336"/>
    <cellStyle name="Normal 66 2 4 2 2 5 2" xfId="46582"/>
    <cellStyle name="Normal 66 2 4 2 2 6" xfId="40572"/>
    <cellStyle name="Normal 66 2 4 2 3" xfId="24669"/>
    <cellStyle name="Normal 66 2 4 2 3 2" xfId="26882"/>
    <cellStyle name="Normal 66 2 4 2 3 2 2" xfId="49127"/>
    <cellStyle name="Normal 66 2 4 2 3 3" xfId="46914"/>
    <cellStyle name="Normal 66 2 4 2 4" xfId="25245"/>
    <cellStyle name="Normal 66 2 4 2 4 2" xfId="27550"/>
    <cellStyle name="Normal 66 2 4 2 4 2 2" xfId="49795"/>
    <cellStyle name="Normal 66 2 4 2 4 3" xfId="47490"/>
    <cellStyle name="Normal 66 2 4 2 5" xfId="26210"/>
    <cellStyle name="Normal 66 2 4 2 5 2" xfId="48455"/>
    <cellStyle name="Normal 66 2 4 2 6" xfId="24019"/>
    <cellStyle name="Normal 66 2 4 2 6 2" xfId="46265"/>
    <cellStyle name="Normal 66 2 4 2 7" xfId="33940"/>
    <cellStyle name="Normal 66 2 4 3" xfId="13835"/>
    <cellStyle name="Normal 66 2 4 3 2" xfId="24835"/>
    <cellStyle name="Normal 66 2 4 3 2 2" xfId="27048"/>
    <cellStyle name="Normal 66 2 4 3 2 2 2" xfId="49293"/>
    <cellStyle name="Normal 66 2 4 3 2 3" xfId="47080"/>
    <cellStyle name="Normal 66 2 4 3 3" xfId="25413"/>
    <cellStyle name="Normal 66 2 4 3 3 2" xfId="27718"/>
    <cellStyle name="Normal 66 2 4 3 3 2 2" xfId="49963"/>
    <cellStyle name="Normal 66 2 4 3 3 3" xfId="47658"/>
    <cellStyle name="Normal 66 2 4 3 4" xfId="26375"/>
    <cellStyle name="Normal 66 2 4 3 4 2" xfId="48620"/>
    <cellStyle name="Normal 66 2 4 3 5" xfId="24171"/>
    <cellStyle name="Normal 66 2 4 3 5 2" xfId="46417"/>
    <cellStyle name="Normal 66 2 4 3 6" xfId="37256"/>
    <cellStyle name="Normal 66 2 4 4" xfId="24503"/>
    <cellStyle name="Normal 66 2 4 4 2" xfId="26716"/>
    <cellStyle name="Normal 66 2 4 4 2 2" xfId="48961"/>
    <cellStyle name="Normal 66 2 4 4 3" xfId="46748"/>
    <cellStyle name="Normal 66 2 4 5" xfId="25077"/>
    <cellStyle name="Normal 66 2 4 5 2" xfId="27382"/>
    <cellStyle name="Normal 66 2 4 5 2 2" xfId="49627"/>
    <cellStyle name="Normal 66 2 4 5 3" xfId="47322"/>
    <cellStyle name="Normal 66 2 4 6" xfId="26057"/>
    <cellStyle name="Normal 66 2 4 6 2" xfId="48302"/>
    <cellStyle name="Normal 66 2 4 7" xfId="23866"/>
    <cellStyle name="Normal 66 2 4 7 2" xfId="46112"/>
    <cellStyle name="Normal 66 2 4 8" xfId="30624"/>
    <cellStyle name="Normal 66 2 5" xfId="8782"/>
    <cellStyle name="Normal 66 2 5 2" xfId="15493"/>
    <cellStyle name="Normal 66 2 5 2 2" xfId="24877"/>
    <cellStyle name="Normal 66 2 5 2 2 2" xfId="27090"/>
    <cellStyle name="Normal 66 2 5 2 2 2 2" xfId="49335"/>
    <cellStyle name="Normal 66 2 5 2 2 3" xfId="47122"/>
    <cellStyle name="Normal 66 2 5 2 3" xfId="25455"/>
    <cellStyle name="Normal 66 2 5 2 3 2" xfId="27760"/>
    <cellStyle name="Normal 66 2 5 2 3 2 2" xfId="50005"/>
    <cellStyle name="Normal 66 2 5 2 3 3" xfId="47700"/>
    <cellStyle name="Normal 66 2 5 2 4" xfId="26417"/>
    <cellStyle name="Normal 66 2 5 2 4 2" xfId="48662"/>
    <cellStyle name="Normal 66 2 5 2 5" xfId="24213"/>
    <cellStyle name="Normal 66 2 5 2 5 2" xfId="46459"/>
    <cellStyle name="Normal 66 2 5 2 6" xfId="38914"/>
    <cellStyle name="Normal 66 2 5 3" xfId="24545"/>
    <cellStyle name="Normal 66 2 5 3 2" xfId="26758"/>
    <cellStyle name="Normal 66 2 5 3 2 2" xfId="49003"/>
    <cellStyle name="Normal 66 2 5 3 3" xfId="46790"/>
    <cellStyle name="Normal 66 2 5 4" xfId="25119"/>
    <cellStyle name="Normal 66 2 5 4 2" xfId="27424"/>
    <cellStyle name="Normal 66 2 5 4 2 2" xfId="49669"/>
    <cellStyle name="Normal 66 2 5 4 3" xfId="47364"/>
    <cellStyle name="Normal 66 2 5 5" xfId="26089"/>
    <cellStyle name="Normal 66 2 5 5 2" xfId="48334"/>
    <cellStyle name="Normal 66 2 5 6" xfId="23898"/>
    <cellStyle name="Normal 66 2 5 6 2" xfId="46144"/>
    <cellStyle name="Normal 66 2 5 7" xfId="32282"/>
    <cellStyle name="Normal 66 2 6" xfId="12175"/>
    <cellStyle name="Normal 66 2 6 2" xfId="24711"/>
    <cellStyle name="Normal 66 2 6 2 2" xfId="26924"/>
    <cellStyle name="Normal 66 2 6 2 2 2" xfId="49169"/>
    <cellStyle name="Normal 66 2 6 2 3" xfId="46956"/>
    <cellStyle name="Normal 66 2 6 3" xfId="25287"/>
    <cellStyle name="Normal 66 2 6 3 2" xfId="27592"/>
    <cellStyle name="Normal 66 2 6 3 2 2" xfId="49837"/>
    <cellStyle name="Normal 66 2 6 3 3" xfId="47532"/>
    <cellStyle name="Normal 66 2 6 4" xfId="26252"/>
    <cellStyle name="Normal 66 2 6 4 2" xfId="48497"/>
    <cellStyle name="Normal 66 2 6 5" xfId="24048"/>
    <cellStyle name="Normal 66 2 6 5 2" xfId="46294"/>
    <cellStyle name="Normal 66 2 6 6" xfId="35598"/>
    <cellStyle name="Normal 66 2 7" xfId="18823"/>
    <cellStyle name="Normal 66 2 7 2" xfId="26592"/>
    <cellStyle name="Normal 66 2 7 2 2" xfId="48837"/>
    <cellStyle name="Normal 66 2 7 3" xfId="24379"/>
    <cellStyle name="Normal 66 2 7 3 2" xfId="46624"/>
    <cellStyle name="Normal 66 2 8" xfId="23731"/>
    <cellStyle name="Normal 66 2 8 2" xfId="27256"/>
    <cellStyle name="Normal 66 2 8 2 2" xfId="49501"/>
    <cellStyle name="Normal 66 2 8 3" xfId="46020"/>
    <cellStyle name="Normal 66 2 9" xfId="25962"/>
    <cellStyle name="Normal 66 2 9 2" xfId="48207"/>
    <cellStyle name="Normal 66 3" xfId="4199"/>
    <cellStyle name="Normal 66 3 2" xfId="7118"/>
    <cellStyle name="Normal 66 3 2 2" xfId="10450"/>
    <cellStyle name="Normal 66 3 2 2 2" xfId="17154"/>
    <cellStyle name="Normal 66 3 2 2 2 2" xfId="27152"/>
    <cellStyle name="Normal 66 3 2 2 2 2 2" xfId="49397"/>
    <cellStyle name="Normal 66 3 2 2 2 3" xfId="24939"/>
    <cellStyle name="Normal 66 3 2 2 2 3 2" xfId="47184"/>
    <cellStyle name="Normal 66 3 2 2 2 4" xfId="40575"/>
    <cellStyle name="Normal 66 3 2 2 3" xfId="25518"/>
    <cellStyle name="Normal 66 3 2 2 3 2" xfId="27823"/>
    <cellStyle name="Normal 66 3 2 2 3 2 2" xfId="50068"/>
    <cellStyle name="Normal 66 3 2 2 3 3" xfId="47763"/>
    <cellStyle name="Normal 66 3 2 2 4" xfId="26478"/>
    <cellStyle name="Normal 66 3 2 2 4 2" xfId="48723"/>
    <cellStyle name="Normal 66 3 2 2 5" xfId="24274"/>
    <cellStyle name="Normal 66 3 2 2 5 2" xfId="46520"/>
    <cellStyle name="Normal 66 3 2 2 6" xfId="33943"/>
    <cellStyle name="Normal 66 3 2 3" xfId="13838"/>
    <cellStyle name="Normal 66 3 2 3 2" xfId="26820"/>
    <cellStyle name="Normal 66 3 2 3 2 2" xfId="49065"/>
    <cellStyle name="Normal 66 3 2 3 3" xfId="24607"/>
    <cellStyle name="Normal 66 3 2 3 3 2" xfId="46852"/>
    <cellStyle name="Normal 66 3 2 3 4" xfId="37259"/>
    <cellStyle name="Normal 66 3 2 4" xfId="25182"/>
    <cellStyle name="Normal 66 3 2 4 2" xfId="27487"/>
    <cellStyle name="Normal 66 3 2 4 2 2" xfId="49732"/>
    <cellStyle name="Normal 66 3 2 4 3" xfId="47427"/>
    <cellStyle name="Normal 66 3 2 5" xfId="26149"/>
    <cellStyle name="Normal 66 3 2 5 2" xfId="48394"/>
    <cellStyle name="Normal 66 3 2 6" xfId="23958"/>
    <cellStyle name="Normal 66 3 2 6 2" xfId="46204"/>
    <cellStyle name="Normal 66 3 2 7" xfId="30627"/>
    <cellStyle name="Normal 66 3 3" xfId="8785"/>
    <cellStyle name="Normal 66 3 3 2" xfId="15496"/>
    <cellStyle name="Normal 66 3 3 2 2" xfId="26986"/>
    <cellStyle name="Normal 66 3 3 2 2 2" xfId="49231"/>
    <cellStyle name="Normal 66 3 3 2 3" xfId="24773"/>
    <cellStyle name="Normal 66 3 3 2 3 2" xfId="47018"/>
    <cellStyle name="Normal 66 3 3 2 4" xfId="38917"/>
    <cellStyle name="Normal 66 3 3 3" xfId="25350"/>
    <cellStyle name="Normal 66 3 3 3 2" xfId="27655"/>
    <cellStyle name="Normal 66 3 3 3 2 2" xfId="49900"/>
    <cellStyle name="Normal 66 3 3 3 3" xfId="47595"/>
    <cellStyle name="Normal 66 3 3 4" xfId="26313"/>
    <cellStyle name="Normal 66 3 3 4 2" xfId="48558"/>
    <cellStyle name="Normal 66 3 3 5" xfId="24109"/>
    <cellStyle name="Normal 66 3 3 5 2" xfId="46355"/>
    <cellStyle name="Normal 66 3 3 6" xfId="32285"/>
    <cellStyle name="Normal 66 3 4" xfId="12178"/>
    <cellStyle name="Normal 66 3 4 2" xfId="26654"/>
    <cellStyle name="Normal 66 3 4 2 2" xfId="48899"/>
    <cellStyle name="Normal 66 3 4 3" xfId="24441"/>
    <cellStyle name="Normal 66 3 4 3 2" xfId="46686"/>
    <cellStyle name="Normal 66 3 4 4" xfId="35601"/>
    <cellStyle name="Normal 66 3 5" xfId="23734"/>
    <cellStyle name="Normal 66 3 5 2" xfId="27319"/>
    <cellStyle name="Normal 66 3 5 2 2" xfId="49564"/>
    <cellStyle name="Normal 66 3 5 3" xfId="46023"/>
    <cellStyle name="Normal 66 3 6" xfId="25965"/>
    <cellStyle name="Normal 66 3 6 2" xfId="48210"/>
    <cellStyle name="Normal 66 3 7" xfId="28969"/>
    <cellStyle name="Normal 66 4" xfId="4200"/>
    <cellStyle name="Normal 66 4 2" xfId="7119"/>
    <cellStyle name="Normal 66 4 2 2" xfId="10451"/>
    <cellStyle name="Normal 66 4 2 2 2" xfId="17155"/>
    <cellStyle name="Normal 66 4 2 2 2 2" xfId="27111"/>
    <cellStyle name="Normal 66 4 2 2 2 2 2" xfId="49356"/>
    <cellStyle name="Normal 66 4 2 2 2 3" xfId="24898"/>
    <cellStyle name="Normal 66 4 2 2 2 3 2" xfId="47143"/>
    <cellStyle name="Normal 66 4 2 2 2 4" xfId="40576"/>
    <cellStyle name="Normal 66 4 2 2 3" xfId="25476"/>
    <cellStyle name="Normal 66 4 2 2 3 2" xfId="27781"/>
    <cellStyle name="Normal 66 4 2 2 3 2 2" xfId="50026"/>
    <cellStyle name="Normal 66 4 2 2 3 3" xfId="47721"/>
    <cellStyle name="Normal 66 4 2 2 4" xfId="26438"/>
    <cellStyle name="Normal 66 4 2 2 4 2" xfId="48683"/>
    <cellStyle name="Normal 66 4 2 2 5" xfId="24234"/>
    <cellStyle name="Normal 66 4 2 2 5 2" xfId="46480"/>
    <cellStyle name="Normal 66 4 2 2 6" xfId="33944"/>
    <cellStyle name="Normal 66 4 2 3" xfId="13839"/>
    <cellStyle name="Normal 66 4 2 3 2" xfId="26779"/>
    <cellStyle name="Normal 66 4 2 3 2 2" xfId="49024"/>
    <cellStyle name="Normal 66 4 2 3 3" xfId="24566"/>
    <cellStyle name="Normal 66 4 2 3 3 2" xfId="46811"/>
    <cellStyle name="Normal 66 4 2 3 4" xfId="37260"/>
    <cellStyle name="Normal 66 4 2 4" xfId="25140"/>
    <cellStyle name="Normal 66 4 2 4 2" xfId="27445"/>
    <cellStyle name="Normal 66 4 2 4 2 2" xfId="49690"/>
    <cellStyle name="Normal 66 4 2 4 3" xfId="47385"/>
    <cellStyle name="Normal 66 4 2 5" xfId="26109"/>
    <cellStyle name="Normal 66 4 2 5 2" xfId="48354"/>
    <cellStyle name="Normal 66 4 2 6" xfId="23918"/>
    <cellStyle name="Normal 66 4 2 6 2" xfId="46164"/>
    <cellStyle name="Normal 66 4 2 7" xfId="30628"/>
    <cellStyle name="Normal 66 4 3" xfId="8786"/>
    <cellStyle name="Normal 66 4 3 2" xfId="15497"/>
    <cellStyle name="Normal 66 4 3 2 2" xfId="26945"/>
    <cellStyle name="Normal 66 4 3 2 2 2" xfId="49190"/>
    <cellStyle name="Normal 66 4 3 2 3" xfId="24732"/>
    <cellStyle name="Normal 66 4 3 2 3 2" xfId="46977"/>
    <cellStyle name="Normal 66 4 3 2 4" xfId="38918"/>
    <cellStyle name="Normal 66 4 3 3" xfId="25308"/>
    <cellStyle name="Normal 66 4 3 3 2" xfId="27613"/>
    <cellStyle name="Normal 66 4 3 3 2 2" xfId="49858"/>
    <cellStyle name="Normal 66 4 3 3 3" xfId="47553"/>
    <cellStyle name="Normal 66 4 3 4" xfId="26273"/>
    <cellStyle name="Normal 66 4 3 4 2" xfId="48518"/>
    <cellStyle name="Normal 66 4 3 5" xfId="24069"/>
    <cellStyle name="Normal 66 4 3 5 2" xfId="46315"/>
    <cellStyle name="Normal 66 4 3 6" xfId="32286"/>
    <cellStyle name="Normal 66 4 4" xfId="12179"/>
    <cellStyle name="Normal 66 4 4 2" xfId="26613"/>
    <cellStyle name="Normal 66 4 4 2 2" xfId="48858"/>
    <cellStyle name="Normal 66 4 4 3" xfId="24400"/>
    <cellStyle name="Normal 66 4 4 3 2" xfId="46645"/>
    <cellStyle name="Normal 66 4 4 4" xfId="35602"/>
    <cellStyle name="Normal 66 4 5" xfId="23735"/>
    <cellStyle name="Normal 66 4 5 2" xfId="27277"/>
    <cellStyle name="Normal 66 4 5 2 2" xfId="49522"/>
    <cellStyle name="Normal 66 4 5 3" xfId="46024"/>
    <cellStyle name="Normal 66 4 6" xfId="25966"/>
    <cellStyle name="Normal 66 4 6 2" xfId="48211"/>
    <cellStyle name="Normal 66 4 7" xfId="28970"/>
    <cellStyle name="Normal 66 5" xfId="4201"/>
    <cellStyle name="Normal 66 5 2" xfId="7120"/>
    <cellStyle name="Normal 66 5 2 2" xfId="10452"/>
    <cellStyle name="Normal 66 5 2 2 2" xfId="17156"/>
    <cellStyle name="Normal 66 5 2 2 2 2" xfId="27193"/>
    <cellStyle name="Normal 66 5 2 2 2 2 2" xfId="49438"/>
    <cellStyle name="Normal 66 5 2 2 2 3" xfId="24980"/>
    <cellStyle name="Normal 66 5 2 2 2 3 2" xfId="47225"/>
    <cellStyle name="Normal 66 5 2 2 2 4" xfId="40577"/>
    <cellStyle name="Normal 66 5 2 2 3" xfId="25560"/>
    <cellStyle name="Normal 66 5 2 2 3 2" xfId="27865"/>
    <cellStyle name="Normal 66 5 2 2 3 2 2" xfId="50110"/>
    <cellStyle name="Normal 66 5 2 2 3 3" xfId="47805"/>
    <cellStyle name="Normal 66 5 2 2 4" xfId="26519"/>
    <cellStyle name="Normal 66 5 2 2 4 2" xfId="48764"/>
    <cellStyle name="Normal 66 5 2 2 5" xfId="24315"/>
    <cellStyle name="Normal 66 5 2 2 5 2" xfId="46561"/>
    <cellStyle name="Normal 66 5 2 2 6" xfId="33945"/>
    <cellStyle name="Normal 66 5 2 3" xfId="13840"/>
    <cellStyle name="Normal 66 5 2 3 2" xfId="26861"/>
    <cellStyle name="Normal 66 5 2 3 2 2" xfId="49106"/>
    <cellStyle name="Normal 66 5 2 3 3" xfId="24648"/>
    <cellStyle name="Normal 66 5 2 3 3 2" xfId="46893"/>
    <cellStyle name="Normal 66 5 2 3 4" xfId="37261"/>
    <cellStyle name="Normal 66 5 2 4" xfId="25224"/>
    <cellStyle name="Normal 66 5 2 4 2" xfId="27529"/>
    <cellStyle name="Normal 66 5 2 4 2 2" xfId="49774"/>
    <cellStyle name="Normal 66 5 2 4 3" xfId="47469"/>
    <cellStyle name="Normal 66 5 2 5" xfId="26190"/>
    <cellStyle name="Normal 66 5 2 5 2" xfId="48435"/>
    <cellStyle name="Normal 66 5 2 6" xfId="23999"/>
    <cellStyle name="Normal 66 5 2 6 2" xfId="46245"/>
    <cellStyle name="Normal 66 5 2 7" xfId="30629"/>
    <cellStyle name="Normal 66 5 3" xfId="8787"/>
    <cellStyle name="Normal 66 5 3 2" xfId="15498"/>
    <cellStyle name="Normal 66 5 3 2 2" xfId="27027"/>
    <cellStyle name="Normal 66 5 3 2 2 2" xfId="49272"/>
    <cellStyle name="Normal 66 5 3 2 3" xfId="24814"/>
    <cellStyle name="Normal 66 5 3 2 3 2" xfId="47059"/>
    <cellStyle name="Normal 66 5 3 2 4" xfId="38919"/>
    <cellStyle name="Normal 66 5 3 3" xfId="25392"/>
    <cellStyle name="Normal 66 5 3 3 2" xfId="27697"/>
    <cellStyle name="Normal 66 5 3 3 2 2" xfId="49942"/>
    <cellStyle name="Normal 66 5 3 3 3" xfId="47637"/>
    <cellStyle name="Normal 66 5 3 4" xfId="26354"/>
    <cellStyle name="Normal 66 5 3 4 2" xfId="48599"/>
    <cellStyle name="Normal 66 5 3 5" xfId="24150"/>
    <cellStyle name="Normal 66 5 3 5 2" xfId="46396"/>
    <cellStyle name="Normal 66 5 3 6" xfId="32287"/>
    <cellStyle name="Normal 66 5 4" xfId="12180"/>
    <cellStyle name="Normal 66 5 4 2" xfId="26695"/>
    <cellStyle name="Normal 66 5 4 2 2" xfId="48940"/>
    <cellStyle name="Normal 66 5 4 3" xfId="24482"/>
    <cellStyle name="Normal 66 5 4 3 2" xfId="46727"/>
    <cellStyle name="Normal 66 5 4 4" xfId="35603"/>
    <cellStyle name="Normal 66 5 5" xfId="23736"/>
    <cellStyle name="Normal 66 5 5 2" xfId="27361"/>
    <cellStyle name="Normal 66 5 5 2 2" xfId="49606"/>
    <cellStyle name="Normal 66 5 5 3" xfId="46025"/>
    <cellStyle name="Normal 66 5 6" xfId="25967"/>
    <cellStyle name="Normal 66 5 6 2" xfId="48212"/>
    <cellStyle name="Normal 66 5 7" xfId="28971"/>
    <cellStyle name="Normal 66 6" xfId="23880"/>
    <cellStyle name="Normal 66 6 2" xfId="24192"/>
    <cellStyle name="Normal 66 6 2 2" xfId="24856"/>
    <cellStyle name="Normal 66 6 2 2 2" xfId="27069"/>
    <cellStyle name="Normal 66 6 2 2 2 2" xfId="49314"/>
    <cellStyle name="Normal 66 6 2 2 3" xfId="47101"/>
    <cellStyle name="Normal 66 6 2 3" xfId="25434"/>
    <cellStyle name="Normal 66 6 2 3 2" xfId="27739"/>
    <cellStyle name="Normal 66 6 2 3 2 2" xfId="49984"/>
    <cellStyle name="Normal 66 6 2 3 3" xfId="47679"/>
    <cellStyle name="Normal 66 6 2 4" xfId="26396"/>
    <cellStyle name="Normal 66 6 2 4 2" xfId="48641"/>
    <cellStyle name="Normal 66 6 2 5" xfId="46438"/>
    <cellStyle name="Normal 66 6 3" xfId="24524"/>
    <cellStyle name="Normal 66 6 3 2" xfId="26737"/>
    <cellStyle name="Normal 66 6 3 2 2" xfId="48982"/>
    <cellStyle name="Normal 66 6 3 3" xfId="46769"/>
    <cellStyle name="Normal 66 6 4" xfId="25098"/>
    <cellStyle name="Normal 66 6 4 2" xfId="27403"/>
    <cellStyle name="Normal 66 6 4 2 2" xfId="49648"/>
    <cellStyle name="Normal 66 6 4 3" xfId="47343"/>
    <cellStyle name="Normal 66 6 5" xfId="26071"/>
    <cellStyle name="Normal 66 6 5 2" xfId="48316"/>
    <cellStyle name="Normal 66 6 6" xfId="46126"/>
    <cellStyle name="Normal 66 7" xfId="24029"/>
    <cellStyle name="Normal 66 7 2" xfId="24690"/>
    <cellStyle name="Normal 66 7 2 2" xfId="26903"/>
    <cellStyle name="Normal 66 7 2 2 2" xfId="49148"/>
    <cellStyle name="Normal 66 7 2 3" xfId="46935"/>
    <cellStyle name="Normal 66 7 3" xfId="25266"/>
    <cellStyle name="Normal 66 7 3 2" xfId="27571"/>
    <cellStyle name="Normal 66 7 3 2 2" xfId="49816"/>
    <cellStyle name="Normal 66 7 3 3" xfId="47511"/>
    <cellStyle name="Normal 66 7 4" xfId="26231"/>
    <cellStyle name="Normal 66 7 4 2" xfId="48476"/>
    <cellStyle name="Normal 66 7 5" xfId="46275"/>
    <cellStyle name="Normal 66 8" xfId="24368"/>
    <cellStyle name="Normal 66 8 2" xfId="26571"/>
    <cellStyle name="Normal 66 8 2 2" xfId="48816"/>
    <cellStyle name="Normal 66 8 3" xfId="46613"/>
    <cellStyle name="Normal 66 9" xfId="25022"/>
    <cellStyle name="Normal 66 9 2" xfId="27235"/>
    <cellStyle name="Normal 66 9 2 2" xfId="49480"/>
    <cellStyle name="Normal 66 9 3" xfId="47267"/>
    <cellStyle name="Normal 67" xfId="790"/>
    <cellStyle name="Normal 67 2" xfId="4202"/>
    <cellStyle name="Normal 67 2 10" xfId="28972"/>
    <cellStyle name="Normal 67 2 2" xfId="4203"/>
    <cellStyle name="Normal 67 2 2 2" xfId="7122"/>
    <cellStyle name="Normal 67 2 2 2 2" xfId="10454"/>
    <cellStyle name="Normal 67 2 2 2 2 2" xfId="17158"/>
    <cellStyle name="Normal 67 2 2 2 2 2 2" xfId="27173"/>
    <cellStyle name="Normal 67 2 2 2 2 2 2 2" xfId="49418"/>
    <cellStyle name="Normal 67 2 2 2 2 2 3" xfId="24960"/>
    <cellStyle name="Normal 67 2 2 2 2 2 3 2" xfId="47205"/>
    <cellStyle name="Normal 67 2 2 2 2 2 4" xfId="40579"/>
    <cellStyle name="Normal 67 2 2 2 2 3" xfId="25540"/>
    <cellStyle name="Normal 67 2 2 2 2 3 2" xfId="27845"/>
    <cellStyle name="Normal 67 2 2 2 2 3 2 2" xfId="50090"/>
    <cellStyle name="Normal 67 2 2 2 2 3 3" xfId="47785"/>
    <cellStyle name="Normal 67 2 2 2 2 4" xfId="26499"/>
    <cellStyle name="Normal 67 2 2 2 2 4 2" xfId="48744"/>
    <cellStyle name="Normal 67 2 2 2 2 5" xfId="24295"/>
    <cellStyle name="Normal 67 2 2 2 2 5 2" xfId="46541"/>
    <cellStyle name="Normal 67 2 2 2 2 6" xfId="33947"/>
    <cellStyle name="Normal 67 2 2 2 3" xfId="13842"/>
    <cellStyle name="Normal 67 2 2 2 3 2" xfId="26841"/>
    <cellStyle name="Normal 67 2 2 2 3 2 2" xfId="49086"/>
    <cellStyle name="Normal 67 2 2 2 3 3" xfId="24628"/>
    <cellStyle name="Normal 67 2 2 2 3 3 2" xfId="46873"/>
    <cellStyle name="Normal 67 2 2 2 3 4" xfId="37263"/>
    <cellStyle name="Normal 67 2 2 2 4" xfId="25204"/>
    <cellStyle name="Normal 67 2 2 2 4 2" xfId="27509"/>
    <cellStyle name="Normal 67 2 2 2 4 2 2" xfId="49754"/>
    <cellStyle name="Normal 67 2 2 2 4 3" xfId="47449"/>
    <cellStyle name="Normal 67 2 2 2 5" xfId="26170"/>
    <cellStyle name="Normal 67 2 2 2 5 2" xfId="48415"/>
    <cellStyle name="Normal 67 2 2 2 6" xfId="23979"/>
    <cellStyle name="Normal 67 2 2 2 6 2" xfId="46225"/>
    <cellStyle name="Normal 67 2 2 2 7" xfId="30631"/>
    <cellStyle name="Normal 67 2 2 3" xfId="8789"/>
    <cellStyle name="Normal 67 2 2 3 2" xfId="15500"/>
    <cellStyle name="Normal 67 2 2 3 2 2" xfId="27007"/>
    <cellStyle name="Normal 67 2 2 3 2 2 2" xfId="49252"/>
    <cellStyle name="Normal 67 2 2 3 2 3" xfId="24794"/>
    <cellStyle name="Normal 67 2 2 3 2 3 2" xfId="47039"/>
    <cellStyle name="Normal 67 2 2 3 2 4" xfId="38921"/>
    <cellStyle name="Normal 67 2 2 3 3" xfId="25372"/>
    <cellStyle name="Normal 67 2 2 3 3 2" xfId="27677"/>
    <cellStyle name="Normal 67 2 2 3 3 2 2" xfId="49922"/>
    <cellStyle name="Normal 67 2 2 3 3 3" xfId="47617"/>
    <cellStyle name="Normal 67 2 2 3 4" xfId="26334"/>
    <cellStyle name="Normal 67 2 2 3 4 2" xfId="48579"/>
    <cellStyle name="Normal 67 2 2 3 5" xfId="24130"/>
    <cellStyle name="Normal 67 2 2 3 5 2" xfId="46376"/>
    <cellStyle name="Normal 67 2 2 3 6" xfId="32289"/>
    <cellStyle name="Normal 67 2 2 4" xfId="12182"/>
    <cellStyle name="Normal 67 2 2 4 2" xfId="26675"/>
    <cellStyle name="Normal 67 2 2 4 2 2" xfId="48920"/>
    <cellStyle name="Normal 67 2 2 4 3" xfId="24462"/>
    <cellStyle name="Normal 67 2 2 4 3 2" xfId="46707"/>
    <cellStyle name="Normal 67 2 2 4 4" xfId="35605"/>
    <cellStyle name="Normal 67 2 2 5" xfId="23738"/>
    <cellStyle name="Normal 67 2 2 5 2" xfId="27341"/>
    <cellStyle name="Normal 67 2 2 5 2 2" xfId="49586"/>
    <cellStyle name="Normal 67 2 2 5 3" xfId="46027"/>
    <cellStyle name="Normal 67 2 2 6" xfId="25969"/>
    <cellStyle name="Normal 67 2 2 6 2" xfId="48214"/>
    <cellStyle name="Normal 67 2 2 7" xfId="28973"/>
    <cellStyle name="Normal 67 2 3" xfId="4204"/>
    <cellStyle name="Normal 67 2 3 2" xfId="7123"/>
    <cellStyle name="Normal 67 2 3 2 2" xfId="10455"/>
    <cellStyle name="Normal 67 2 3 2 2 2" xfId="17159"/>
    <cellStyle name="Normal 67 2 3 2 2 2 2" xfId="27133"/>
    <cellStyle name="Normal 67 2 3 2 2 2 2 2" xfId="49378"/>
    <cellStyle name="Normal 67 2 3 2 2 2 3" xfId="24920"/>
    <cellStyle name="Normal 67 2 3 2 2 2 3 2" xfId="47165"/>
    <cellStyle name="Normal 67 2 3 2 2 2 4" xfId="40580"/>
    <cellStyle name="Normal 67 2 3 2 2 3" xfId="25498"/>
    <cellStyle name="Normal 67 2 3 2 2 3 2" xfId="27803"/>
    <cellStyle name="Normal 67 2 3 2 2 3 2 2" xfId="50048"/>
    <cellStyle name="Normal 67 2 3 2 2 3 3" xfId="47743"/>
    <cellStyle name="Normal 67 2 3 2 2 4" xfId="26459"/>
    <cellStyle name="Normal 67 2 3 2 2 4 2" xfId="48704"/>
    <cellStyle name="Normal 67 2 3 2 2 5" xfId="24255"/>
    <cellStyle name="Normal 67 2 3 2 2 5 2" xfId="46501"/>
    <cellStyle name="Normal 67 2 3 2 2 6" xfId="33948"/>
    <cellStyle name="Normal 67 2 3 2 3" xfId="13843"/>
    <cellStyle name="Normal 67 2 3 2 3 2" xfId="26801"/>
    <cellStyle name="Normal 67 2 3 2 3 2 2" xfId="49046"/>
    <cellStyle name="Normal 67 2 3 2 3 3" xfId="24588"/>
    <cellStyle name="Normal 67 2 3 2 3 3 2" xfId="46833"/>
    <cellStyle name="Normal 67 2 3 2 3 4" xfId="37264"/>
    <cellStyle name="Normal 67 2 3 2 4" xfId="25162"/>
    <cellStyle name="Normal 67 2 3 2 4 2" xfId="27467"/>
    <cellStyle name="Normal 67 2 3 2 4 2 2" xfId="49712"/>
    <cellStyle name="Normal 67 2 3 2 4 3" xfId="47407"/>
    <cellStyle name="Normal 67 2 3 2 5" xfId="26130"/>
    <cellStyle name="Normal 67 2 3 2 5 2" xfId="48375"/>
    <cellStyle name="Normal 67 2 3 2 6" xfId="23939"/>
    <cellStyle name="Normal 67 2 3 2 6 2" xfId="46185"/>
    <cellStyle name="Normal 67 2 3 2 7" xfId="30632"/>
    <cellStyle name="Normal 67 2 3 3" xfId="8790"/>
    <cellStyle name="Normal 67 2 3 3 2" xfId="15501"/>
    <cellStyle name="Normal 67 2 3 3 2 2" xfId="26967"/>
    <cellStyle name="Normal 67 2 3 3 2 2 2" xfId="49212"/>
    <cellStyle name="Normal 67 2 3 3 2 3" xfId="24754"/>
    <cellStyle name="Normal 67 2 3 3 2 3 2" xfId="46999"/>
    <cellStyle name="Normal 67 2 3 3 2 4" xfId="38922"/>
    <cellStyle name="Normal 67 2 3 3 3" xfId="25330"/>
    <cellStyle name="Normal 67 2 3 3 3 2" xfId="27635"/>
    <cellStyle name="Normal 67 2 3 3 3 2 2" xfId="49880"/>
    <cellStyle name="Normal 67 2 3 3 3 3" xfId="47575"/>
    <cellStyle name="Normal 67 2 3 3 4" xfId="26294"/>
    <cellStyle name="Normal 67 2 3 3 4 2" xfId="48539"/>
    <cellStyle name="Normal 67 2 3 3 5" xfId="24090"/>
    <cellStyle name="Normal 67 2 3 3 5 2" xfId="46336"/>
    <cellStyle name="Normal 67 2 3 3 6" xfId="32290"/>
    <cellStyle name="Normal 67 2 3 4" xfId="12183"/>
    <cellStyle name="Normal 67 2 3 4 2" xfId="26635"/>
    <cellStyle name="Normal 67 2 3 4 2 2" xfId="48880"/>
    <cellStyle name="Normal 67 2 3 4 3" xfId="24422"/>
    <cellStyle name="Normal 67 2 3 4 3 2" xfId="46667"/>
    <cellStyle name="Normal 67 2 3 4 4" xfId="35606"/>
    <cellStyle name="Normal 67 2 3 5" xfId="23739"/>
    <cellStyle name="Normal 67 2 3 5 2" xfId="27299"/>
    <cellStyle name="Normal 67 2 3 5 2 2" xfId="49544"/>
    <cellStyle name="Normal 67 2 3 5 3" xfId="46028"/>
    <cellStyle name="Normal 67 2 3 6" xfId="25970"/>
    <cellStyle name="Normal 67 2 3 6 2" xfId="48215"/>
    <cellStyle name="Normal 67 2 3 7" xfId="28974"/>
    <cellStyle name="Normal 67 2 4" xfId="7121"/>
    <cellStyle name="Normal 67 2 4 2" xfId="10453"/>
    <cellStyle name="Normal 67 2 4 2 2" xfId="17157"/>
    <cellStyle name="Normal 67 2 4 2 2 2" xfId="25002"/>
    <cellStyle name="Normal 67 2 4 2 2 2 2" xfId="27215"/>
    <cellStyle name="Normal 67 2 4 2 2 2 2 2" xfId="49460"/>
    <cellStyle name="Normal 67 2 4 2 2 2 3" xfId="47247"/>
    <cellStyle name="Normal 67 2 4 2 2 3" xfId="25582"/>
    <cellStyle name="Normal 67 2 4 2 2 3 2" xfId="27887"/>
    <cellStyle name="Normal 67 2 4 2 2 3 2 2" xfId="50132"/>
    <cellStyle name="Normal 67 2 4 2 2 3 3" xfId="47827"/>
    <cellStyle name="Normal 67 2 4 2 2 4" xfId="26541"/>
    <cellStyle name="Normal 67 2 4 2 2 4 2" xfId="48786"/>
    <cellStyle name="Normal 67 2 4 2 2 5" xfId="24337"/>
    <cellStyle name="Normal 67 2 4 2 2 5 2" xfId="46583"/>
    <cellStyle name="Normal 67 2 4 2 2 6" xfId="40578"/>
    <cellStyle name="Normal 67 2 4 2 3" xfId="24670"/>
    <cellStyle name="Normal 67 2 4 2 3 2" xfId="26883"/>
    <cellStyle name="Normal 67 2 4 2 3 2 2" xfId="49128"/>
    <cellStyle name="Normal 67 2 4 2 3 3" xfId="46915"/>
    <cellStyle name="Normal 67 2 4 2 4" xfId="25246"/>
    <cellStyle name="Normal 67 2 4 2 4 2" xfId="27551"/>
    <cellStyle name="Normal 67 2 4 2 4 2 2" xfId="49796"/>
    <cellStyle name="Normal 67 2 4 2 4 3" xfId="47491"/>
    <cellStyle name="Normal 67 2 4 2 5" xfId="26211"/>
    <cellStyle name="Normal 67 2 4 2 5 2" xfId="48456"/>
    <cellStyle name="Normal 67 2 4 2 6" xfId="24020"/>
    <cellStyle name="Normal 67 2 4 2 6 2" xfId="46266"/>
    <cellStyle name="Normal 67 2 4 2 7" xfId="33946"/>
    <cellStyle name="Normal 67 2 4 3" xfId="13841"/>
    <cellStyle name="Normal 67 2 4 3 2" xfId="24836"/>
    <cellStyle name="Normal 67 2 4 3 2 2" xfId="27049"/>
    <cellStyle name="Normal 67 2 4 3 2 2 2" xfId="49294"/>
    <cellStyle name="Normal 67 2 4 3 2 3" xfId="47081"/>
    <cellStyle name="Normal 67 2 4 3 3" xfId="25414"/>
    <cellStyle name="Normal 67 2 4 3 3 2" xfId="27719"/>
    <cellStyle name="Normal 67 2 4 3 3 2 2" xfId="49964"/>
    <cellStyle name="Normal 67 2 4 3 3 3" xfId="47659"/>
    <cellStyle name="Normal 67 2 4 3 4" xfId="26376"/>
    <cellStyle name="Normal 67 2 4 3 4 2" xfId="48621"/>
    <cellStyle name="Normal 67 2 4 3 5" xfId="24172"/>
    <cellStyle name="Normal 67 2 4 3 5 2" xfId="46418"/>
    <cellStyle name="Normal 67 2 4 3 6" xfId="37262"/>
    <cellStyle name="Normal 67 2 4 4" xfId="24504"/>
    <cellStyle name="Normal 67 2 4 4 2" xfId="26717"/>
    <cellStyle name="Normal 67 2 4 4 2 2" xfId="48962"/>
    <cellStyle name="Normal 67 2 4 4 3" xfId="46749"/>
    <cellStyle name="Normal 67 2 4 5" xfId="25078"/>
    <cellStyle name="Normal 67 2 4 5 2" xfId="27383"/>
    <cellStyle name="Normal 67 2 4 5 2 2" xfId="49628"/>
    <cellStyle name="Normal 67 2 4 5 3" xfId="47323"/>
    <cellStyle name="Normal 67 2 4 6" xfId="26058"/>
    <cellStyle name="Normal 67 2 4 6 2" xfId="48303"/>
    <cellStyle name="Normal 67 2 4 7" xfId="23867"/>
    <cellStyle name="Normal 67 2 4 7 2" xfId="46113"/>
    <cellStyle name="Normal 67 2 4 8" xfId="30630"/>
    <cellStyle name="Normal 67 2 5" xfId="8788"/>
    <cellStyle name="Normal 67 2 5 2" xfId="15499"/>
    <cellStyle name="Normal 67 2 5 2 2" xfId="24878"/>
    <cellStyle name="Normal 67 2 5 2 2 2" xfId="27091"/>
    <cellStyle name="Normal 67 2 5 2 2 2 2" xfId="49336"/>
    <cellStyle name="Normal 67 2 5 2 2 3" xfId="47123"/>
    <cellStyle name="Normal 67 2 5 2 3" xfId="25456"/>
    <cellStyle name="Normal 67 2 5 2 3 2" xfId="27761"/>
    <cellStyle name="Normal 67 2 5 2 3 2 2" xfId="50006"/>
    <cellStyle name="Normal 67 2 5 2 3 3" xfId="47701"/>
    <cellStyle name="Normal 67 2 5 2 4" xfId="26418"/>
    <cellStyle name="Normal 67 2 5 2 4 2" xfId="48663"/>
    <cellStyle name="Normal 67 2 5 2 5" xfId="24214"/>
    <cellStyle name="Normal 67 2 5 2 5 2" xfId="46460"/>
    <cellStyle name="Normal 67 2 5 2 6" xfId="38920"/>
    <cellStyle name="Normal 67 2 5 3" xfId="24546"/>
    <cellStyle name="Normal 67 2 5 3 2" xfId="26759"/>
    <cellStyle name="Normal 67 2 5 3 2 2" xfId="49004"/>
    <cellStyle name="Normal 67 2 5 3 3" xfId="46791"/>
    <cellStyle name="Normal 67 2 5 4" xfId="25120"/>
    <cellStyle name="Normal 67 2 5 4 2" xfId="27425"/>
    <cellStyle name="Normal 67 2 5 4 2 2" xfId="49670"/>
    <cellStyle name="Normal 67 2 5 4 3" xfId="47365"/>
    <cellStyle name="Normal 67 2 5 5" xfId="26090"/>
    <cellStyle name="Normal 67 2 5 5 2" xfId="48335"/>
    <cellStyle name="Normal 67 2 5 6" xfId="23899"/>
    <cellStyle name="Normal 67 2 5 6 2" xfId="46145"/>
    <cellStyle name="Normal 67 2 5 7" xfId="32288"/>
    <cellStyle name="Normal 67 2 6" xfId="12181"/>
    <cellStyle name="Normal 67 2 6 2" xfId="24712"/>
    <cellStyle name="Normal 67 2 6 2 2" xfId="26925"/>
    <cellStyle name="Normal 67 2 6 2 2 2" xfId="49170"/>
    <cellStyle name="Normal 67 2 6 2 3" xfId="46957"/>
    <cellStyle name="Normal 67 2 6 3" xfId="25288"/>
    <cellStyle name="Normal 67 2 6 3 2" xfId="27593"/>
    <cellStyle name="Normal 67 2 6 3 2 2" xfId="49838"/>
    <cellStyle name="Normal 67 2 6 3 3" xfId="47533"/>
    <cellStyle name="Normal 67 2 6 4" xfId="26253"/>
    <cellStyle name="Normal 67 2 6 4 2" xfId="48498"/>
    <cellStyle name="Normal 67 2 6 5" xfId="24049"/>
    <cellStyle name="Normal 67 2 6 5 2" xfId="46295"/>
    <cellStyle name="Normal 67 2 6 6" xfId="35604"/>
    <cellStyle name="Normal 67 2 7" xfId="18824"/>
    <cellStyle name="Normal 67 2 7 2" xfId="26593"/>
    <cellStyle name="Normal 67 2 7 2 2" xfId="48838"/>
    <cellStyle name="Normal 67 2 7 3" xfId="24380"/>
    <cellStyle name="Normal 67 2 7 3 2" xfId="46625"/>
    <cellStyle name="Normal 67 2 8" xfId="23737"/>
    <cellStyle name="Normal 67 2 8 2" xfId="27257"/>
    <cellStyle name="Normal 67 2 8 2 2" xfId="49502"/>
    <cellStyle name="Normal 67 2 8 3" xfId="46026"/>
    <cellStyle name="Normal 67 2 9" xfId="25968"/>
    <cellStyle name="Normal 67 2 9 2" xfId="48213"/>
    <cellStyle name="Normal 67 3" xfId="4205"/>
    <cellStyle name="Normal 67 3 2" xfId="7124"/>
    <cellStyle name="Normal 67 3 2 2" xfId="10456"/>
    <cellStyle name="Normal 67 3 2 2 2" xfId="17160"/>
    <cellStyle name="Normal 67 3 2 2 2 2" xfId="27153"/>
    <cellStyle name="Normal 67 3 2 2 2 2 2" xfId="49398"/>
    <cellStyle name="Normal 67 3 2 2 2 3" xfId="24940"/>
    <cellStyle name="Normal 67 3 2 2 2 3 2" xfId="47185"/>
    <cellStyle name="Normal 67 3 2 2 2 4" xfId="40581"/>
    <cellStyle name="Normal 67 3 2 2 3" xfId="25519"/>
    <cellStyle name="Normal 67 3 2 2 3 2" xfId="27824"/>
    <cellStyle name="Normal 67 3 2 2 3 2 2" xfId="50069"/>
    <cellStyle name="Normal 67 3 2 2 3 3" xfId="47764"/>
    <cellStyle name="Normal 67 3 2 2 4" xfId="26479"/>
    <cellStyle name="Normal 67 3 2 2 4 2" xfId="48724"/>
    <cellStyle name="Normal 67 3 2 2 5" xfId="24275"/>
    <cellStyle name="Normal 67 3 2 2 5 2" xfId="46521"/>
    <cellStyle name="Normal 67 3 2 2 6" xfId="33949"/>
    <cellStyle name="Normal 67 3 2 3" xfId="13844"/>
    <cellStyle name="Normal 67 3 2 3 2" xfId="26821"/>
    <cellStyle name="Normal 67 3 2 3 2 2" xfId="49066"/>
    <cellStyle name="Normal 67 3 2 3 3" xfId="24608"/>
    <cellStyle name="Normal 67 3 2 3 3 2" xfId="46853"/>
    <cellStyle name="Normal 67 3 2 3 4" xfId="37265"/>
    <cellStyle name="Normal 67 3 2 4" xfId="25183"/>
    <cellStyle name="Normal 67 3 2 4 2" xfId="27488"/>
    <cellStyle name="Normal 67 3 2 4 2 2" xfId="49733"/>
    <cellStyle name="Normal 67 3 2 4 3" xfId="47428"/>
    <cellStyle name="Normal 67 3 2 5" xfId="26150"/>
    <cellStyle name="Normal 67 3 2 5 2" xfId="48395"/>
    <cellStyle name="Normal 67 3 2 6" xfId="23959"/>
    <cellStyle name="Normal 67 3 2 6 2" xfId="46205"/>
    <cellStyle name="Normal 67 3 2 7" xfId="30633"/>
    <cellStyle name="Normal 67 3 3" xfId="8791"/>
    <cellStyle name="Normal 67 3 3 2" xfId="15502"/>
    <cellStyle name="Normal 67 3 3 2 2" xfId="26987"/>
    <cellStyle name="Normal 67 3 3 2 2 2" xfId="49232"/>
    <cellStyle name="Normal 67 3 3 2 3" xfId="24774"/>
    <cellStyle name="Normal 67 3 3 2 3 2" xfId="47019"/>
    <cellStyle name="Normal 67 3 3 2 4" xfId="38923"/>
    <cellStyle name="Normal 67 3 3 3" xfId="25351"/>
    <cellStyle name="Normal 67 3 3 3 2" xfId="27656"/>
    <cellStyle name="Normal 67 3 3 3 2 2" xfId="49901"/>
    <cellStyle name="Normal 67 3 3 3 3" xfId="47596"/>
    <cellStyle name="Normal 67 3 3 4" xfId="26314"/>
    <cellStyle name="Normal 67 3 3 4 2" xfId="48559"/>
    <cellStyle name="Normal 67 3 3 5" xfId="24110"/>
    <cellStyle name="Normal 67 3 3 5 2" xfId="46356"/>
    <cellStyle name="Normal 67 3 3 6" xfId="32291"/>
    <cellStyle name="Normal 67 3 4" xfId="12184"/>
    <cellStyle name="Normal 67 3 4 2" xfId="26655"/>
    <cellStyle name="Normal 67 3 4 2 2" xfId="48900"/>
    <cellStyle name="Normal 67 3 4 3" xfId="24442"/>
    <cellStyle name="Normal 67 3 4 3 2" xfId="46687"/>
    <cellStyle name="Normal 67 3 4 4" xfId="35607"/>
    <cellStyle name="Normal 67 3 5" xfId="23740"/>
    <cellStyle name="Normal 67 3 5 2" xfId="27320"/>
    <cellStyle name="Normal 67 3 5 2 2" xfId="49565"/>
    <cellStyle name="Normal 67 3 5 3" xfId="46029"/>
    <cellStyle name="Normal 67 3 6" xfId="25971"/>
    <cellStyle name="Normal 67 3 6 2" xfId="48216"/>
    <cellStyle name="Normal 67 3 7" xfId="28975"/>
    <cellStyle name="Normal 67 4" xfId="4206"/>
    <cellStyle name="Normal 67 4 2" xfId="7125"/>
    <cellStyle name="Normal 67 4 2 2" xfId="10457"/>
    <cellStyle name="Normal 67 4 2 2 2" xfId="17161"/>
    <cellStyle name="Normal 67 4 2 2 2 2" xfId="27112"/>
    <cellStyle name="Normal 67 4 2 2 2 2 2" xfId="49357"/>
    <cellStyle name="Normal 67 4 2 2 2 3" xfId="24899"/>
    <cellStyle name="Normal 67 4 2 2 2 3 2" xfId="47144"/>
    <cellStyle name="Normal 67 4 2 2 2 4" xfId="40582"/>
    <cellStyle name="Normal 67 4 2 2 3" xfId="25477"/>
    <cellStyle name="Normal 67 4 2 2 3 2" xfId="27782"/>
    <cellStyle name="Normal 67 4 2 2 3 2 2" xfId="50027"/>
    <cellStyle name="Normal 67 4 2 2 3 3" xfId="47722"/>
    <cellStyle name="Normal 67 4 2 2 4" xfId="26439"/>
    <cellStyle name="Normal 67 4 2 2 4 2" xfId="48684"/>
    <cellStyle name="Normal 67 4 2 2 5" xfId="24235"/>
    <cellStyle name="Normal 67 4 2 2 5 2" xfId="46481"/>
    <cellStyle name="Normal 67 4 2 2 6" xfId="33950"/>
    <cellStyle name="Normal 67 4 2 3" xfId="13845"/>
    <cellStyle name="Normal 67 4 2 3 2" xfId="26780"/>
    <cellStyle name="Normal 67 4 2 3 2 2" xfId="49025"/>
    <cellStyle name="Normal 67 4 2 3 3" xfId="24567"/>
    <cellStyle name="Normal 67 4 2 3 3 2" xfId="46812"/>
    <cellStyle name="Normal 67 4 2 3 4" xfId="37266"/>
    <cellStyle name="Normal 67 4 2 4" xfId="25141"/>
    <cellStyle name="Normal 67 4 2 4 2" xfId="27446"/>
    <cellStyle name="Normal 67 4 2 4 2 2" xfId="49691"/>
    <cellStyle name="Normal 67 4 2 4 3" xfId="47386"/>
    <cellStyle name="Normal 67 4 2 5" xfId="26110"/>
    <cellStyle name="Normal 67 4 2 5 2" xfId="48355"/>
    <cellStyle name="Normal 67 4 2 6" xfId="23919"/>
    <cellStyle name="Normal 67 4 2 6 2" xfId="46165"/>
    <cellStyle name="Normal 67 4 2 7" xfId="30634"/>
    <cellStyle name="Normal 67 4 3" xfId="8792"/>
    <cellStyle name="Normal 67 4 3 2" xfId="15503"/>
    <cellStyle name="Normal 67 4 3 2 2" xfId="26946"/>
    <cellStyle name="Normal 67 4 3 2 2 2" xfId="49191"/>
    <cellStyle name="Normal 67 4 3 2 3" xfId="24733"/>
    <cellStyle name="Normal 67 4 3 2 3 2" xfId="46978"/>
    <cellStyle name="Normal 67 4 3 2 4" xfId="38924"/>
    <cellStyle name="Normal 67 4 3 3" xfId="25309"/>
    <cellStyle name="Normal 67 4 3 3 2" xfId="27614"/>
    <cellStyle name="Normal 67 4 3 3 2 2" xfId="49859"/>
    <cellStyle name="Normal 67 4 3 3 3" xfId="47554"/>
    <cellStyle name="Normal 67 4 3 4" xfId="26274"/>
    <cellStyle name="Normal 67 4 3 4 2" xfId="48519"/>
    <cellStyle name="Normal 67 4 3 5" xfId="24070"/>
    <cellStyle name="Normal 67 4 3 5 2" xfId="46316"/>
    <cellStyle name="Normal 67 4 3 6" xfId="32292"/>
    <cellStyle name="Normal 67 4 4" xfId="12185"/>
    <cellStyle name="Normal 67 4 4 2" xfId="26614"/>
    <cellStyle name="Normal 67 4 4 2 2" xfId="48859"/>
    <cellStyle name="Normal 67 4 4 3" xfId="24401"/>
    <cellStyle name="Normal 67 4 4 3 2" xfId="46646"/>
    <cellStyle name="Normal 67 4 4 4" xfId="35608"/>
    <cellStyle name="Normal 67 4 5" xfId="23741"/>
    <cellStyle name="Normal 67 4 5 2" xfId="27278"/>
    <cellStyle name="Normal 67 4 5 2 2" xfId="49523"/>
    <cellStyle name="Normal 67 4 5 3" xfId="46030"/>
    <cellStyle name="Normal 67 4 6" xfId="25972"/>
    <cellStyle name="Normal 67 4 6 2" xfId="48217"/>
    <cellStyle name="Normal 67 4 7" xfId="28976"/>
    <cellStyle name="Normal 67 5" xfId="4207"/>
    <cellStyle name="Normal 67 5 2" xfId="7126"/>
    <cellStyle name="Normal 67 5 2 2" xfId="10458"/>
    <cellStyle name="Normal 67 5 2 2 2" xfId="17162"/>
    <cellStyle name="Normal 67 5 2 2 2 2" xfId="27194"/>
    <cellStyle name="Normal 67 5 2 2 2 2 2" xfId="49439"/>
    <cellStyle name="Normal 67 5 2 2 2 3" xfId="24981"/>
    <cellStyle name="Normal 67 5 2 2 2 3 2" xfId="47226"/>
    <cellStyle name="Normal 67 5 2 2 2 4" xfId="40583"/>
    <cellStyle name="Normal 67 5 2 2 3" xfId="25561"/>
    <cellStyle name="Normal 67 5 2 2 3 2" xfId="27866"/>
    <cellStyle name="Normal 67 5 2 2 3 2 2" xfId="50111"/>
    <cellStyle name="Normal 67 5 2 2 3 3" xfId="47806"/>
    <cellStyle name="Normal 67 5 2 2 4" xfId="26520"/>
    <cellStyle name="Normal 67 5 2 2 4 2" xfId="48765"/>
    <cellStyle name="Normal 67 5 2 2 5" xfId="24316"/>
    <cellStyle name="Normal 67 5 2 2 5 2" xfId="46562"/>
    <cellStyle name="Normal 67 5 2 2 6" xfId="33951"/>
    <cellStyle name="Normal 67 5 2 3" xfId="13846"/>
    <cellStyle name="Normal 67 5 2 3 2" xfId="26862"/>
    <cellStyle name="Normal 67 5 2 3 2 2" xfId="49107"/>
    <cellStyle name="Normal 67 5 2 3 3" xfId="24649"/>
    <cellStyle name="Normal 67 5 2 3 3 2" xfId="46894"/>
    <cellStyle name="Normal 67 5 2 3 4" xfId="37267"/>
    <cellStyle name="Normal 67 5 2 4" xfId="25225"/>
    <cellStyle name="Normal 67 5 2 4 2" xfId="27530"/>
    <cellStyle name="Normal 67 5 2 4 2 2" xfId="49775"/>
    <cellStyle name="Normal 67 5 2 4 3" xfId="47470"/>
    <cellStyle name="Normal 67 5 2 5" xfId="26191"/>
    <cellStyle name="Normal 67 5 2 5 2" xfId="48436"/>
    <cellStyle name="Normal 67 5 2 6" xfId="24000"/>
    <cellStyle name="Normal 67 5 2 6 2" xfId="46246"/>
    <cellStyle name="Normal 67 5 2 7" xfId="30635"/>
    <cellStyle name="Normal 67 5 3" xfId="8793"/>
    <cellStyle name="Normal 67 5 3 2" xfId="15504"/>
    <cellStyle name="Normal 67 5 3 2 2" xfId="27028"/>
    <cellStyle name="Normal 67 5 3 2 2 2" xfId="49273"/>
    <cellStyle name="Normal 67 5 3 2 3" xfId="24815"/>
    <cellStyle name="Normal 67 5 3 2 3 2" xfId="47060"/>
    <cellStyle name="Normal 67 5 3 2 4" xfId="38925"/>
    <cellStyle name="Normal 67 5 3 3" xfId="25393"/>
    <cellStyle name="Normal 67 5 3 3 2" xfId="27698"/>
    <cellStyle name="Normal 67 5 3 3 2 2" xfId="49943"/>
    <cellStyle name="Normal 67 5 3 3 3" xfId="47638"/>
    <cellStyle name="Normal 67 5 3 4" xfId="26355"/>
    <cellStyle name="Normal 67 5 3 4 2" xfId="48600"/>
    <cellStyle name="Normal 67 5 3 5" xfId="24151"/>
    <cellStyle name="Normal 67 5 3 5 2" xfId="46397"/>
    <cellStyle name="Normal 67 5 3 6" xfId="32293"/>
    <cellStyle name="Normal 67 5 4" xfId="12186"/>
    <cellStyle name="Normal 67 5 4 2" xfId="26696"/>
    <cellStyle name="Normal 67 5 4 2 2" xfId="48941"/>
    <cellStyle name="Normal 67 5 4 3" xfId="24483"/>
    <cellStyle name="Normal 67 5 4 3 2" xfId="46728"/>
    <cellStyle name="Normal 67 5 4 4" xfId="35609"/>
    <cellStyle name="Normal 67 5 5" xfId="23742"/>
    <cellStyle name="Normal 67 5 5 2" xfId="27362"/>
    <cellStyle name="Normal 67 5 5 2 2" xfId="49607"/>
    <cellStyle name="Normal 67 5 5 3" xfId="46031"/>
    <cellStyle name="Normal 67 5 6" xfId="25973"/>
    <cellStyle name="Normal 67 5 6 2" xfId="48218"/>
    <cellStyle name="Normal 67 5 7" xfId="28977"/>
    <cellStyle name="Normal 67 6" xfId="23881"/>
    <cellStyle name="Normal 67 6 2" xfId="24193"/>
    <cellStyle name="Normal 67 6 2 2" xfId="24857"/>
    <cellStyle name="Normal 67 6 2 2 2" xfId="27070"/>
    <cellStyle name="Normal 67 6 2 2 2 2" xfId="49315"/>
    <cellStyle name="Normal 67 6 2 2 3" xfId="47102"/>
    <cellStyle name="Normal 67 6 2 3" xfId="25435"/>
    <cellStyle name="Normal 67 6 2 3 2" xfId="27740"/>
    <cellStyle name="Normal 67 6 2 3 2 2" xfId="49985"/>
    <cellStyle name="Normal 67 6 2 3 3" xfId="47680"/>
    <cellStyle name="Normal 67 6 2 4" xfId="26397"/>
    <cellStyle name="Normal 67 6 2 4 2" xfId="48642"/>
    <cellStyle name="Normal 67 6 2 5" xfId="46439"/>
    <cellStyle name="Normal 67 6 3" xfId="24525"/>
    <cellStyle name="Normal 67 6 3 2" xfId="26738"/>
    <cellStyle name="Normal 67 6 3 2 2" xfId="48983"/>
    <cellStyle name="Normal 67 6 3 3" xfId="46770"/>
    <cellStyle name="Normal 67 6 4" xfId="25099"/>
    <cellStyle name="Normal 67 6 4 2" xfId="27404"/>
    <cellStyle name="Normal 67 6 4 2 2" xfId="49649"/>
    <cellStyle name="Normal 67 6 4 3" xfId="47344"/>
    <cellStyle name="Normal 67 6 5" xfId="26072"/>
    <cellStyle name="Normal 67 6 5 2" xfId="48317"/>
    <cellStyle name="Normal 67 6 6" xfId="46127"/>
    <cellStyle name="Normal 67 7" xfId="24030"/>
    <cellStyle name="Normal 67 7 2" xfId="24691"/>
    <cellStyle name="Normal 67 7 2 2" xfId="26904"/>
    <cellStyle name="Normal 67 7 2 2 2" xfId="49149"/>
    <cellStyle name="Normal 67 7 2 3" xfId="46936"/>
    <cellStyle name="Normal 67 7 3" xfId="25267"/>
    <cellStyle name="Normal 67 7 3 2" xfId="27572"/>
    <cellStyle name="Normal 67 7 3 2 2" xfId="49817"/>
    <cellStyle name="Normal 67 7 3 3" xfId="47512"/>
    <cellStyle name="Normal 67 7 4" xfId="26232"/>
    <cellStyle name="Normal 67 7 4 2" xfId="48477"/>
    <cellStyle name="Normal 67 7 5" xfId="46276"/>
    <cellStyle name="Normal 67 8" xfId="24369"/>
    <cellStyle name="Normal 67 8 2" xfId="26572"/>
    <cellStyle name="Normal 67 8 2 2" xfId="48817"/>
    <cellStyle name="Normal 67 8 3" xfId="46614"/>
    <cellStyle name="Normal 67 9" xfId="25023"/>
    <cellStyle name="Normal 67 9 2" xfId="27236"/>
    <cellStyle name="Normal 67 9 2 2" xfId="49481"/>
    <cellStyle name="Normal 67 9 3" xfId="47268"/>
    <cellStyle name="Normal 68" xfId="791"/>
    <cellStyle name="Normal 68 2" xfId="4208"/>
    <cellStyle name="Normal 68 2 10" xfId="28978"/>
    <cellStyle name="Normal 68 2 2" xfId="4209"/>
    <cellStyle name="Normal 68 2 2 2" xfId="7128"/>
    <cellStyle name="Normal 68 2 2 2 2" xfId="10460"/>
    <cellStyle name="Normal 68 2 2 2 2 2" xfId="17164"/>
    <cellStyle name="Normal 68 2 2 2 2 2 2" xfId="27174"/>
    <cellStyle name="Normal 68 2 2 2 2 2 2 2" xfId="49419"/>
    <cellStyle name="Normal 68 2 2 2 2 2 3" xfId="24961"/>
    <cellStyle name="Normal 68 2 2 2 2 2 3 2" xfId="47206"/>
    <cellStyle name="Normal 68 2 2 2 2 2 4" xfId="40585"/>
    <cellStyle name="Normal 68 2 2 2 2 3" xfId="25541"/>
    <cellStyle name="Normal 68 2 2 2 2 3 2" xfId="27846"/>
    <cellStyle name="Normal 68 2 2 2 2 3 2 2" xfId="50091"/>
    <cellStyle name="Normal 68 2 2 2 2 3 3" xfId="47786"/>
    <cellStyle name="Normal 68 2 2 2 2 4" xfId="26500"/>
    <cellStyle name="Normal 68 2 2 2 2 4 2" xfId="48745"/>
    <cellStyle name="Normal 68 2 2 2 2 5" xfId="24296"/>
    <cellStyle name="Normal 68 2 2 2 2 5 2" xfId="46542"/>
    <cellStyle name="Normal 68 2 2 2 2 6" xfId="33953"/>
    <cellStyle name="Normal 68 2 2 2 3" xfId="13848"/>
    <cellStyle name="Normal 68 2 2 2 3 2" xfId="26842"/>
    <cellStyle name="Normal 68 2 2 2 3 2 2" xfId="49087"/>
    <cellStyle name="Normal 68 2 2 2 3 3" xfId="24629"/>
    <cellStyle name="Normal 68 2 2 2 3 3 2" xfId="46874"/>
    <cellStyle name="Normal 68 2 2 2 3 4" xfId="37269"/>
    <cellStyle name="Normal 68 2 2 2 4" xfId="25205"/>
    <cellStyle name="Normal 68 2 2 2 4 2" xfId="27510"/>
    <cellStyle name="Normal 68 2 2 2 4 2 2" xfId="49755"/>
    <cellStyle name="Normal 68 2 2 2 4 3" xfId="47450"/>
    <cellStyle name="Normal 68 2 2 2 5" xfId="26171"/>
    <cellStyle name="Normal 68 2 2 2 5 2" xfId="48416"/>
    <cellStyle name="Normal 68 2 2 2 6" xfId="23980"/>
    <cellStyle name="Normal 68 2 2 2 6 2" xfId="46226"/>
    <cellStyle name="Normal 68 2 2 2 7" xfId="30637"/>
    <cellStyle name="Normal 68 2 2 3" xfId="8795"/>
    <cellStyle name="Normal 68 2 2 3 2" xfId="15506"/>
    <cellStyle name="Normal 68 2 2 3 2 2" xfId="27008"/>
    <cellStyle name="Normal 68 2 2 3 2 2 2" xfId="49253"/>
    <cellStyle name="Normal 68 2 2 3 2 3" xfId="24795"/>
    <cellStyle name="Normal 68 2 2 3 2 3 2" xfId="47040"/>
    <cellStyle name="Normal 68 2 2 3 2 4" xfId="38927"/>
    <cellStyle name="Normal 68 2 2 3 3" xfId="25373"/>
    <cellStyle name="Normal 68 2 2 3 3 2" xfId="27678"/>
    <cellStyle name="Normal 68 2 2 3 3 2 2" xfId="49923"/>
    <cellStyle name="Normal 68 2 2 3 3 3" xfId="47618"/>
    <cellStyle name="Normal 68 2 2 3 4" xfId="26335"/>
    <cellStyle name="Normal 68 2 2 3 4 2" xfId="48580"/>
    <cellStyle name="Normal 68 2 2 3 5" xfId="24131"/>
    <cellStyle name="Normal 68 2 2 3 5 2" xfId="46377"/>
    <cellStyle name="Normal 68 2 2 3 6" xfId="32295"/>
    <cellStyle name="Normal 68 2 2 4" xfId="12188"/>
    <cellStyle name="Normal 68 2 2 4 2" xfId="26676"/>
    <cellStyle name="Normal 68 2 2 4 2 2" xfId="48921"/>
    <cellStyle name="Normal 68 2 2 4 3" xfId="24463"/>
    <cellStyle name="Normal 68 2 2 4 3 2" xfId="46708"/>
    <cellStyle name="Normal 68 2 2 4 4" xfId="35611"/>
    <cellStyle name="Normal 68 2 2 5" xfId="23744"/>
    <cellStyle name="Normal 68 2 2 5 2" xfId="27342"/>
    <cellStyle name="Normal 68 2 2 5 2 2" xfId="49587"/>
    <cellStyle name="Normal 68 2 2 5 3" xfId="46033"/>
    <cellStyle name="Normal 68 2 2 6" xfId="25975"/>
    <cellStyle name="Normal 68 2 2 6 2" xfId="48220"/>
    <cellStyle name="Normal 68 2 2 7" xfId="28979"/>
    <cellStyle name="Normal 68 2 3" xfId="4210"/>
    <cellStyle name="Normal 68 2 3 2" xfId="7129"/>
    <cellStyle name="Normal 68 2 3 2 2" xfId="10461"/>
    <cellStyle name="Normal 68 2 3 2 2 2" xfId="17165"/>
    <cellStyle name="Normal 68 2 3 2 2 2 2" xfId="27134"/>
    <cellStyle name="Normal 68 2 3 2 2 2 2 2" xfId="49379"/>
    <cellStyle name="Normal 68 2 3 2 2 2 3" xfId="24921"/>
    <cellStyle name="Normal 68 2 3 2 2 2 3 2" xfId="47166"/>
    <cellStyle name="Normal 68 2 3 2 2 2 4" xfId="40586"/>
    <cellStyle name="Normal 68 2 3 2 2 3" xfId="25499"/>
    <cellStyle name="Normal 68 2 3 2 2 3 2" xfId="27804"/>
    <cellStyle name="Normal 68 2 3 2 2 3 2 2" xfId="50049"/>
    <cellStyle name="Normal 68 2 3 2 2 3 3" xfId="47744"/>
    <cellStyle name="Normal 68 2 3 2 2 4" xfId="26460"/>
    <cellStyle name="Normal 68 2 3 2 2 4 2" xfId="48705"/>
    <cellStyle name="Normal 68 2 3 2 2 5" xfId="24256"/>
    <cellStyle name="Normal 68 2 3 2 2 5 2" xfId="46502"/>
    <cellStyle name="Normal 68 2 3 2 2 6" xfId="33954"/>
    <cellStyle name="Normal 68 2 3 2 3" xfId="13849"/>
    <cellStyle name="Normal 68 2 3 2 3 2" xfId="26802"/>
    <cellStyle name="Normal 68 2 3 2 3 2 2" xfId="49047"/>
    <cellStyle name="Normal 68 2 3 2 3 3" xfId="24589"/>
    <cellStyle name="Normal 68 2 3 2 3 3 2" xfId="46834"/>
    <cellStyle name="Normal 68 2 3 2 3 4" xfId="37270"/>
    <cellStyle name="Normal 68 2 3 2 4" xfId="25163"/>
    <cellStyle name="Normal 68 2 3 2 4 2" xfId="27468"/>
    <cellStyle name="Normal 68 2 3 2 4 2 2" xfId="49713"/>
    <cellStyle name="Normal 68 2 3 2 4 3" xfId="47408"/>
    <cellStyle name="Normal 68 2 3 2 5" xfId="26131"/>
    <cellStyle name="Normal 68 2 3 2 5 2" xfId="48376"/>
    <cellStyle name="Normal 68 2 3 2 6" xfId="23940"/>
    <cellStyle name="Normal 68 2 3 2 6 2" xfId="46186"/>
    <cellStyle name="Normal 68 2 3 2 7" xfId="30638"/>
    <cellStyle name="Normal 68 2 3 3" xfId="8796"/>
    <cellStyle name="Normal 68 2 3 3 2" xfId="15507"/>
    <cellStyle name="Normal 68 2 3 3 2 2" xfId="26968"/>
    <cellStyle name="Normal 68 2 3 3 2 2 2" xfId="49213"/>
    <cellStyle name="Normal 68 2 3 3 2 3" xfId="24755"/>
    <cellStyle name="Normal 68 2 3 3 2 3 2" xfId="47000"/>
    <cellStyle name="Normal 68 2 3 3 2 4" xfId="38928"/>
    <cellStyle name="Normal 68 2 3 3 3" xfId="25331"/>
    <cellStyle name="Normal 68 2 3 3 3 2" xfId="27636"/>
    <cellStyle name="Normal 68 2 3 3 3 2 2" xfId="49881"/>
    <cellStyle name="Normal 68 2 3 3 3 3" xfId="47576"/>
    <cellStyle name="Normal 68 2 3 3 4" xfId="26295"/>
    <cellStyle name="Normal 68 2 3 3 4 2" xfId="48540"/>
    <cellStyle name="Normal 68 2 3 3 5" xfId="24091"/>
    <cellStyle name="Normal 68 2 3 3 5 2" xfId="46337"/>
    <cellStyle name="Normal 68 2 3 3 6" xfId="32296"/>
    <cellStyle name="Normal 68 2 3 4" xfId="12189"/>
    <cellStyle name="Normal 68 2 3 4 2" xfId="26636"/>
    <cellStyle name="Normal 68 2 3 4 2 2" xfId="48881"/>
    <cellStyle name="Normal 68 2 3 4 3" xfId="24423"/>
    <cellStyle name="Normal 68 2 3 4 3 2" xfId="46668"/>
    <cellStyle name="Normal 68 2 3 4 4" xfId="35612"/>
    <cellStyle name="Normal 68 2 3 5" xfId="23745"/>
    <cellStyle name="Normal 68 2 3 5 2" xfId="27300"/>
    <cellStyle name="Normal 68 2 3 5 2 2" xfId="49545"/>
    <cellStyle name="Normal 68 2 3 5 3" xfId="46034"/>
    <cellStyle name="Normal 68 2 3 6" xfId="25976"/>
    <cellStyle name="Normal 68 2 3 6 2" xfId="48221"/>
    <cellStyle name="Normal 68 2 3 7" xfId="28980"/>
    <cellStyle name="Normal 68 2 4" xfId="7127"/>
    <cellStyle name="Normal 68 2 4 2" xfId="10459"/>
    <cellStyle name="Normal 68 2 4 2 2" xfId="17163"/>
    <cellStyle name="Normal 68 2 4 2 2 2" xfId="25003"/>
    <cellStyle name="Normal 68 2 4 2 2 2 2" xfId="27216"/>
    <cellStyle name="Normal 68 2 4 2 2 2 2 2" xfId="49461"/>
    <cellStyle name="Normal 68 2 4 2 2 2 3" xfId="47248"/>
    <cellStyle name="Normal 68 2 4 2 2 3" xfId="25583"/>
    <cellStyle name="Normal 68 2 4 2 2 3 2" xfId="27888"/>
    <cellStyle name="Normal 68 2 4 2 2 3 2 2" xfId="50133"/>
    <cellStyle name="Normal 68 2 4 2 2 3 3" xfId="47828"/>
    <cellStyle name="Normal 68 2 4 2 2 4" xfId="26542"/>
    <cellStyle name="Normal 68 2 4 2 2 4 2" xfId="48787"/>
    <cellStyle name="Normal 68 2 4 2 2 5" xfId="24338"/>
    <cellStyle name="Normal 68 2 4 2 2 5 2" xfId="46584"/>
    <cellStyle name="Normal 68 2 4 2 2 6" xfId="40584"/>
    <cellStyle name="Normal 68 2 4 2 3" xfId="24671"/>
    <cellStyle name="Normal 68 2 4 2 3 2" xfId="26884"/>
    <cellStyle name="Normal 68 2 4 2 3 2 2" xfId="49129"/>
    <cellStyle name="Normal 68 2 4 2 3 3" xfId="46916"/>
    <cellStyle name="Normal 68 2 4 2 4" xfId="25247"/>
    <cellStyle name="Normal 68 2 4 2 4 2" xfId="27552"/>
    <cellStyle name="Normal 68 2 4 2 4 2 2" xfId="49797"/>
    <cellStyle name="Normal 68 2 4 2 4 3" xfId="47492"/>
    <cellStyle name="Normal 68 2 4 2 5" xfId="26212"/>
    <cellStyle name="Normal 68 2 4 2 5 2" xfId="48457"/>
    <cellStyle name="Normal 68 2 4 2 6" xfId="24021"/>
    <cellStyle name="Normal 68 2 4 2 6 2" xfId="46267"/>
    <cellStyle name="Normal 68 2 4 2 7" xfId="33952"/>
    <cellStyle name="Normal 68 2 4 3" xfId="13847"/>
    <cellStyle name="Normal 68 2 4 3 2" xfId="24837"/>
    <cellStyle name="Normal 68 2 4 3 2 2" xfId="27050"/>
    <cellStyle name="Normal 68 2 4 3 2 2 2" xfId="49295"/>
    <cellStyle name="Normal 68 2 4 3 2 3" xfId="47082"/>
    <cellStyle name="Normal 68 2 4 3 3" xfId="25415"/>
    <cellStyle name="Normal 68 2 4 3 3 2" xfId="27720"/>
    <cellStyle name="Normal 68 2 4 3 3 2 2" xfId="49965"/>
    <cellStyle name="Normal 68 2 4 3 3 3" xfId="47660"/>
    <cellStyle name="Normal 68 2 4 3 4" xfId="26377"/>
    <cellStyle name="Normal 68 2 4 3 4 2" xfId="48622"/>
    <cellStyle name="Normal 68 2 4 3 5" xfId="24173"/>
    <cellStyle name="Normal 68 2 4 3 5 2" xfId="46419"/>
    <cellStyle name="Normal 68 2 4 3 6" xfId="37268"/>
    <cellStyle name="Normal 68 2 4 4" xfId="24505"/>
    <cellStyle name="Normal 68 2 4 4 2" xfId="26718"/>
    <cellStyle name="Normal 68 2 4 4 2 2" xfId="48963"/>
    <cellStyle name="Normal 68 2 4 4 3" xfId="46750"/>
    <cellStyle name="Normal 68 2 4 5" xfId="25079"/>
    <cellStyle name="Normal 68 2 4 5 2" xfId="27384"/>
    <cellStyle name="Normal 68 2 4 5 2 2" xfId="49629"/>
    <cellStyle name="Normal 68 2 4 5 3" xfId="47324"/>
    <cellStyle name="Normal 68 2 4 6" xfId="26059"/>
    <cellStyle name="Normal 68 2 4 6 2" xfId="48304"/>
    <cellStyle name="Normal 68 2 4 7" xfId="23868"/>
    <cellStyle name="Normal 68 2 4 7 2" xfId="46114"/>
    <cellStyle name="Normal 68 2 4 8" xfId="30636"/>
    <cellStyle name="Normal 68 2 5" xfId="8794"/>
    <cellStyle name="Normal 68 2 5 2" xfId="15505"/>
    <cellStyle name="Normal 68 2 5 2 2" xfId="24879"/>
    <cellStyle name="Normal 68 2 5 2 2 2" xfId="27092"/>
    <cellStyle name="Normal 68 2 5 2 2 2 2" xfId="49337"/>
    <cellStyle name="Normal 68 2 5 2 2 3" xfId="47124"/>
    <cellStyle name="Normal 68 2 5 2 3" xfId="25457"/>
    <cellStyle name="Normal 68 2 5 2 3 2" xfId="27762"/>
    <cellStyle name="Normal 68 2 5 2 3 2 2" xfId="50007"/>
    <cellStyle name="Normal 68 2 5 2 3 3" xfId="47702"/>
    <cellStyle name="Normal 68 2 5 2 4" xfId="26419"/>
    <cellStyle name="Normal 68 2 5 2 4 2" xfId="48664"/>
    <cellStyle name="Normal 68 2 5 2 5" xfId="24215"/>
    <cellStyle name="Normal 68 2 5 2 5 2" xfId="46461"/>
    <cellStyle name="Normal 68 2 5 2 6" xfId="38926"/>
    <cellStyle name="Normal 68 2 5 3" xfId="24547"/>
    <cellStyle name="Normal 68 2 5 3 2" xfId="26760"/>
    <cellStyle name="Normal 68 2 5 3 2 2" xfId="49005"/>
    <cellStyle name="Normal 68 2 5 3 3" xfId="46792"/>
    <cellStyle name="Normal 68 2 5 4" xfId="25121"/>
    <cellStyle name="Normal 68 2 5 4 2" xfId="27426"/>
    <cellStyle name="Normal 68 2 5 4 2 2" xfId="49671"/>
    <cellStyle name="Normal 68 2 5 4 3" xfId="47366"/>
    <cellStyle name="Normal 68 2 5 5" xfId="26091"/>
    <cellStyle name="Normal 68 2 5 5 2" xfId="48336"/>
    <cellStyle name="Normal 68 2 5 6" xfId="23900"/>
    <cellStyle name="Normal 68 2 5 6 2" xfId="46146"/>
    <cellStyle name="Normal 68 2 5 7" xfId="32294"/>
    <cellStyle name="Normal 68 2 6" xfId="12187"/>
    <cellStyle name="Normal 68 2 6 2" xfId="24713"/>
    <cellStyle name="Normal 68 2 6 2 2" xfId="26926"/>
    <cellStyle name="Normal 68 2 6 2 2 2" xfId="49171"/>
    <cellStyle name="Normal 68 2 6 2 3" xfId="46958"/>
    <cellStyle name="Normal 68 2 6 3" xfId="25289"/>
    <cellStyle name="Normal 68 2 6 3 2" xfId="27594"/>
    <cellStyle name="Normal 68 2 6 3 2 2" xfId="49839"/>
    <cellStyle name="Normal 68 2 6 3 3" xfId="47534"/>
    <cellStyle name="Normal 68 2 6 4" xfId="26254"/>
    <cellStyle name="Normal 68 2 6 4 2" xfId="48499"/>
    <cellStyle name="Normal 68 2 6 5" xfId="24050"/>
    <cellStyle name="Normal 68 2 6 5 2" xfId="46296"/>
    <cellStyle name="Normal 68 2 6 6" xfId="35610"/>
    <cellStyle name="Normal 68 2 7" xfId="18825"/>
    <cellStyle name="Normal 68 2 7 2" xfId="26594"/>
    <cellStyle name="Normal 68 2 7 2 2" xfId="48839"/>
    <cellStyle name="Normal 68 2 7 3" xfId="24381"/>
    <cellStyle name="Normal 68 2 7 3 2" xfId="46626"/>
    <cellStyle name="Normal 68 2 8" xfId="23743"/>
    <cellStyle name="Normal 68 2 8 2" xfId="27258"/>
    <cellStyle name="Normal 68 2 8 2 2" xfId="49503"/>
    <cellStyle name="Normal 68 2 8 3" xfId="46032"/>
    <cellStyle name="Normal 68 2 9" xfId="25974"/>
    <cellStyle name="Normal 68 2 9 2" xfId="48219"/>
    <cellStyle name="Normal 68 3" xfId="4211"/>
    <cellStyle name="Normal 68 3 2" xfId="7130"/>
    <cellStyle name="Normal 68 3 2 2" xfId="10462"/>
    <cellStyle name="Normal 68 3 2 2 2" xfId="17166"/>
    <cellStyle name="Normal 68 3 2 2 2 2" xfId="27154"/>
    <cellStyle name="Normal 68 3 2 2 2 2 2" xfId="49399"/>
    <cellStyle name="Normal 68 3 2 2 2 3" xfId="24941"/>
    <cellStyle name="Normal 68 3 2 2 2 3 2" xfId="47186"/>
    <cellStyle name="Normal 68 3 2 2 2 4" xfId="40587"/>
    <cellStyle name="Normal 68 3 2 2 3" xfId="25520"/>
    <cellStyle name="Normal 68 3 2 2 3 2" xfId="27825"/>
    <cellStyle name="Normal 68 3 2 2 3 2 2" xfId="50070"/>
    <cellStyle name="Normal 68 3 2 2 3 3" xfId="47765"/>
    <cellStyle name="Normal 68 3 2 2 4" xfId="26480"/>
    <cellStyle name="Normal 68 3 2 2 4 2" xfId="48725"/>
    <cellStyle name="Normal 68 3 2 2 5" xfId="24276"/>
    <cellStyle name="Normal 68 3 2 2 5 2" xfId="46522"/>
    <cellStyle name="Normal 68 3 2 2 6" xfId="33955"/>
    <cellStyle name="Normal 68 3 2 3" xfId="13850"/>
    <cellStyle name="Normal 68 3 2 3 2" xfId="26822"/>
    <cellStyle name="Normal 68 3 2 3 2 2" xfId="49067"/>
    <cellStyle name="Normal 68 3 2 3 3" xfId="24609"/>
    <cellStyle name="Normal 68 3 2 3 3 2" xfId="46854"/>
    <cellStyle name="Normal 68 3 2 3 4" xfId="37271"/>
    <cellStyle name="Normal 68 3 2 4" xfId="25184"/>
    <cellStyle name="Normal 68 3 2 4 2" xfId="27489"/>
    <cellStyle name="Normal 68 3 2 4 2 2" xfId="49734"/>
    <cellStyle name="Normal 68 3 2 4 3" xfId="47429"/>
    <cellStyle name="Normal 68 3 2 5" xfId="26151"/>
    <cellStyle name="Normal 68 3 2 5 2" xfId="48396"/>
    <cellStyle name="Normal 68 3 2 6" xfId="23960"/>
    <cellStyle name="Normal 68 3 2 6 2" xfId="46206"/>
    <cellStyle name="Normal 68 3 2 7" xfId="30639"/>
    <cellStyle name="Normal 68 3 3" xfId="8797"/>
    <cellStyle name="Normal 68 3 3 2" xfId="15508"/>
    <cellStyle name="Normal 68 3 3 2 2" xfId="26988"/>
    <cellStyle name="Normal 68 3 3 2 2 2" xfId="49233"/>
    <cellStyle name="Normal 68 3 3 2 3" xfId="24775"/>
    <cellStyle name="Normal 68 3 3 2 3 2" xfId="47020"/>
    <cellStyle name="Normal 68 3 3 2 4" xfId="38929"/>
    <cellStyle name="Normal 68 3 3 3" xfId="25352"/>
    <cellStyle name="Normal 68 3 3 3 2" xfId="27657"/>
    <cellStyle name="Normal 68 3 3 3 2 2" xfId="49902"/>
    <cellStyle name="Normal 68 3 3 3 3" xfId="47597"/>
    <cellStyle name="Normal 68 3 3 4" xfId="26315"/>
    <cellStyle name="Normal 68 3 3 4 2" xfId="48560"/>
    <cellStyle name="Normal 68 3 3 5" xfId="24111"/>
    <cellStyle name="Normal 68 3 3 5 2" xfId="46357"/>
    <cellStyle name="Normal 68 3 3 6" xfId="32297"/>
    <cellStyle name="Normal 68 3 4" xfId="12190"/>
    <cellStyle name="Normal 68 3 4 2" xfId="26656"/>
    <cellStyle name="Normal 68 3 4 2 2" xfId="48901"/>
    <cellStyle name="Normal 68 3 4 3" xfId="24443"/>
    <cellStyle name="Normal 68 3 4 3 2" xfId="46688"/>
    <cellStyle name="Normal 68 3 4 4" xfId="35613"/>
    <cellStyle name="Normal 68 3 5" xfId="23746"/>
    <cellStyle name="Normal 68 3 5 2" xfId="27321"/>
    <cellStyle name="Normal 68 3 5 2 2" xfId="49566"/>
    <cellStyle name="Normal 68 3 5 3" xfId="46035"/>
    <cellStyle name="Normal 68 3 6" xfId="25977"/>
    <cellStyle name="Normal 68 3 6 2" xfId="48222"/>
    <cellStyle name="Normal 68 3 7" xfId="28981"/>
    <cellStyle name="Normal 68 4" xfId="4212"/>
    <cellStyle name="Normal 68 4 2" xfId="7131"/>
    <cellStyle name="Normal 68 4 2 2" xfId="10463"/>
    <cellStyle name="Normal 68 4 2 2 2" xfId="17167"/>
    <cellStyle name="Normal 68 4 2 2 2 2" xfId="27113"/>
    <cellStyle name="Normal 68 4 2 2 2 2 2" xfId="49358"/>
    <cellStyle name="Normal 68 4 2 2 2 3" xfId="24900"/>
    <cellStyle name="Normal 68 4 2 2 2 3 2" xfId="47145"/>
    <cellStyle name="Normal 68 4 2 2 2 4" xfId="40588"/>
    <cellStyle name="Normal 68 4 2 2 3" xfId="25478"/>
    <cellStyle name="Normal 68 4 2 2 3 2" xfId="27783"/>
    <cellStyle name="Normal 68 4 2 2 3 2 2" xfId="50028"/>
    <cellStyle name="Normal 68 4 2 2 3 3" xfId="47723"/>
    <cellStyle name="Normal 68 4 2 2 4" xfId="26440"/>
    <cellStyle name="Normal 68 4 2 2 4 2" xfId="48685"/>
    <cellStyle name="Normal 68 4 2 2 5" xfId="24236"/>
    <cellStyle name="Normal 68 4 2 2 5 2" xfId="46482"/>
    <cellStyle name="Normal 68 4 2 2 6" xfId="33956"/>
    <cellStyle name="Normal 68 4 2 3" xfId="13851"/>
    <cellStyle name="Normal 68 4 2 3 2" xfId="26781"/>
    <cellStyle name="Normal 68 4 2 3 2 2" xfId="49026"/>
    <cellStyle name="Normal 68 4 2 3 3" xfId="24568"/>
    <cellStyle name="Normal 68 4 2 3 3 2" xfId="46813"/>
    <cellStyle name="Normal 68 4 2 3 4" xfId="37272"/>
    <cellStyle name="Normal 68 4 2 4" xfId="25142"/>
    <cellStyle name="Normal 68 4 2 4 2" xfId="27447"/>
    <cellStyle name="Normal 68 4 2 4 2 2" xfId="49692"/>
    <cellStyle name="Normal 68 4 2 4 3" xfId="47387"/>
    <cellStyle name="Normal 68 4 2 5" xfId="26111"/>
    <cellStyle name="Normal 68 4 2 5 2" xfId="48356"/>
    <cellStyle name="Normal 68 4 2 6" xfId="23920"/>
    <cellStyle name="Normal 68 4 2 6 2" xfId="46166"/>
    <cellStyle name="Normal 68 4 2 7" xfId="30640"/>
    <cellStyle name="Normal 68 4 3" xfId="8798"/>
    <cellStyle name="Normal 68 4 3 2" xfId="15509"/>
    <cellStyle name="Normal 68 4 3 2 2" xfId="26947"/>
    <cellStyle name="Normal 68 4 3 2 2 2" xfId="49192"/>
    <cellStyle name="Normal 68 4 3 2 3" xfId="24734"/>
    <cellStyle name="Normal 68 4 3 2 3 2" xfId="46979"/>
    <cellStyle name="Normal 68 4 3 2 4" xfId="38930"/>
    <cellStyle name="Normal 68 4 3 3" xfId="25310"/>
    <cellStyle name="Normal 68 4 3 3 2" xfId="27615"/>
    <cellStyle name="Normal 68 4 3 3 2 2" xfId="49860"/>
    <cellStyle name="Normal 68 4 3 3 3" xfId="47555"/>
    <cellStyle name="Normal 68 4 3 4" xfId="26275"/>
    <cellStyle name="Normal 68 4 3 4 2" xfId="48520"/>
    <cellStyle name="Normal 68 4 3 5" xfId="24071"/>
    <cellStyle name="Normal 68 4 3 5 2" xfId="46317"/>
    <cellStyle name="Normal 68 4 3 6" xfId="32298"/>
    <cellStyle name="Normal 68 4 4" xfId="12191"/>
    <cellStyle name="Normal 68 4 4 2" xfId="26615"/>
    <cellStyle name="Normal 68 4 4 2 2" xfId="48860"/>
    <cellStyle name="Normal 68 4 4 3" xfId="24402"/>
    <cellStyle name="Normal 68 4 4 3 2" xfId="46647"/>
    <cellStyle name="Normal 68 4 4 4" xfId="35614"/>
    <cellStyle name="Normal 68 4 5" xfId="23747"/>
    <cellStyle name="Normal 68 4 5 2" xfId="27279"/>
    <cellStyle name="Normal 68 4 5 2 2" xfId="49524"/>
    <cellStyle name="Normal 68 4 5 3" xfId="46036"/>
    <cellStyle name="Normal 68 4 6" xfId="25978"/>
    <cellStyle name="Normal 68 4 6 2" xfId="48223"/>
    <cellStyle name="Normal 68 4 7" xfId="28982"/>
    <cellStyle name="Normal 68 5" xfId="4213"/>
    <cellStyle name="Normal 68 5 2" xfId="7132"/>
    <cellStyle name="Normal 68 5 2 2" xfId="10464"/>
    <cellStyle name="Normal 68 5 2 2 2" xfId="17168"/>
    <cellStyle name="Normal 68 5 2 2 2 2" xfId="27195"/>
    <cellStyle name="Normal 68 5 2 2 2 2 2" xfId="49440"/>
    <cellStyle name="Normal 68 5 2 2 2 3" xfId="24982"/>
    <cellStyle name="Normal 68 5 2 2 2 3 2" xfId="47227"/>
    <cellStyle name="Normal 68 5 2 2 2 4" xfId="40589"/>
    <cellStyle name="Normal 68 5 2 2 3" xfId="25562"/>
    <cellStyle name="Normal 68 5 2 2 3 2" xfId="27867"/>
    <cellStyle name="Normal 68 5 2 2 3 2 2" xfId="50112"/>
    <cellStyle name="Normal 68 5 2 2 3 3" xfId="47807"/>
    <cellStyle name="Normal 68 5 2 2 4" xfId="26521"/>
    <cellStyle name="Normal 68 5 2 2 4 2" xfId="48766"/>
    <cellStyle name="Normal 68 5 2 2 5" xfId="24317"/>
    <cellStyle name="Normal 68 5 2 2 5 2" xfId="46563"/>
    <cellStyle name="Normal 68 5 2 2 6" xfId="33957"/>
    <cellStyle name="Normal 68 5 2 3" xfId="13852"/>
    <cellStyle name="Normal 68 5 2 3 2" xfId="26863"/>
    <cellStyle name="Normal 68 5 2 3 2 2" xfId="49108"/>
    <cellStyle name="Normal 68 5 2 3 3" xfId="24650"/>
    <cellStyle name="Normal 68 5 2 3 3 2" xfId="46895"/>
    <cellStyle name="Normal 68 5 2 3 4" xfId="37273"/>
    <cellStyle name="Normal 68 5 2 4" xfId="25226"/>
    <cellStyle name="Normal 68 5 2 4 2" xfId="27531"/>
    <cellStyle name="Normal 68 5 2 4 2 2" xfId="49776"/>
    <cellStyle name="Normal 68 5 2 4 3" xfId="47471"/>
    <cellStyle name="Normal 68 5 2 5" xfId="26192"/>
    <cellStyle name="Normal 68 5 2 5 2" xfId="48437"/>
    <cellStyle name="Normal 68 5 2 6" xfId="24001"/>
    <cellStyle name="Normal 68 5 2 6 2" xfId="46247"/>
    <cellStyle name="Normal 68 5 2 7" xfId="30641"/>
    <cellStyle name="Normal 68 5 3" xfId="8799"/>
    <cellStyle name="Normal 68 5 3 2" xfId="15510"/>
    <cellStyle name="Normal 68 5 3 2 2" xfId="27029"/>
    <cellStyle name="Normal 68 5 3 2 2 2" xfId="49274"/>
    <cellStyle name="Normal 68 5 3 2 3" xfId="24816"/>
    <cellStyle name="Normal 68 5 3 2 3 2" xfId="47061"/>
    <cellStyle name="Normal 68 5 3 2 4" xfId="38931"/>
    <cellStyle name="Normal 68 5 3 3" xfId="25394"/>
    <cellStyle name="Normal 68 5 3 3 2" xfId="27699"/>
    <cellStyle name="Normal 68 5 3 3 2 2" xfId="49944"/>
    <cellStyle name="Normal 68 5 3 3 3" xfId="47639"/>
    <cellStyle name="Normal 68 5 3 4" xfId="26356"/>
    <cellStyle name="Normal 68 5 3 4 2" xfId="48601"/>
    <cellStyle name="Normal 68 5 3 5" xfId="24152"/>
    <cellStyle name="Normal 68 5 3 5 2" xfId="46398"/>
    <cellStyle name="Normal 68 5 3 6" xfId="32299"/>
    <cellStyle name="Normal 68 5 4" xfId="12192"/>
    <cellStyle name="Normal 68 5 4 2" xfId="26697"/>
    <cellStyle name="Normal 68 5 4 2 2" xfId="48942"/>
    <cellStyle name="Normal 68 5 4 3" xfId="24484"/>
    <cellStyle name="Normal 68 5 4 3 2" xfId="46729"/>
    <cellStyle name="Normal 68 5 4 4" xfId="35615"/>
    <cellStyle name="Normal 68 5 5" xfId="23748"/>
    <cellStyle name="Normal 68 5 5 2" xfId="27363"/>
    <cellStyle name="Normal 68 5 5 2 2" xfId="49608"/>
    <cellStyle name="Normal 68 5 5 3" xfId="46037"/>
    <cellStyle name="Normal 68 5 6" xfId="25979"/>
    <cellStyle name="Normal 68 5 6 2" xfId="48224"/>
    <cellStyle name="Normal 68 5 7" xfId="28983"/>
    <cellStyle name="Normal 68 6" xfId="23882"/>
    <cellStyle name="Normal 68 6 2" xfId="24194"/>
    <cellStyle name="Normal 68 6 2 2" xfId="24858"/>
    <cellStyle name="Normal 68 6 2 2 2" xfId="27071"/>
    <cellStyle name="Normal 68 6 2 2 2 2" xfId="49316"/>
    <cellStyle name="Normal 68 6 2 2 3" xfId="47103"/>
    <cellStyle name="Normal 68 6 2 3" xfId="25436"/>
    <cellStyle name="Normal 68 6 2 3 2" xfId="27741"/>
    <cellStyle name="Normal 68 6 2 3 2 2" xfId="49986"/>
    <cellStyle name="Normal 68 6 2 3 3" xfId="47681"/>
    <cellStyle name="Normal 68 6 2 4" xfId="26398"/>
    <cellStyle name="Normal 68 6 2 4 2" xfId="48643"/>
    <cellStyle name="Normal 68 6 2 5" xfId="46440"/>
    <cellStyle name="Normal 68 6 3" xfId="24526"/>
    <cellStyle name="Normal 68 6 3 2" xfId="26739"/>
    <cellStyle name="Normal 68 6 3 2 2" xfId="48984"/>
    <cellStyle name="Normal 68 6 3 3" xfId="46771"/>
    <cellStyle name="Normal 68 6 4" xfId="25100"/>
    <cellStyle name="Normal 68 6 4 2" xfId="27405"/>
    <cellStyle name="Normal 68 6 4 2 2" xfId="49650"/>
    <cellStyle name="Normal 68 6 4 3" xfId="47345"/>
    <cellStyle name="Normal 68 6 5" xfId="26073"/>
    <cellStyle name="Normal 68 6 5 2" xfId="48318"/>
    <cellStyle name="Normal 68 6 6" xfId="46128"/>
    <cellStyle name="Normal 68 7" xfId="24031"/>
    <cellStyle name="Normal 68 7 2" xfId="24692"/>
    <cellStyle name="Normal 68 7 2 2" xfId="26905"/>
    <cellStyle name="Normal 68 7 2 2 2" xfId="49150"/>
    <cellStyle name="Normal 68 7 2 3" xfId="46937"/>
    <cellStyle name="Normal 68 7 3" xfId="25268"/>
    <cellStyle name="Normal 68 7 3 2" xfId="27573"/>
    <cellStyle name="Normal 68 7 3 2 2" xfId="49818"/>
    <cellStyle name="Normal 68 7 3 3" xfId="47513"/>
    <cellStyle name="Normal 68 7 4" xfId="26233"/>
    <cellStyle name="Normal 68 7 4 2" xfId="48478"/>
    <cellStyle name="Normal 68 7 5" xfId="46277"/>
    <cellStyle name="Normal 68 8" xfId="24370"/>
    <cellStyle name="Normal 68 8 2" xfId="26573"/>
    <cellStyle name="Normal 68 8 2 2" xfId="48818"/>
    <cellStyle name="Normal 68 8 3" xfId="46615"/>
    <cellStyle name="Normal 68 9" xfId="25024"/>
    <cellStyle name="Normal 68 9 2" xfId="27237"/>
    <cellStyle name="Normal 68 9 2 2" xfId="49482"/>
    <cellStyle name="Normal 68 9 3" xfId="47269"/>
    <cellStyle name="Normal 69" xfId="792"/>
    <cellStyle name="Normal 69 2" xfId="4214"/>
    <cellStyle name="Normal 69 2 2" xfId="18826"/>
    <cellStyle name="Normal 69 3" xfId="4215"/>
    <cellStyle name="Normal 69 4" xfId="4216"/>
    <cellStyle name="Normal 7" xfId="516"/>
    <cellStyle name="Normal 7 2" xfId="517"/>
    <cellStyle name="Normal 7 2 2" xfId="879"/>
    <cellStyle name="Normal 7 2 2 2" xfId="4218"/>
    <cellStyle name="Normal 7 2 2 2 2" xfId="18828"/>
    <cellStyle name="Normal 7 2 2 3" xfId="4219"/>
    <cellStyle name="Normal 7 2 2 4" xfId="4217"/>
    <cellStyle name="Normal 7 2 3" xfId="4220"/>
    <cellStyle name="Normal 7 3" xfId="518"/>
    <cellStyle name="Normal 7 3 2" xfId="4222"/>
    <cellStyle name="Normal 7 3 3" xfId="4223"/>
    <cellStyle name="Normal 7 3 4" xfId="4221"/>
    <cellStyle name="Normal 7 3 5" xfId="23271"/>
    <cellStyle name="Normal 7 4" xfId="1638"/>
    <cellStyle name="Normal 7 4 2" xfId="4224"/>
    <cellStyle name="Normal 7 5" xfId="4225"/>
    <cellStyle name="Normal 7 5 2" xfId="18827"/>
    <cellStyle name="Normal 70" xfId="793"/>
    <cellStyle name="Normal 70 2" xfId="4226"/>
    <cellStyle name="Normal 70 3" xfId="4227"/>
    <cellStyle name="Normal 71" xfId="794"/>
    <cellStyle name="Normal 71 2" xfId="4228"/>
    <cellStyle name="Normal 71 3" xfId="4229"/>
    <cellStyle name="Normal 72" xfId="798"/>
    <cellStyle name="Normal 72 2" xfId="958"/>
    <cellStyle name="Normal 72 2 2" xfId="4231"/>
    <cellStyle name="Normal 72 2 3" xfId="4230"/>
    <cellStyle name="Normal 72 3" xfId="4232"/>
    <cellStyle name="Normal 72 4" xfId="4233"/>
    <cellStyle name="Normal 73" xfId="795"/>
    <cellStyle name="Normal 73 2" xfId="959"/>
    <cellStyle name="Normal 73 2 2" xfId="4235"/>
    <cellStyle name="Normal 73 2 3" xfId="4234"/>
    <cellStyle name="Normal 73 3" xfId="4236"/>
    <cellStyle name="Normal 73 4" xfId="4237"/>
    <cellStyle name="Normal 74" xfId="797"/>
    <cellStyle name="Normal 74 2" xfId="961"/>
    <cellStyle name="Normal 74 2 2" xfId="4239"/>
    <cellStyle name="Normal 74 2 3" xfId="4240"/>
    <cellStyle name="Normal 74 2 4" xfId="4238"/>
    <cellStyle name="Normal 74 3" xfId="4241"/>
    <cellStyle name="Normal 74 3 2" xfId="4242"/>
    <cellStyle name="Normal 74 3 3" xfId="5122"/>
    <cellStyle name="Normal 74 4" xfId="4243"/>
    <cellStyle name="Normal 75" xfId="796"/>
    <cellStyle name="Normal 75 2" xfId="963"/>
    <cellStyle name="Normal 75 2 2" xfId="4245"/>
    <cellStyle name="Normal 75 2 3" xfId="4244"/>
    <cellStyle name="Normal 75 3" xfId="18829"/>
    <cellStyle name="Normal 76" xfId="801"/>
    <cellStyle name="Normal 76 2" xfId="965"/>
    <cellStyle name="Normal 76 2 2" xfId="4247"/>
    <cellStyle name="Normal 76 2 3" xfId="4246"/>
    <cellStyle name="Normal 76 3" xfId="18830"/>
    <cellStyle name="Normal 77" xfId="806"/>
    <cellStyle name="Normal 77 2" xfId="18831"/>
    <cellStyle name="Normal 78" xfId="947"/>
    <cellStyle name="Normal 78 2" xfId="18832"/>
    <cellStyle name="Normal 79" xfId="1006"/>
    <cellStyle name="Normal 79 2" xfId="18833"/>
    <cellStyle name="Normal 8" xfId="519"/>
    <cellStyle name="Normal 8 2" xfId="520"/>
    <cellStyle name="Normal 8 2 2" xfId="880"/>
    <cellStyle name="Normal 8 2 2 2" xfId="4248"/>
    <cellStyle name="Normal 8 2 2 2 2" xfId="18835"/>
    <cellStyle name="Normal 8 2 3" xfId="18834"/>
    <cellStyle name="Normal 8 3" xfId="521"/>
    <cellStyle name="Normal 8 3 2" xfId="4250"/>
    <cellStyle name="Normal 8 3 3" xfId="4251"/>
    <cellStyle name="Normal 8 3 4" xfId="5123"/>
    <cellStyle name="Normal 8 3 5" xfId="4249"/>
    <cellStyle name="Normal 8 4" xfId="4252"/>
    <cellStyle name="Normal 8 4 2" xfId="4253"/>
    <cellStyle name="Normal 8 5" xfId="4254"/>
    <cellStyle name="Normal 80" xfId="892"/>
    <cellStyle name="Normal 80 2" xfId="18836"/>
    <cellStyle name="Normal 81" xfId="1005"/>
    <cellStyle name="Normal 81 2" xfId="18837"/>
    <cellStyle name="Normal 82" xfId="1010"/>
    <cellStyle name="Normal 82 2" xfId="18838"/>
    <cellStyle name="Normal 83" xfId="1007"/>
    <cellStyle name="Normal 83 2" xfId="18839"/>
    <cellStyle name="Normal 84" xfId="1011"/>
    <cellStyle name="Normal 84 2" xfId="18840"/>
    <cellStyle name="Normal 85" xfId="1012"/>
    <cellStyle name="Normal 85 2" xfId="18841"/>
    <cellStyle name="Normal 86" xfId="1013"/>
    <cellStyle name="Normal 86 10" xfId="7740"/>
    <cellStyle name="Normal 86 10 2" xfId="14455"/>
    <cellStyle name="Normal 86 10 2 2" xfId="37876"/>
    <cellStyle name="Normal 86 10 3" xfId="20465"/>
    <cellStyle name="Normal 86 10 3 2" xfId="42918"/>
    <cellStyle name="Normal 86 10 4" xfId="31244"/>
    <cellStyle name="Normal 86 11" xfId="11137"/>
    <cellStyle name="Normal 86 11 2" xfId="20994"/>
    <cellStyle name="Normal 86 11 2 2" xfId="43445"/>
    <cellStyle name="Normal 86 11 3" xfId="34560"/>
    <cellStyle name="Normal 86 12" xfId="18116"/>
    <cellStyle name="Normal 86 12 2" xfId="41401"/>
    <cellStyle name="Normal 86 13" xfId="27928"/>
    <cellStyle name="Normal 86 2" xfId="1021"/>
    <cellStyle name="Normal 86 2 2" xfId="18843"/>
    <cellStyle name="Normal 86 3" xfId="1416"/>
    <cellStyle name="Normal 86 3 10" xfId="11165"/>
    <cellStyle name="Normal 86 3 10 2" xfId="21723"/>
    <cellStyle name="Normal 86 3 10 2 2" xfId="44172"/>
    <cellStyle name="Normal 86 3 10 3" xfId="34588"/>
    <cellStyle name="Normal 86 3 11" xfId="18117"/>
    <cellStyle name="Normal 86 3 11 2" xfId="41402"/>
    <cellStyle name="Normal 86 3 12" xfId="23749"/>
    <cellStyle name="Normal 86 3 12 2" xfId="46038"/>
    <cellStyle name="Normal 86 3 13" xfId="27956"/>
    <cellStyle name="Normal 86 3 2" xfId="1456"/>
    <cellStyle name="Normal 86 3 2 10" xfId="18118"/>
    <cellStyle name="Normal 86 3 2 10 2" xfId="41403"/>
    <cellStyle name="Normal 86 3 2 11" xfId="23750"/>
    <cellStyle name="Normal 86 3 2 11 2" xfId="46039"/>
    <cellStyle name="Normal 86 3 2 12" xfId="27992"/>
    <cellStyle name="Normal 86 3 2 2" xfId="1642"/>
    <cellStyle name="Normal 86 3 2 2 10" xfId="23751"/>
    <cellStyle name="Normal 86 3 2 2 10 2" xfId="46040"/>
    <cellStyle name="Normal 86 3 2 2 11" xfId="28056"/>
    <cellStyle name="Normal 86 3 2 2 2" xfId="1835"/>
    <cellStyle name="Normal 86 3 2 2 2 10" xfId="28187"/>
    <cellStyle name="Normal 86 3 2 2 2 2" xfId="2378"/>
    <cellStyle name="Normal 86 3 2 2 2 2 2" xfId="5612"/>
    <cellStyle name="Normal 86 3 2 2 2 2 2 2" xfId="7434"/>
    <cellStyle name="Normal 86 3 2 2 2 2 2 2 2" xfId="10765"/>
    <cellStyle name="Normal 86 3 2 2 2 2 2 2 2 2" xfId="17469"/>
    <cellStyle name="Normal 86 3 2 2 2 2 2 2 2 2 2" xfId="40890"/>
    <cellStyle name="Normal 86 3 2 2 2 2 2 2 2 3" xfId="23187"/>
    <cellStyle name="Normal 86 3 2 2 2 2 2 2 2 3 2" xfId="45609"/>
    <cellStyle name="Normal 86 3 2 2 2 2 2 2 2 4" xfId="34258"/>
    <cellStyle name="Normal 86 3 2 2 2 2 2 2 3" xfId="14153"/>
    <cellStyle name="Normal 86 3 2 2 2 2 2 2 3 2" xfId="37574"/>
    <cellStyle name="Normal 86 3 2 2 2 2 2 2 4" xfId="20362"/>
    <cellStyle name="Normal 86 3 2 2 2 2 2 2 4 2" xfId="42897"/>
    <cellStyle name="Normal 86 3 2 2 2 2 2 2 5" xfId="30942"/>
    <cellStyle name="Normal 86 3 2 2 2 2 2 3" xfId="9107"/>
    <cellStyle name="Normal 86 3 2 2 2 2 2 3 2" xfId="15811"/>
    <cellStyle name="Normal 86 3 2 2 2 2 2 3 2 2" xfId="39232"/>
    <cellStyle name="Normal 86 3 2 2 2 2 2 3 3" xfId="21458"/>
    <cellStyle name="Normal 86 3 2 2 2 2 2 3 3 2" xfId="43909"/>
    <cellStyle name="Normal 86 3 2 2 2 2 2 3 4" xfId="32600"/>
    <cellStyle name="Normal 86 3 2 2 2 2 2 4" xfId="12495"/>
    <cellStyle name="Normal 86 3 2 2 2 2 2 4 2" xfId="22375"/>
    <cellStyle name="Normal 86 3 2 2 2 2 2 4 2 2" xfId="44797"/>
    <cellStyle name="Normal 86 3 2 2 2 2 2 4 3" xfId="35916"/>
    <cellStyle name="Normal 86 3 2 2 2 2 2 5" xfId="19523"/>
    <cellStyle name="Normal 86 3 2 2 2 2 2 5 2" xfId="42065"/>
    <cellStyle name="Normal 86 3 2 2 2 2 2 6" xfId="29284"/>
    <cellStyle name="Normal 86 3 2 2 2 2 3" xfId="6534"/>
    <cellStyle name="Normal 86 3 2 2 2 2 3 2" xfId="9868"/>
    <cellStyle name="Normal 86 3 2 2 2 2 3 2 2" xfId="16572"/>
    <cellStyle name="Normal 86 3 2 2 2 2 3 2 2 2" xfId="39993"/>
    <cellStyle name="Normal 86 3 2 2 2 2 3 2 3" xfId="22782"/>
    <cellStyle name="Normal 86 3 2 2 2 2 3 2 3 2" xfId="45204"/>
    <cellStyle name="Normal 86 3 2 2 2 2 3 2 4" xfId="33361"/>
    <cellStyle name="Normal 86 3 2 2 2 2 3 3" xfId="13256"/>
    <cellStyle name="Normal 86 3 2 2 2 2 3 3 2" xfId="36677"/>
    <cellStyle name="Normal 86 3 2 2 2 2 3 4" xfId="19946"/>
    <cellStyle name="Normal 86 3 2 2 2 2 3 4 2" xfId="42481"/>
    <cellStyle name="Normal 86 3 2 2 2 2 3 5" xfId="30045"/>
    <cellStyle name="Normal 86 3 2 2 2 2 4" xfId="8201"/>
    <cellStyle name="Normal 86 3 2 2 2 2 4 2" xfId="14914"/>
    <cellStyle name="Normal 86 3 2 2 2 2 4 2 2" xfId="38335"/>
    <cellStyle name="Normal 86 3 2 2 2 2 4 3" xfId="20999"/>
    <cellStyle name="Normal 86 3 2 2 2 2 4 3 2" xfId="43450"/>
    <cellStyle name="Normal 86 3 2 2 2 2 4 4" xfId="31703"/>
    <cellStyle name="Normal 86 3 2 2 2 2 5" xfId="11596"/>
    <cellStyle name="Normal 86 3 2 2 2 2 5 2" xfId="21951"/>
    <cellStyle name="Normal 86 3 2 2 2 2 5 2 2" xfId="44383"/>
    <cellStyle name="Normal 86 3 2 2 2 2 5 3" xfId="35019"/>
    <cellStyle name="Normal 86 3 2 2 2 2 6" xfId="18847"/>
    <cellStyle name="Normal 86 3 2 2 2 2 6 2" xfId="41640"/>
    <cellStyle name="Normal 86 3 2 2 2 2 7" xfId="25983"/>
    <cellStyle name="Normal 86 3 2 2 2 2 7 2" xfId="48228"/>
    <cellStyle name="Normal 86 3 2 2 2 2 8" xfId="28387"/>
    <cellStyle name="Normal 86 3 2 2 2 3" xfId="2832"/>
    <cellStyle name="Normal 86 3 2 2 2 3 2" xfId="5924"/>
    <cellStyle name="Normal 86 3 2 2 2 3 2 2" xfId="7706"/>
    <cellStyle name="Normal 86 3 2 2 2 3 2 2 2" xfId="11035"/>
    <cellStyle name="Normal 86 3 2 2 2 3 2 2 2 2" xfId="17739"/>
    <cellStyle name="Normal 86 3 2 2 2 3 2 2 2 2 2" xfId="41160"/>
    <cellStyle name="Normal 86 3 2 2 2 3 2 2 2 3" xfId="34528"/>
    <cellStyle name="Normal 86 3 2 2 2 3 2 2 3" xfId="14423"/>
    <cellStyle name="Normal 86 3 2 2 2 3 2 2 3 2" xfId="37844"/>
    <cellStyle name="Normal 86 3 2 2 2 3 2 2 4" xfId="22982"/>
    <cellStyle name="Normal 86 3 2 2 2 3 2 2 4 2" xfId="45404"/>
    <cellStyle name="Normal 86 3 2 2 2 3 2 2 5" xfId="31212"/>
    <cellStyle name="Normal 86 3 2 2 2 3 2 3" xfId="9377"/>
    <cellStyle name="Normal 86 3 2 2 2 3 2 3 2" xfId="16081"/>
    <cellStyle name="Normal 86 3 2 2 2 3 2 3 2 2" xfId="39502"/>
    <cellStyle name="Normal 86 3 2 2 2 3 2 3 3" xfId="32870"/>
    <cellStyle name="Normal 86 3 2 2 2 3 2 4" xfId="12765"/>
    <cellStyle name="Normal 86 3 2 2 2 3 2 4 2" xfId="36186"/>
    <cellStyle name="Normal 86 3 2 2 2 3 2 5" xfId="20154"/>
    <cellStyle name="Normal 86 3 2 2 2 3 2 5 2" xfId="42689"/>
    <cellStyle name="Normal 86 3 2 2 2 3 2 6" xfId="29554"/>
    <cellStyle name="Normal 86 3 2 2 2 3 3" xfId="6807"/>
    <cellStyle name="Normal 86 3 2 2 2 3 3 2" xfId="10139"/>
    <cellStyle name="Normal 86 3 2 2 2 3 3 2 2" xfId="16843"/>
    <cellStyle name="Normal 86 3 2 2 2 3 3 2 2 2" xfId="40264"/>
    <cellStyle name="Normal 86 3 2 2 2 3 3 2 3" xfId="33632"/>
    <cellStyle name="Normal 86 3 2 2 2 3 3 3" xfId="13527"/>
    <cellStyle name="Normal 86 3 2 2 2 3 3 3 2" xfId="36948"/>
    <cellStyle name="Normal 86 3 2 2 2 3 3 4" xfId="21457"/>
    <cellStyle name="Normal 86 3 2 2 2 3 3 4 2" xfId="43908"/>
    <cellStyle name="Normal 86 3 2 2 2 3 3 5" xfId="30316"/>
    <cellStyle name="Normal 86 3 2 2 2 3 4" xfId="8473"/>
    <cellStyle name="Normal 86 3 2 2 2 3 4 2" xfId="15185"/>
    <cellStyle name="Normal 86 3 2 2 2 3 4 2 2" xfId="38606"/>
    <cellStyle name="Normal 86 3 2 2 2 3 4 3" xfId="22165"/>
    <cellStyle name="Normal 86 3 2 2 2 3 4 3 2" xfId="44589"/>
    <cellStyle name="Normal 86 3 2 2 2 3 4 4" xfId="31974"/>
    <cellStyle name="Normal 86 3 2 2 2 3 5" xfId="11867"/>
    <cellStyle name="Normal 86 3 2 2 2 3 5 2" xfId="35290"/>
    <cellStyle name="Normal 86 3 2 2 2 3 6" xfId="19304"/>
    <cellStyle name="Normal 86 3 2 2 2 3 6 2" xfId="41857"/>
    <cellStyle name="Normal 86 3 2 2 2 3 7" xfId="28658"/>
    <cellStyle name="Normal 86 3 2 2 2 4" xfId="4258"/>
    <cellStyle name="Normal 86 3 2 2 2 4 2" xfId="7136"/>
    <cellStyle name="Normal 86 3 2 2 2 4 2 2" xfId="10468"/>
    <cellStyle name="Normal 86 3 2 2 2 4 2 2 2" xfId="17172"/>
    <cellStyle name="Normal 86 3 2 2 2 4 2 2 2 2" xfId="40593"/>
    <cellStyle name="Normal 86 3 2 2 2 4 2 2 3" xfId="33961"/>
    <cellStyle name="Normal 86 3 2 2 2 4 2 3" xfId="13856"/>
    <cellStyle name="Normal 86 3 2 2 2 4 2 3 2" xfId="37277"/>
    <cellStyle name="Normal 86 3 2 2 2 4 2 4" xfId="22576"/>
    <cellStyle name="Normal 86 3 2 2 2 4 2 4 2" xfId="44998"/>
    <cellStyle name="Normal 86 3 2 2 2 4 2 5" xfId="30645"/>
    <cellStyle name="Normal 86 3 2 2 2 4 3" xfId="8803"/>
    <cellStyle name="Normal 86 3 2 2 2 4 3 2" xfId="15514"/>
    <cellStyle name="Normal 86 3 2 2 2 4 3 2 2" xfId="38935"/>
    <cellStyle name="Normal 86 3 2 2 2 4 3 3" xfId="32303"/>
    <cellStyle name="Normal 86 3 2 2 2 4 4" xfId="12196"/>
    <cellStyle name="Normal 86 3 2 2 2 4 4 2" xfId="35619"/>
    <cellStyle name="Normal 86 3 2 2 2 4 5" xfId="19736"/>
    <cellStyle name="Normal 86 3 2 2 2 4 5 2" xfId="42273"/>
    <cellStyle name="Normal 86 3 2 2 2 4 6" xfId="28987"/>
    <cellStyle name="Normal 86 3 2 2 2 5" xfId="6334"/>
    <cellStyle name="Normal 86 3 2 2 2 5 2" xfId="9668"/>
    <cellStyle name="Normal 86 3 2 2 2 5 2 2" xfId="16372"/>
    <cellStyle name="Normal 86 3 2 2 2 5 2 2 2" xfId="39793"/>
    <cellStyle name="Normal 86 3 2 2 2 5 2 3" xfId="33161"/>
    <cellStyle name="Normal 86 3 2 2 2 5 3" xfId="13056"/>
    <cellStyle name="Normal 86 3 2 2 2 5 3 2" xfId="36477"/>
    <cellStyle name="Normal 86 3 2 2 2 5 4" xfId="20998"/>
    <cellStyle name="Normal 86 3 2 2 2 5 4 2" xfId="43449"/>
    <cellStyle name="Normal 86 3 2 2 2 5 5" xfId="29845"/>
    <cellStyle name="Normal 86 3 2 2 2 6" xfId="8000"/>
    <cellStyle name="Normal 86 3 2 2 2 6 2" xfId="14714"/>
    <cellStyle name="Normal 86 3 2 2 2 6 2 2" xfId="38135"/>
    <cellStyle name="Normal 86 3 2 2 2 6 3" xfId="21726"/>
    <cellStyle name="Normal 86 3 2 2 2 6 3 2" xfId="44175"/>
    <cellStyle name="Normal 86 3 2 2 2 6 4" xfId="31503"/>
    <cellStyle name="Normal 86 3 2 2 2 7" xfId="11396"/>
    <cellStyle name="Normal 86 3 2 2 2 7 2" xfId="34819"/>
    <cellStyle name="Normal 86 3 2 2 2 8" xfId="18120"/>
    <cellStyle name="Normal 86 3 2 2 2 8 2" xfId="41405"/>
    <cellStyle name="Normal 86 3 2 2 2 9" xfId="23752"/>
    <cellStyle name="Normal 86 3 2 2 2 9 2" xfId="46041"/>
    <cellStyle name="Normal 86 3 2 2 3" xfId="2377"/>
    <cellStyle name="Normal 86 3 2 2 3 2" xfId="5611"/>
    <cellStyle name="Normal 86 3 2 2 3 2 2" xfId="7433"/>
    <cellStyle name="Normal 86 3 2 2 3 2 2 2" xfId="10764"/>
    <cellStyle name="Normal 86 3 2 2 3 2 2 2 2" xfId="17468"/>
    <cellStyle name="Normal 86 3 2 2 3 2 2 2 2 2" xfId="40889"/>
    <cellStyle name="Normal 86 3 2 2 3 2 2 2 3" xfId="23186"/>
    <cellStyle name="Normal 86 3 2 2 3 2 2 2 3 2" xfId="45608"/>
    <cellStyle name="Normal 86 3 2 2 3 2 2 2 4" xfId="34257"/>
    <cellStyle name="Normal 86 3 2 2 3 2 2 3" xfId="14152"/>
    <cellStyle name="Normal 86 3 2 2 3 2 2 3 2" xfId="37573"/>
    <cellStyle name="Normal 86 3 2 2 3 2 2 4" xfId="20361"/>
    <cellStyle name="Normal 86 3 2 2 3 2 2 4 2" xfId="42896"/>
    <cellStyle name="Normal 86 3 2 2 3 2 2 5" xfId="30941"/>
    <cellStyle name="Normal 86 3 2 2 3 2 3" xfId="9106"/>
    <cellStyle name="Normal 86 3 2 2 3 2 3 2" xfId="15810"/>
    <cellStyle name="Normal 86 3 2 2 3 2 3 2 2" xfId="39231"/>
    <cellStyle name="Normal 86 3 2 2 3 2 3 3" xfId="21459"/>
    <cellStyle name="Normal 86 3 2 2 3 2 3 3 2" xfId="43910"/>
    <cellStyle name="Normal 86 3 2 2 3 2 3 4" xfId="32599"/>
    <cellStyle name="Normal 86 3 2 2 3 2 4" xfId="12494"/>
    <cellStyle name="Normal 86 3 2 2 3 2 4 2" xfId="22374"/>
    <cellStyle name="Normal 86 3 2 2 3 2 4 2 2" xfId="44796"/>
    <cellStyle name="Normal 86 3 2 2 3 2 4 3" xfId="35915"/>
    <cellStyle name="Normal 86 3 2 2 3 2 5" xfId="19522"/>
    <cellStyle name="Normal 86 3 2 2 3 2 5 2" xfId="42064"/>
    <cellStyle name="Normal 86 3 2 2 3 2 6" xfId="29283"/>
    <cellStyle name="Normal 86 3 2 2 3 3" xfId="6533"/>
    <cellStyle name="Normal 86 3 2 2 3 3 2" xfId="9867"/>
    <cellStyle name="Normal 86 3 2 2 3 3 2 2" xfId="16571"/>
    <cellStyle name="Normal 86 3 2 2 3 3 2 2 2" xfId="39992"/>
    <cellStyle name="Normal 86 3 2 2 3 3 2 3" xfId="22781"/>
    <cellStyle name="Normal 86 3 2 2 3 3 2 3 2" xfId="45203"/>
    <cellStyle name="Normal 86 3 2 2 3 3 2 4" xfId="33360"/>
    <cellStyle name="Normal 86 3 2 2 3 3 3" xfId="13255"/>
    <cellStyle name="Normal 86 3 2 2 3 3 3 2" xfId="36676"/>
    <cellStyle name="Normal 86 3 2 2 3 3 4" xfId="19945"/>
    <cellStyle name="Normal 86 3 2 2 3 3 4 2" xfId="42480"/>
    <cellStyle name="Normal 86 3 2 2 3 3 5" xfId="30044"/>
    <cellStyle name="Normal 86 3 2 2 3 4" xfId="8200"/>
    <cellStyle name="Normal 86 3 2 2 3 4 2" xfId="14913"/>
    <cellStyle name="Normal 86 3 2 2 3 4 2 2" xfId="38334"/>
    <cellStyle name="Normal 86 3 2 2 3 4 3" xfId="21000"/>
    <cellStyle name="Normal 86 3 2 2 3 4 3 2" xfId="43451"/>
    <cellStyle name="Normal 86 3 2 2 3 4 4" xfId="31702"/>
    <cellStyle name="Normal 86 3 2 2 3 5" xfId="11595"/>
    <cellStyle name="Normal 86 3 2 2 3 5 2" xfId="21950"/>
    <cellStyle name="Normal 86 3 2 2 3 5 2 2" xfId="44382"/>
    <cellStyle name="Normal 86 3 2 2 3 5 3" xfId="35018"/>
    <cellStyle name="Normal 86 3 2 2 3 6" xfId="18846"/>
    <cellStyle name="Normal 86 3 2 2 3 6 2" xfId="41639"/>
    <cellStyle name="Normal 86 3 2 2 3 7" xfId="25982"/>
    <cellStyle name="Normal 86 3 2 2 3 7 2" xfId="48227"/>
    <cellStyle name="Normal 86 3 2 2 3 8" xfId="28386"/>
    <cellStyle name="Normal 86 3 2 2 4" xfId="2700"/>
    <cellStyle name="Normal 86 3 2 2 4 2" xfId="5793"/>
    <cellStyle name="Normal 86 3 2 2 4 2 2" xfId="7575"/>
    <cellStyle name="Normal 86 3 2 2 4 2 2 2" xfId="10904"/>
    <cellStyle name="Normal 86 3 2 2 4 2 2 2 2" xfId="17608"/>
    <cellStyle name="Normal 86 3 2 2 4 2 2 2 2 2" xfId="41029"/>
    <cellStyle name="Normal 86 3 2 2 4 2 2 2 3" xfId="34397"/>
    <cellStyle name="Normal 86 3 2 2 4 2 2 3" xfId="14292"/>
    <cellStyle name="Normal 86 3 2 2 4 2 2 3 2" xfId="37713"/>
    <cellStyle name="Normal 86 3 2 2 4 2 2 4" xfId="22981"/>
    <cellStyle name="Normal 86 3 2 2 4 2 2 4 2" xfId="45403"/>
    <cellStyle name="Normal 86 3 2 2 4 2 2 5" xfId="31081"/>
    <cellStyle name="Normal 86 3 2 2 4 2 3" xfId="9246"/>
    <cellStyle name="Normal 86 3 2 2 4 2 3 2" xfId="15950"/>
    <cellStyle name="Normal 86 3 2 2 4 2 3 2 2" xfId="39371"/>
    <cellStyle name="Normal 86 3 2 2 4 2 3 3" xfId="32739"/>
    <cellStyle name="Normal 86 3 2 2 4 2 4" xfId="12634"/>
    <cellStyle name="Normal 86 3 2 2 4 2 4 2" xfId="36055"/>
    <cellStyle name="Normal 86 3 2 2 4 2 5" xfId="20153"/>
    <cellStyle name="Normal 86 3 2 2 4 2 5 2" xfId="42688"/>
    <cellStyle name="Normal 86 3 2 2 4 2 6" xfId="29423"/>
    <cellStyle name="Normal 86 3 2 2 4 3" xfId="6676"/>
    <cellStyle name="Normal 86 3 2 2 4 3 2" xfId="10008"/>
    <cellStyle name="Normal 86 3 2 2 4 3 2 2" xfId="16712"/>
    <cellStyle name="Normal 86 3 2 2 4 3 2 2 2" xfId="40133"/>
    <cellStyle name="Normal 86 3 2 2 4 3 2 3" xfId="33501"/>
    <cellStyle name="Normal 86 3 2 2 4 3 3" xfId="13396"/>
    <cellStyle name="Normal 86 3 2 2 4 3 3 2" xfId="36817"/>
    <cellStyle name="Normal 86 3 2 2 4 3 4" xfId="21456"/>
    <cellStyle name="Normal 86 3 2 2 4 3 4 2" xfId="43907"/>
    <cellStyle name="Normal 86 3 2 2 4 3 5" xfId="30185"/>
    <cellStyle name="Normal 86 3 2 2 4 4" xfId="8342"/>
    <cellStyle name="Normal 86 3 2 2 4 4 2" xfId="15054"/>
    <cellStyle name="Normal 86 3 2 2 4 4 2 2" xfId="38475"/>
    <cellStyle name="Normal 86 3 2 2 4 4 3" xfId="22164"/>
    <cellStyle name="Normal 86 3 2 2 4 4 3 2" xfId="44588"/>
    <cellStyle name="Normal 86 3 2 2 4 4 4" xfId="31843"/>
    <cellStyle name="Normal 86 3 2 2 4 5" xfId="11736"/>
    <cellStyle name="Normal 86 3 2 2 4 5 2" xfId="35159"/>
    <cellStyle name="Normal 86 3 2 2 4 6" xfId="19303"/>
    <cellStyle name="Normal 86 3 2 2 4 6 2" xfId="41856"/>
    <cellStyle name="Normal 86 3 2 2 4 7" xfId="28527"/>
    <cellStyle name="Normal 86 3 2 2 5" xfId="4257"/>
    <cellStyle name="Normal 86 3 2 2 5 2" xfId="7135"/>
    <cellStyle name="Normal 86 3 2 2 5 2 2" xfId="10467"/>
    <cellStyle name="Normal 86 3 2 2 5 2 2 2" xfId="17171"/>
    <cellStyle name="Normal 86 3 2 2 5 2 2 2 2" xfId="40592"/>
    <cellStyle name="Normal 86 3 2 2 5 2 2 3" xfId="33960"/>
    <cellStyle name="Normal 86 3 2 2 5 2 3" xfId="13855"/>
    <cellStyle name="Normal 86 3 2 2 5 2 3 2" xfId="37276"/>
    <cellStyle name="Normal 86 3 2 2 5 2 4" xfId="22575"/>
    <cellStyle name="Normal 86 3 2 2 5 2 4 2" xfId="44997"/>
    <cellStyle name="Normal 86 3 2 2 5 2 5" xfId="30644"/>
    <cellStyle name="Normal 86 3 2 2 5 3" xfId="8802"/>
    <cellStyle name="Normal 86 3 2 2 5 3 2" xfId="15513"/>
    <cellStyle name="Normal 86 3 2 2 5 3 2 2" xfId="38934"/>
    <cellStyle name="Normal 86 3 2 2 5 3 3" xfId="32302"/>
    <cellStyle name="Normal 86 3 2 2 5 4" xfId="12195"/>
    <cellStyle name="Normal 86 3 2 2 5 4 2" xfId="35618"/>
    <cellStyle name="Normal 86 3 2 2 5 5" xfId="19735"/>
    <cellStyle name="Normal 86 3 2 2 5 5 2" xfId="42272"/>
    <cellStyle name="Normal 86 3 2 2 5 6" xfId="28986"/>
    <cellStyle name="Normal 86 3 2 2 6" xfId="6203"/>
    <cellStyle name="Normal 86 3 2 2 6 2" xfId="9537"/>
    <cellStyle name="Normal 86 3 2 2 6 2 2" xfId="16241"/>
    <cellStyle name="Normal 86 3 2 2 6 2 2 2" xfId="39662"/>
    <cellStyle name="Normal 86 3 2 2 6 2 3" xfId="33030"/>
    <cellStyle name="Normal 86 3 2 2 6 3" xfId="12925"/>
    <cellStyle name="Normal 86 3 2 2 6 3 2" xfId="36346"/>
    <cellStyle name="Normal 86 3 2 2 6 4" xfId="20997"/>
    <cellStyle name="Normal 86 3 2 2 6 4 2" xfId="43448"/>
    <cellStyle name="Normal 86 3 2 2 6 5" xfId="29714"/>
    <cellStyle name="Normal 86 3 2 2 7" xfId="7869"/>
    <cellStyle name="Normal 86 3 2 2 7 2" xfId="14583"/>
    <cellStyle name="Normal 86 3 2 2 7 2 2" xfId="38004"/>
    <cellStyle name="Normal 86 3 2 2 7 3" xfId="21725"/>
    <cellStyle name="Normal 86 3 2 2 7 3 2" xfId="44174"/>
    <cellStyle name="Normal 86 3 2 2 7 4" xfId="31372"/>
    <cellStyle name="Normal 86 3 2 2 8" xfId="11265"/>
    <cellStyle name="Normal 86 3 2 2 8 2" xfId="34688"/>
    <cellStyle name="Normal 86 3 2 2 9" xfId="18119"/>
    <cellStyle name="Normal 86 3 2 2 9 2" xfId="41404"/>
    <cellStyle name="Normal 86 3 2 3" xfId="1771"/>
    <cellStyle name="Normal 86 3 2 3 10" xfId="28123"/>
    <cellStyle name="Normal 86 3 2 3 2" xfId="2379"/>
    <cellStyle name="Normal 86 3 2 3 2 2" xfId="5613"/>
    <cellStyle name="Normal 86 3 2 3 2 2 2" xfId="7435"/>
    <cellStyle name="Normal 86 3 2 3 2 2 2 2" xfId="10766"/>
    <cellStyle name="Normal 86 3 2 3 2 2 2 2 2" xfId="17470"/>
    <cellStyle name="Normal 86 3 2 3 2 2 2 2 2 2" xfId="40891"/>
    <cellStyle name="Normal 86 3 2 3 2 2 2 2 3" xfId="23188"/>
    <cellStyle name="Normal 86 3 2 3 2 2 2 2 3 2" xfId="45610"/>
    <cellStyle name="Normal 86 3 2 3 2 2 2 2 4" xfId="34259"/>
    <cellStyle name="Normal 86 3 2 3 2 2 2 3" xfId="14154"/>
    <cellStyle name="Normal 86 3 2 3 2 2 2 3 2" xfId="37575"/>
    <cellStyle name="Normal 86 3 2 3 2 2 2 4" xfId="20363"/>
    <cellStyle name="Normal 86 3 2 3 2 2 2 4 2" xfId="42898"/>
    <cellStyle name="Normal 86 3 2 3 2 2 2 5" xfId="30943"/>
    <cellStyle name="Normal 86 3 2 3 2 2 3" xfId="9108"/>
    <cellStyle name="Normal 86 3 2 3 2 2 3 2" xfId="15812"/>
    <cellStyle name="Normal 86 3 2 3 2 2 3 2 2" xfId="39233"/>
    <cellStyle name="Normal 86 3 2 3 2 2 3 3" xfId="21461"/>
    <cellStyle name="Normal 86 3 2 3 2 2 3 3 2" xfId="43912"/>
    <cellStyle name="Normal 86 3 2 3 2 2 3 4" xfId="32601"/>
    <cellStyle name="Normal 86 3 2 3 2 2 4" xfId="12496"/>
    <cellStyle name="Normal 86 3 2 3 2 2 4 2" xfId="22376"/>
    <cellStyle name="Normal 86 3 2 3 2 2 4 2 2" xfId="44798"/>
    <cellStyle name="Normal 86 3 2 3 2 2 4 3" xfId="35917"/>
    <cellStyle name="Normal 86 3 2 3 2 2 5" xfId="19524"/>
    <cellStyle name="Normal 86 3 2 3 2 2 5 2" xfId="42066"/>
    <cellStyle name="Normal 86 3 2 3 2 2 6" xfId="29285"/>
    <cellStyle name="Normal 86 3 2 3 2 3" xfId="6535"/>
    <cellStyle name="Normal 86 3 2 3 2 3 2" xfId="9869"/>
    <cellStyle name="Normal 86 3 2 3 2 3 2 2" xfId="16573"/>
    <cellStyle name="Normal 86 3 2 3 2 3 2 2 2" xfId="39994"/>
    <cellStyle name="Normal 86 3 2 3 2 3 2 3" xfId="22783"/>
    <cellStyle name="Normal 86 3 2 3 2 3 2 3 2" xfId="45205"/>
    <cellStyle name="Normal 86 3 2 3 2 3 2 4" xfId="33362"/>
    <cellStyle name="Normal 86 3 2 3 2 3 3" xfId="13257"/>
    <cellStyle name="Normal 86 3 2 3 2 3 3 2" xfId="36678"/>
    <cellStyle name="Normal 86 3 2 3 2 3 4" xfId="19947"/>
    <cellStyle name="Normal 86 3 2 3 2 3 4 2" xfId="42482"/>
    <cellStyle name="Normal 86 3 2 3 2 3 5" xfId="30046"/>
    <cellStyle name="Normal 86 3 2 3 2 4" xfId="8202"/>
    <cellStyle name="Normal 86 3 2 3 2 4 2" xfId="14915"/>
    <cellStyle name="Normal 86 3 2 3 2 4 2 2" xfId="38336"/>
    <cellStyle name="Normal 86 3 2 3 2 4 3" xfId="21002"/>
    <cellStyle name="Normal 86 3 2 3 2 4 3 2" xfId="43453"/>
    <cellStyle name="Normal 86 3 2 3 2 4 4" xfId="31704"/>
    <cellStyle name="Normal 86 3 2 3 2 5" xfId="11597"/>
    <cellStyle name="Normal 86 3 2 3 2 5 2" xfId="21952"/>
    <cellStyle name="Normal 86 3 2 3 2 5 2 2" xfId="44384"/>
    <cellStyle name="Normal 86 3 2 3 2 5 3" xfId="35020"/>
    <cellStyle name="Normal 86 3 2 3 2 6" xfId="18848"/>
    <cellStyle name="Normal 86 3 2 3 2 6 2" xfId="41641"/>
    <cellStyle name="Normal 86 3 2 3 2 7" xfId="25984"/>
    <cellStyle name="Normal 86 3 2 3 2 7 2" xfId="48229"/>
    <cellStyle name="Normal 86 3 2 3 2 8" xfId="28388"/>
    <cellStyle name="Normal 86 3 2 3 3" xfId="2768"/>
    <cellStyle name="Normal 86 3 2 3 3 2" xfId="5860"/>
    <cellStyle name="Normal 86 3 2 3 3 2 2" xfId="7642"/>
    <cellStyle name="Normal 86 3 2 3 3 2 2 2" xfId="10971"/>
    <cellStyle name="Normal 86 3 2 3 3 2 2 2 2" xfId="17675"/>
    <cellStyle name="Normal 86 3 2 3 3 2 2 2 2 2" xfId="41096"/>
    <cellStyle name="Normal 86 3 2 3 3 2 2 2 3" xfId="34464"/>
    <cellStyle name="Normal 86 3 2 3 3 2 2 3" xfId="14359"/>
    <cellStyle name="Normal 86 3 2 3 3 2 2 3 2" xfId="37780"/>
    <cellStyle name="Normal 86 3 2 3 3 2 2 4" xfId="22983"/>
    <cellStyle name="Normal 86 3 2 3 3 2 2 4 2" xfId="45405"/>
    <cellStyle name="Normal 86 3 2 3 3 2 2 5" xfId="31148"/>
    <cellStyle name="Normal 86 3 2 3 3 2 3" xfId="9313"/>
    <cellStyle name="Normal 86 3 2 3 3 2 3 2" xfId="16017"/>
    <cellStyle name="Normal 86 3 2 3 3 2 3 2 2" xfId="39438"/>
    <cellStyle name="Normal 86 3 2 3 3 2 3 3" xfId="32806"/>
    <cellStyle name="Normal 86 3 2 3 3 2 4" xfId="12701"/>
    <cellStyle name="Normal 86 3 2 3 3 2 4 2" xfId="36122"/>
    <cellStyle name="Normal 86 3 2 3 3 2 5" xfId="20155"/>
    <cellStyle name="Normal 86 3 2 3 3 2 5 2" xfId="42690"/>
    <cellStyle name="Normal 86 3 2 3 3 2 6" xfId="29490"/>
    <cellStyle name="Normal 86 3 2 3 3 3" xfId="6743"/>
    <cellStyle name="Normal 86 3 2 3 3 3 2" xfId="10075"/>
    <cellStyle name="Normal 86 3 2 3 3 3 2 2" xfId="16779"/>
    <cellStyle name="Normal 86 3 2 3 3 3 2 2 2" xfId="40200"/>
    <cellStyle name="Normal 86 3 2 3 3 3 2 3" xfId="33568"/>
    <cellStyle name="Normal 86 3 2 3 3 3 3" xfId="13463"/>
    <cellStyle name="Normal 86 3 2 3 3 3 3 2" xfId="36884"/>
    <cellStyle name="Normal 86 3 2 3 3 3 4" xfId="21460"/>
    <cellStyle name="Normal 86 3 2 3 3 3 4 2" xfId="43911"/>
    <cellStyle name="Normal 86 3 2 3 3 3 5" xfId="30252"/>
    <cellStyle name="Normal 86 3 2 3 3 4" xfId="8409"/>
    <cellStyle name="Normal 86 3 2 3 3 4 2" xfId="15121"/>
    <cellStyle name="Normal 86 3 2 3 3 4 2 2" xfId="38542"/>
    <cellStyle name="Normal 86 3 2 3 3 4 3" xfId="22166"/>
    <cellStyle name="Normal 86 3 2 3 3 4 3 2" xfId="44590"/>
    <cellStyle name="Normal 86 3 2 3 3 4 4" xfId="31910"/>
    <cellStyle name="Normal 86 3 2 3 3 5" xfId="11803"/>
    <cellStyle name="Normal 86 3 2 3 3 5 2" xfId="35226"/>
    <cellStyle name="Normal 86 3 2 3 3 6" xfId="19305"/>
    <cellStyle name="Normal 86 3 2 3 3 6 2" xfId="41858"/>
    <cellStyle name="Normal 86 3 2 3 3 7" xfId="28594"/>
    <cellStyle name="Normal 86 3 2 3 4" xfId="4259"/>
    <cellStyle name="Normal 86 3 2 3 4 2" xfId="7137"/>
    <cellStyle name="Normal 86 3 2 3 4 2 2" xfId="10469"/>
    <cellStyle name="Normal 86 3 2 3 4 2 2 2" xfId="17173"/>
    <cellStyle name="Normal 86 3 2 3 4 2 2 2 2" xfId="40594"/>
    <cellStyle name="Normal 86 3 2 3 4 2 2 3" xfId="33962"/>
    <cellStyle name="Normal 86 3 2 3 4 2 3" xfId="13857"/>
    <cellStyle name="Normal 86 3 2 3 4 2 3 2" xfId="37278"/>
    <cellStyle name="Normal 86 3 2 3 4 2 4" xfId="22577"/>
    <cellStyle name="Normal 86 3 2 3 4 2 4 2" xfId="44999"/>
    <cellStyle name="Normal 86 3 2 3 4 2 5" xfId="30646"/>
    <cellStyle name="Normal 86 3 2 3 4 3" xfId="8804"/>
    <cellStyle name="Normal 86 3 2 3 4 3 2" xfId="15515"/>
    <cellStyle name="Normal 86 3 2 3 4 3 2 2" xfId="38936"/>
    <cellStyle name="Normal 86 3 2 3 4 3 3" xfId="32304"/>
    <cellStyle name="Normal 86 3 2 3 4 4" xfId="12197"/>
    <cellStyle name="Normal 86 3 2 3 4 4 2" xfId="35620"/>
    <cellStyle name="Normal 86 3 2 3 4 5" xfId="19737"/>
    <cellStyle name="Normal 86 3 2 3 4 5 2" xfId="42274"/>
    <cellStyle name="Normal 86 3 2 3 4 6" xfId="28988"/>
    <cellStyle name="Normal 86 3 2 3 5" xfId="6270"/>
    <cellStyle name="Normal 86 3 2 3 5 2" xfId="9604"/>
    <cellStyle name="Normal 86 3 2 3 5 2 2" xfId="16308"/>
    <cellStyle name="Normal 86 3 2 3 5 2 2 2" xfId="39729"/>
    <cellStyle name="Normal 86 3 2 3 5 2 3" xfId="33097"/>
    <cellStyle name="Normal 86 3 2 3 5 3" xfId="12992"/>
    <cellStyle name="Normal 86 3 2 3 5 3 2" xfId="36413"/>
    <cellStyle name="Normal 86 3 2 3 5 4" xfId="21001"/>
    <cellStyle name="Normal 86 3 2 3 5 4 2" xfId="43452"/>
    <cellStyle name="Normal 86 3 2 3 5 5" xfId="29781"/>
    <cellStyle name="Normal 86 3 2 3 6" xfId="7936"/>
    <cellStyle name="Normal 86 3 2 3 6 2" xfId="14650"/>
    <cellStyle name="Normal 86 3 2 3 6 2 2" xfId="38071"/>
    <cellStyle name="Normal 86 3 2 3 6 3" xfId="21727"/>
    <cellStyle name="Normal 86 3 2 3 6 3 2" xfId="44176"/>
    <cellStyle name="Normal 86 3 2 3 6 4" xfId="31439"/>
    <cellStyle name="Normal 86 3 2 3 7" xfId="11332"/>
    <cellStyle name="Normal 86 3 2 3 7 2" xfId="34755"/>
    <cellStyle name="Normal 86 3 2 3 8" xfId="18121"/>
    <cellStyle name="Normal 86 3 2 3 8 2" xfId="41406"/>
    <cellStyle name="Normal 86 3 2 3 9" xfId="23753"/>
    <cellStyle name="Normal 86 3 2 3 9 2" xfId="46042"/>
    <cellStyle name="Normal 86 3 2 4" xfId="2376"/>
    <cellStyle name="Normal 86 3 2 4 2" xfId="5610"/>
    <cellStyle name="Normal 86 3 2 4 2 2" xfId="7432"/>
    <cellStyle name="Normal 86 3 2 4 2 2 2" xfId="10763"/>
    <cellStyle name="Normal 86 3 2 4 2 2 2 2" xfId="17467"/>
    <cellStyle name="Normal 86 3 2 4 2 2 2 2 2" xfId="40888"/>
    <cellStyle name="Normal 86 3 2 4 2 2 2 3" xfId="23185"/>
    <cellStyle name="Normal 86 3 2 4 2 2 2 3 2" xfId="45607"/>
    <cellStyle name="Normal 86 3 2 4 2 2 2 4" xfId="34256"/>
    <cellStyle name="Normal 86 3 2 4 2 2 3" xfId="14151"/>
    <cellStyle name="Normal 86 3 2 4 2 2 3 2" xfId="37572"/>
    <cellStyle name="Normal 86 3 2 4 2 2 4" xfId="20360"/>
    <cellStyle name="Normal 86 3 2 4 2 2 4 2" xfId="42895"/>
    <cellStyle name="Normal 86 3 2 4 2 2 5" xfId="30940"/>
    <cellStyle name="Normal 86 3 2 4 2 3" xfId="9105"/>
    <cellStyle name="Normal 86 3 2 4 2 3 2" xfId="15809"/>
    <cellStyle name="Normal 86 3 2 4 2 3 2 2" xfId="39230"/>
    <cellStyle name="Normal 86 3 2 4 2 3 3" xfId="21462"/>
    <cellStyle name="Normal 86 3 2 4 2 3 3 2" xfId="43913"/>
    <cellStyle name="Normal 86 3 2 4 2 3 4" xfId="32598"/>
    <cellStyle name="Normal 86 3 2 4 2 4" xfId="12493"/>
    <cellStyle name="Normal 86 3 2 4 2 4 2" xfId="22373"/>
    <cellStyle name="Normal 86 3 2 4 2 4 2 2" xfId="44795"/>
    <cellStyle name="Normal 86 3 2 4 2 4 3" xfId="35914"/>
    <cellStyle name="Normal 86 3 2 4 2 5" xfId="19521"/>
    <cellStyle name="Normal 86 3 2 4 2 5 2" xfId="42063"/>
    <cellStyle name="Normal 86 3 2 4 2 6" xfId="29282"/>
    <cellStyle name="Normal 86 3 2 4 3" xfId="6532"/>
    <cellStyle name="Normal 86 3 2 4 3 2" xfId="9866"/>
    <cellStyle name="Normal 86 3 2 4 3 2 2" xfId="16570"/>
    <cellStyle name="Normal 86 3 2 4 3 2 2 2" xfId="39991"/>
    <cellStyle name="Normal 86 3 2 4 3 2 3" xfId="22780"/>
    <cellStyle name="Normal 86 3 2 4 3 2 3 2" xfId="45202"/>
    <cellStyle name="Normal 86 3 2 4 3 2 4" xfId="33359"/>
    <cellStyle name="Normal 86 3 2 4 3 3" xfId="13254"/>
    <cellStyle name="Normal 86 3 2 4 3 3 2" xfId="36675"/>
    <cellStyle name="Normal 86 3 2 4 3 4" xfId="19944"/>
    <cellStyle name="Normal 86 3 2 4 3 4 2" xfId="42479"/>
    <cellStyle name="Normal 86 3 2 4 3 5" xfId="30043"/>
    <cellStyle name="Normal 86 3 2 4 4" xfId="8199"/>
    <cellStyle name="Normal 86 3 2 4 4 2" xfId="14912"/>
    <cellStyle name="Normal 86 3 2 4 4 2 2" xfId="38333"/>
    <cellStyle name="Normal 86 3 2 4 4 3" xfId="21003"/>
    <cellStyle name="Normal 86 3 2 4 4 3 2" xfId="43454"/>
    <cellStyle name="Normal 86 3 2 4 4 4" xfId="31701"/>
    <cellStyle name="Normal 86 3 2 4 5" xfId="11594"/>
    <cellStyle name="Normal 86 3 2 4 5 2" xfId="21949"/>
    <cellStyle name="Normal 86 3 2 4 5 2 2" xfId="44381"/>
    <cellStyle name="Normal 86 3 2 4 5 3" xfId="35017"/>
    <cellStyle name="Normal 86 3 2 4 6" xfId="18845"/>
    <cellStyle name="Normal 86 3 2 4 6 2" xfId="41638"/>
    <cellStyle name="Normal 86 3 2 4 7" xfId="25981"/>
    <cellStyle name="Normal 86 3 2 4 7 2" xfId="48226"/>
    <cellStyle name="Normal 86 3 2 4 8" xfId="28385"/>
    <cellStyle name="Normal 86 3 2 5" xfId="2636"/>
    <cellStyle name="Normal 86 3 2 5 2" xfId="5729"/>
    <cellStyle name="Normal 86 3 2 5 2 2" xfId="7511"/>
    <cellStyle name="Normal 86 3 2 5 2 2 2" xfId="10840"/>
    <cellStyle name="Normal 86 3 2 5 2 2 2 2" xfId="17544"/>
    <cellStyle name="Normal 86 3 2 5 2 2 2 2 2" xfId="40965"/>
    <cellStyle name="Normal 86 3 2 5 2 2 2 3" xfId="34333"/>
    <cellStyle name="Normal 86 3 2 5 2 2 3" xfId="14228"/>
    <cellStyle name="Normal 86 3 2 5 2 2 3 2" xfId="37649"/>
    <cellStyle name="Normal 86 3 2 5 2 2 4" xfId="20614"/>
    <cellStyle name="Normal 86 3 2 5 2 2 4 2" xfId="43065"/>
    <cellStyle name="Normal 86 3 2 5 2 2 5" xfId="31017"/>
    <cellStyle name="Normal 86 3 2 5 2 3" xfId="9182"/>
    <cellStyle name="Normal 86 3 2 5 2 3 2" xfId="15886"/>
    <cellStyle name="Normal 86 3 2 5 2 3 2 2" xfId="39307"/>
    <cellStyle name="Normal 86 3 2 5 2 3 3" xfId="21532"/>
    <cellStyle name="Normal 86 3 2 5 2 3 3 2" xfId="43983"/>
    <cellStyle name="Normal 86 3 2 5 2 3 4" xfId="32675"/>
    <cellStyle name="Normal 86 3 2 5 2 4" xfId="12570"/>
    <cellStyle name="Normal 86 3 2 5 2 4 2" xfId="22980"/>
    <cellStyle name="Normal 86 3 2 5 2 4 2 2" xfId="45402"/>
    <cellStyle name="Normal 86 3 2 5 2 4 3" xfId="35991"/>
    <cellStyle name="Normal 86 3 2 5 2 5" xfId="20152"/>
    <cellStyle name="Normal 86 3 2 5 2 5 2" xfId="42687"/>
    <cellStyle name="Normal 86 3 2 5 2 6" xfId="29359"/>
    <cellStyle name="Normal 86 3 2 5 3" xfId="6612"/>
    <cellStyle name="Normal 86 3 2 5 3 2" xfId="9944"/>
    <cellStyle name="Normal 86 3 2 5 3 2 2" xfId="16648"/>
    <cellStyle name="Normal 86 3 2 5 3 2 2 2" xfId="40069"/>
    <cellStyle name="Normal 86 3 2 5 3 2 3" xfId="33437"/>
    <cellStyle name="Normal 86 3 2 5 3 3" xfId="13332"/>
    <cellStyle name="Normal 86 3 2 5 3 3 2" xfId="36753"/>
    <cellStyle name="Normal 86 3 2 5 3 4" xfId="20516"/>
    <cellStyle name="Normal 86 3 2 5 3 4 2" xfId="42969"/>
    <cellStyle name="Normal 86 3 2 5 3 5" xfId="30121"/>
    <cellStyle name="Normal 86 3 2 5 4" xfId="8278"/>
    <cellStyle name="Normal 86 3 2 5 4 2" xfId="14990"/>
    <cellStyle name="Normal 86 3 2 5 4 2 2" xfId="38411"/>
    <cellStyle name="Normal 86 3 2 5 4 3" xfId="21073"/>
    <cellStyle name="Normal 86 3 2 5 4 3 2" xfId="43524"/>
    <cellStyle name="Normal 86 3 2 5 4 4" xfId="31779"/>
    <cellStyle name="Normal 86 3 2 5 5" xfId="11672"/>
    <cellStyle name="Normal 86 3 2 5 5 2" xfId="22163"/>
    <cellStyle name="Normal 86 3 2 5 5 2 2" xfId="44587"/>
    <cellStyle name="Normal 86 3 2 5 5 3" xfId="35095"/>
    <cellStyle name="Normal 86 3 2 5 6" xfId="19302"/>
    <cellStyle name="Normal 86 3 2 5 6 2" xfId="41855"/>
    <cellStyle name="Normal 86 3 2 5 7" xfId="28463"/>
    <cellStyle name="Normal 86 3 2 6" xfId="4256"/>
    <cellStyle name="Normal 86 3 2 6 2" xfId="7134"/>
    <cellStyle name="Normal 86 3 2 6 2 2" xfId="10466"/>
    <cellStyle name="Normal 86 3 2 6 2 2 2" xfId="17170"/>
    <cellStyle name="Normal 86 3 2 6 2 2 2 2" xfId="40591"/>
    <cellStyle name="Normal 86 3 2 6 2 2 3" xfId="33959"/>
    <cellStyle name="Normal 86 3 2 6 2 3" xfId="13854"/>
    <cellStyle name="Normal 86 3 2 6 2 3 2" xfId="37275"/>
    <cellStyle name="Normal 86 3 2 6 2 4" xfId="20565"/>
    <cellStyle name="Normal 86 3 2 6 2 4 2" xfId="43016"/>
    <cellStyle name="Normal 86 3 2 6 2 5" xfId="30643"/>
    <cellStyle name="Normal 86 3 2 6 3" xfId="8801"/>
    <cellStyle name="Normal 86 3 2 6 3 2" xfId="15512"/>
    <cellStyle name="Normal 86 3 2 6 3 2 2" xfId="38933"/>
    <cellStyle name="Normal 86 3 2 6 3 3" xfId="21455"/>
    <cellStyle name="Normal 86 3 2 6 3 3 2" xfId="43906"/>
    <cellStyle name="Normal 86 3 2 6 3 4" xfId="32301"/>
    <cellStyle name="Normal 86 3 2 6 4" xfId="12194"/>
    <cellStyle name="Normal 86 3 2 6 4 2" xfId="22574"/>
    <cellStyle name="Normal 86 3 2 6 4 2 2" xfId="44996"/>
    <cellStyle name="Normal 86 3 2 6 4 3" xfId="35617"/>
    <cellStyle name="Normal 86 3 2 6 5" xfId="19734"/>
    <cellStyle name="Normal 86 3 2 6 5 2" xfId="42271"/>
    <cellStyle name="Normal 86 3 2 6 6" xfId="28985"/>
    <cellStyle name="Normal 86 3 2 7" xfId="6139"/>
    <cellStyle name="Normal 86 3 2 7 2" xfId="9473"/>
    <cellStyle name="Normal 86 3 2 7 2 2" xfId="16177"/>
    <cellStyle name="Normal 86 3 2 7 2 2 2" xfId="39598"/>
    <cellStyle name="Normal 86 3 2 7 2 3" xfId="32966"/>
    <cellStyle name="Normal 86 3 2 7 3" xfId="12861"/>
    <cellStyle name="Normal 86 3 2 7 3 2" xfId="36282"/>
    <cellStyle name="Normal 86 3 2 7 4" xfId="20467"/>
    <cellStyle name="Normal 86 3 2 7 4 2" xfId="42920"/>
    <cellStyle name="Normal 86 3 2 7 5" xfId="29650"/>
    <cellStyle name="Normal 86 3 2 8" xfId="7805"/>
    <cellStyle name="Normal 86 3 2 8 2" xfId="14519"/>
    <cellStyle name="Normal 86 3 2 8 2 2" xfId="37940"/>
    <cellStyle name="Normal 86 3 2 8 3" xfId="20996"/>
    <cellStyle name="Normal 86 3 2 8 3 2" xfId="43447"/>
    <cellStyle name="Normal 86 3 2 8 4" xfId="31308"/>
    <cellStyle name="Normal 86 3 2 9" xfId="11201"/>
    <cellStyle name="Normal 86 3 2 9 2" xfId="21724"/>
    <cellStyle name="Normal 86 3 2 9 2 2" xfId="44173"/>
    <cellStyle name="Normal 86 3 2 9 3" xfId="34624"/>
    <cellStyle name="Normal 86 3 3" xfId="1641"/>
    <cellStyle name="Normal 86 3 3 10" xfId="23754"/>
    <cellStyle name="Normal 86 3 3 10 2" xfId="46043"/>
    <cellStyle name="Normal 86 3 3 11" xfId="28055"/>
    <cellStyle name="Normal 86 3 3 2" xfId="1834"/>
    <cellStyle name="Normal 86 3 3 2 10" xfId="28186"/>
    <cellStyle name="Normal 86 3 3 2 2" xfId="2381"/>
    <cellStyle name="Normal 86 3 3 2 2 2" xfId="5615"/>
    <cellStyle name="Normal 86 3 3 2 2 2 2" xfId="7437"/>
    <cellStyle name="Normal 86 3 3 2 2 2 2 2" xfId="10768"/>
    <cellStyle name="Normal 86 3 3 2 2 2 2 2 2" xfId="17472"/>
    <cellStyle name="Normal 86 3 3 2 2 2 2 2 2 2" xfId="40893"/>
    <cellStyle name="Normal 86 3 3 2 2 2 2 2 3" xfId="23190"/>
    <cellStyle name="Normal 86 3 3 2 2 2 2 2 3 2" xfId="45612"/>
    <cellStyle name="Normal 86 3 3 2 2 2 2 2 4" xfId="34261"/>
    <cellStyle name="Normal 86 3 3 2 2 2 2 3" xfId="14156"/>
    <cellStyle name="Normal 86 3 3 2 2 2 2 3 2" xfId="37577"/>
    <cellStyle name="Normal 86 3 3 2 2 2 2 4" xfId="20365"/>
    <cellStyle name="Normal 86 3 3 2 2 2 2 4 2" xfId="42900"/>
    <cellStyle name="Normal 86 3 3 2 2 2 2 5" xfId="30945"/>
    <cellStyle name="Normal 86 3 3 2 2 2 3" xfId="9110"/>
    <cellStyle name="Normal 86 3 3 2 2 2 3 2" xfId="15814"/>
    <cellStyle name="Normal 86 3 3 2 2 2 3 2 2" xfId="39235"/>
    <cellStyle name="Normal 86 3 3 2 2 2 3 3" xfId="21465"/>
    <cellStyle name="Normal 86 3 3 2 2 2 3 3 2" xfId="43916"/>
    <cellStyle name="Normal 86 3 3 2 2 2 3 4" xfId="32603"/>
    <cellStyle name="Normal 86 3 3 2 2 2 4" xfId="12498"/>
    <cellStyle name="Normal 86 3 3 2 2 2 4 2" xfId="22378"/>
    <cellStyle name="Normal 86 3 3 2 2 2 4 2 2" xfId="44800"/>
    <cellStyle name="Normal 86 3 3 2 2 2 4 3" xfId="35919"/>
    <cellStyle name="Normal 86 3 3 2 2 2 5" xfId="19526"/>
    <cellStyle name="Normal 86 3 3 2 2 2 5 2" xfId="42068"/>
    <cellStyle name="Normal 86 3 3 2 2 2 6" xfId="29287"/>
    <cellStyle name="Normal 86 3 3 2 2 3" xfId="6537"/>
    <cellStyle name="Normal 86 3 3 2 2 3 2" xfId="9871"/>
    <cellStyle name="Normal 86 3 3 2 2 3 2 2" xfId="16575"/>
    <cellStyle name="Normal 86 3 3 2 2 3 2 2 2" xfId="39996"/>
    <cellStyle name="Normal 86 3 3 2 2 3 2 3" xfId="22785"/>
    <cellStyle name="Normal 86 3 3 2 2 3 2 3 2" xfId="45207"/>
    <cellStyle name="Normal 86 3 3 2 2 3 2 4" xfId="33364"/>
    <cellStyle name="Normal 86 3 3 2 2 3 3" xfId="13259"/>
    <cellStyle name="Normal 86 3 3 2 2 3 3 2" xfId="36680"/>
    <cellStyle name="Normal 86 3 3 2 2 3 4" xfId="19949"/>
    <cellStyle name="Normal 86 3 3 2 2 3 4 2" xfId="42484"/>
    <cellStyle name="Normal 86 3 3 2 2 3 5" xfId="30048"/>
    <cellStyle name="Normal 86 3 3 2 2 4" xfId="8204"/>
    <cellStyle name="Normal 86 3 3 2 2 4 2" xfId="14917"/>
    <cellStyle name="Normal 86 3 3 2 2 4 2 2" xfId="38338"/>
    <cellStyle name="Normal 86 3 3 2 2 4 3" xfId="21006"/>
    <cellStyle name="Normal 86 3 3 2 2 4 3 2" xfId="43457"/>
    <cellStyle name="Normal 86 3 3 2 2 4 4" xfId="31706"/>
    <cellStyle name="Normal 86 3 3 2 2 5" xfId="11599"/>
    <cellStyle name="Normal 86 3 3 2 2 5 2" xfId="21954"/>
    <cellStyle name="Normal 86 3 3 2 2 5 2 2" xfId="44386"/>
    <cellStyle name="Normal 86 3 3 2 2 5 3" xfId="35022"/>
    <cellStyle name="Normal 86 3 3 2 2 6" xfId="18850"/>
    <cellStyle name="Normal 86 3 3 2 2 6 2" xfId="41643"/>
    <cellStyle name="Normal 86 3 3 2 2 7" xfId="25986"/>
    <cellStyle name="Normal 86 3 3 2 2 7 2" xfId="48231"/>
    <cellStyle name="Normal 86 3 3 2 2 8" xfId="28390"/>
    <cellStyle name="Normal 86 3 3 2 3" xfId="2831"/>
    <cellStyle name="Normal 86 3 3 2 3 2" xfId="5923"/>
    <cellStyle name="Normal 86 3 3 2 3 2 2" xfId="7705"/>
    <cellStyle name="Normal 86 3 3 2 3 2 2 2" xfId="11034"/>
    <cellStyle name="Normal 86 3 3 2 3 2 2 2 2" xfId="17738"/>
    <cellStyle name="Normal 86 3 3 2 3 2 2 2 2 2" xfId="41159"/>
    <cellStyle name="Normal 86 3 3 2 3 2 2 2 3" xfId="34527"/>
    <cellStyle name="Normal 86 3 3 2 3 2 2 3" xfId="14422"/>
    <cellStyle name="Normal 86 3 3 2 3 2 2 3 2" xfId="37843"/>
    <cellStyle name="Normal 86 3 3 2 3 2 2 4" xfId="22985"/>
    <cellStyle name="Normal 86 3 3 2 3 2 2 4 2" xfId="45407"/>
    <cellStyle name="Normal 86 3 3 2 3 2 2 5" xfId="31211"/>
    <cellStyle name="Normal 86 3 3 2 3 2 3" xfId="9376"/>
    <cellStyle name="Normal 86 3 3 2 3 2 3 2" xfId="16080"/>
    <cellStyle name="Normal 86 3 3 2 3 2 3 2 2" xfId="39501"/>
    <cellStyle name="Normal 86 3 3 2 3 2 3 3" xfId="32869"/>
    <cellStyle name="Normal 86 3 3 2 3 2 4" xfId="12764"/>
    <cellStyle name="Normal 86 3 3 2 3 2 4 2" xfId="36185"/>
    <cellStyle name="Normal 86 3 3 2 3 2 5" xfId="20157"/>
    <cellStyle name="Normal 86 3 3 2 3 2 5 2" xfId="42692"/>
    <cellStyle name="Normal 86 3 3 2 3 2 6" xfId="29553"/>
    <cellStyle name="Normal 86 3 3 2 3 3" xfId="6806"/>
    <cellStyle name="Normal 86 3 3 2 3 3 2" xfId="10138"/>
    <cellStyle name="Normal 86 3 3 2 3 3 2 2" xfId="16842"/>
    <cellStyle name="Normal 86 3 3 2 3 3 2 2 2" xfId="40263"/>
    <cellStyle name="Normal 86 3 3 2 3 3 2 3" xfId="33631"/>
    <cellStyle name="Normal 86 3 3 2 3 3 3" xfId="13526"/>
    <cellStyle name="Normal 86 3 3 2 3 3 3 2" xfId="36947"/>
    <cellStyle name="Normal 86 3 3 2 3 3 4" xfId="21464"/>
    <cellStyle name="Normal 86 3 3 2 3 3 4 2" xfId="43915"/>
    <cellStyle name="Normal 86 3 3 2 3 3 5" xfId="30315"/>
    <cellStyle name="Normal 86 3 3 2 3 4" xfId="8472"/>
    <cellStyle name="Normal 86 3 3 2 3 4 2" xfId="15184"/>
    <cellStyle name="Normal 86 3 3 2 3 4 2 2" xfId="38605"/>
    <cellStyle name="Normal 86 3 3 2 3 4 3" xfId="22168"/>
    <cellStyle name="Normal 86 3 3 2 3 4 3 2" xfId="44592"/>
    <cellStyle name="Normal 86 3 3 2 3 4 4" xfId="31973"/>
    <cellStyle name="Normal 86 3 3 2 3 5" xfId="11866"/>
    <cellStyle name="Normal 86 3 3 2 3 5 2" xfId="35289"/>
    <cellStyle name="Normal 86 3 3 2 3 6" xfId="19307"/>
    <cellStyle name="Normal 86 3 3 2 3 6 2" xfId="41860"/>
    <cellStyle name="Normal 86 3 3 2 3 7" xfId="28657"/>
    <cellStyle name="Normal 86 3 3 2 4" xfId="4261"/>
    <cellStyle name="Normal 86 3 3 2 4 2" xfId="7139"/>
    <cellStyle name="Normal 86 3 3 2 4 2 2" xfId="10471"/>
    <cellStyle name="Normal 86 3 3 2 4 2 2 2" xfId="17175"/>
    <cellStyle name="Normal 86 3 3 2 4 2 2 2 2" xfId="40596"/>
    <cellStyle name="Normal 86 3 3 2 4 2 2 3" xfId="33964"/>
    <cellStyle name="Normal 86 3 3 2 4 2 3" xfId="13859"/>
    <cellStyle name="Normal 86 3 3 2 4 2 3 2" xfId="37280"/>
    <cellStyle name="Normal 86 3 3 2 4 2 4" xfId="22579"/>
    <cellStyle name="Normal 86 3 3 2 4 2 4 2" xfId="45001"/>
    <cellStyle name="Normal 86 3 3 2 4 2 5" xfId="30648"/>
    <cellStyle name="Normal 86 3 3 2 4 3" xfId="8806"/>
    <cellStyle name="Normal 86 3 3 2 4 3 2" xfId="15517"/>
    <cellStyle name="Normal 86 3 3 2 4 3 2 2" xfId="38938"/>
    <cellStyle name="Normal 86 3 3 2 4 3 3" xfId="32306"/>
    <cellStyle name="Normal 86 3 3 2 4 4" xfId="12199"/>
    <cellStyle name="Normal 86 3 3 2 4 4 2" xfId="35622"/>
    <cellStyle name="Normal 86 3 3 2 4 5" xfId="19739"/>
    <cellStyle name="Normal 86 3 3 2 4 5 2" xfId="42276"/>
    <cellStyle name="Normal 86 3 3 2 4 6" xfId="28990"/>
    <cellStyle name="Normal 86 3 3 2 5" xfId="6333"/>
    <cellStyle name="Normal 86 3 3 2 5 2" xfId="9667"/>
    <cellStyle name="Normal 86 3 3 2 5 2 2" xfId="16371"/>
    <cellStyle name="Normal 86 3 3 2 5 2 2 2" xfId="39792"/>
    <cellStyle name="Normal 86 3 3 2 5 2 3" xfId="33160"/>
    <cellStyle name="Normal 86 3 3 2 5 3" xfId="13055"/>
    <cellStyle name="Normal 86 3 3 2 5 3 2" xfId="36476"/>
    <cellStyle name="Normal 86 3 3 2 5 4" xfId="21005"/>
    <cellStyle name="Normal 86 3 3 2 5 4 2" xfId="43456"/>
    <cellStyle name="Normal 86 3 3 2 5 5" xfId="29844"/>
    <cellStyle name="Normal 86 3 3 2 6" xfId="7999"/>
    <cellStyle name="Normal 86 3 3 2 6 2" xfId="14713"/>
    <cellStyle name="Normal 86 3 3 2 6 2 2" xfId="38134"/>
    <cellStyle name="Normal 86 3 3 2 6 3" xfId="21729"/>
    <cellStyle name="Normal 86 3 3 2 6 3 2" xfId="44178"/>
    <cellStyle name="Normal 86 3 3 2 6 4" xfId="31502"/>
    <cellStyle name="Normal 86 3 3 2 7" xfId="11395"/>
    <cellStyle name="Normal 86 3 3 2 7 2" xfId="34818"/>
    <cellStyle name="Normal 86 3 3 2 8" xfId="18123"/>
    <cellStyle name="Normal 86 3 3 2 8 2" xfId="41408"/>
    <cellStyle name="Normal 86 3 3 2 9" xfId="23755"/>
    <cellStyle name="Normal 86 3 3 2 9 2" xfId="46044"/>
    <cellStyle name="Normal 86 3 3 3" xfId="2380"/>
    <cellStyle name="Normal 86 3 3 3 2" xfId="5614"/>
    <cellStyle name="Normal 86 3 3 3 2 2" xfId="7436"/>
    <cellStyle name="Normal 86 3 3 3 2 2 2" xfId="10767"/>
    <cellStyle name="Normal 86 3 3 3 2 2 2 2" xfId="17471"/>
    <cellStyle name="Normal 86 3 3 3 2 2 2 2 2" xfId="40892"/>
    <cellStyle name="Normal 86 3 3 3 2 2 2 3" xfId="23189"/>
    <cellStyle name="Normal 86 3 3 3 2 2 2 3 2" xfId="45611"/>
    <cellStyle name="Normal 86 3 3 3 2 2 2 4" xfId="34260"/>
    <cellStyle name="Normal 86 3 3 3 2 2 3" xfId="14155"/>
    <cellStyle name="Normal 86 3 3 3 2 2 3 2" xfId="37576"/>
    <cellStyle name="Normal 86 3 3 3 2 2 4" xfId="20364"/>
    <cellStyle name="Normal 86 3 3 3 2 2 4 2" xfId="42899"/>
    <cellStyle name="Normal 86 3 3 3 2 2 5" xfId="30944"/>
    <cellStyle name="Normal 86 3 3 3 2 3" xfId="9109"/>
    <cellStyle name="Normal 86 3 3 3 2 3 2" xfId="15813"/>
    <cellStyle name="Normal 86 3 3 3 2 3 2 2" xfId="39234"/>
    <cellStyle name="Normal 86 3 3 3 2 3 3" xfId="21466"/>
    <cellStyle name="Normal 86 3 3 3 2 3 3 2" xfId="43917"/>
    <cellStyle name="Normal 86 3 3 3 2 3 4" xfId="32602"/>
    <cellStyle name="Normal 86 3 3 3 2 4" xfId="12497"/>
    <cellStyle name="Normal 86 3 3 3 2 4 2" xfId="22377"/>
    <cellStyle name="Normal 86 3 3 3 2 4 2 2" xfId="44799"/>
    <cellStyle name="Normal 86 3 3 3 2 4 3" xfId="35918"/>
    <cellStyle name="Normal 86 3 3 3 2 5" xfId="19525"/>
    <cellStyle name="Normal 86 3 3 3 2 5 2" xfId="42067"/>
    <cellStyle name="Normal 86 3 3 3 2 6" xfId="29286"/>
    <cellStyle name="Normal 86 3 3 3 3" xfId="6536"/>
    <cellStyle name="Normal 86 3 3 3 3 2" xfId="9870"/>
    <cellStyle name="Normal 86 3 3 3 3 2 2" xfId="16574"/>
    <cellStyle name="Normal 86 3 3 3 3 2 2 2" xfId="39995"/>
    <cellStyle name="Normal 86 3 3 3 3 2 3" xfId="22784"/>
    <cellStyle name="Normal 86 3 3 3 3 2 3 2" xfId="45206"/>
    <cellStyle name="Normal 86 3 3 3 3 2 4" xfId="33363"/>
    <cellStyle name="Normal 86 3 3 3 3 3" xfId="13258"/>
    <cellStyle name="Normal 86 3 3 3 3 3 2" xfId="36679"/>
    <cellStyle name="Normal 86 3 3 3 3 4" xfId="19948"/>
    <cellStyle name="Normal 86 3 3 3 3 4 2" xfId="42483"/>
    <cellStyle name="Normal 86 3 3 3 3 5" xfId="30047"/>
    <cellStyle name="Normal 86 3 3 3 4" xfId="8203"/>
    <cellStyle name="Normal 86 3 3 3 4 2" xfId="14916"/>
    <cellStyle name="Normal 86 3 3 3 4 2 2" xfId="38337"/>
    <cellStyle name="Normal 86 3 3 3 4 3" xfId="21007"/>
    <cellStyle name="Normal 86 3 3 3 4 3 2" xfId="43458"/>
    <cellStyle name="Normal 86 3 3 3 4 4" xfId="31705"/>
    <cellStyle name="Normal 86 3 3 3 5" xfId="11598"/>
    <cellStyle name="Normal 86 3 3 3 5 2" xfId="21953"/>
    <cellStyle name="Normal 86 3 3 3 5 2 2" xfId="44385"/>
    <cellStyle name="Normal 86 3 3 3 5 3" xfId="35021"/>
    <cellStyle name="Normal 86 3 3 3 6" xfId="18849"/>
    <cellStyle name="Normal 86 3 3 3 6 2" xfId="41642"/>
    <cellStyle name="Normal 86 3 3 3 7" xfId="25985"/>
    <cellStyle name="Normal 86 3 3 3 7 2" xfId="48230"/>
    <cellStyle name="Normal 86 3 3 3 8" xfId="28389"/>
    <cellStyle name="Normal 86 3 3 4" xfId="2699"/>
    <cellStyle name="Normal 86 3 3 4 2" xfId="5792"/>
    <cellStyle name="Normal 86 3 3 4 2 2" xfId="7574"/>
    <cellStyle name="Normal 86 3 3 4 2 2 2" xfId="10903"/>
    <cellStyle name="Normal 86 3 3 4 2 2 2 2" xfId="17607"/>
    <cellStyle name="Normal 86 3 3 4 2 2 2 2 2" xfId="41028"/>
    <cellStyle name="Normal 86 3 3 4 2 2 2 3" xfId="34396"/>
    <cellStyle name="Normal 86 3 3 4 2 2 3" xfId="14291"/>
    <cellStyle name="Normal 86 3 3 4 2 2 3 2" xfId="37712"/>
    <cellStyle name="Normal 86 3 3 4 2 2 4" xfId="22984"/>
    <cellStyle name="Normal 86 3 3 4 2 2 4 2" xfId="45406"/>
    <cellStyle name="Normal 86 3 3 4 2 2 5" xfId="31080"/>
    <cellStyle name="Normal 86 3 3 4 2 3" xfId="9245"/>
    <cellStyle name="Normal 86 3 3 4 2 3 2" xfId="15949"/>
    <cellStyle name="Normal 86 3 3 4 2 3 2 2" xfId="39370"/>
    <cellStyle name="Normal 86 3 3 4 2 3 3" xfId="32738"/>
    <cellStyle name="Normal 86 3 3 4 2 4" xfId="12633"/>
    <cellStyle name="Normal 86 3 3 4 2 4 2" xfId="36054"/>
    <cellStyle name="Normal 86 3 3 4 2 5" xfId="20156"/>
    <cellStyle name="Normal 86 3 3 4 2 5 2" xfId="42691"/>
    <cellStyle name="Normal 86 3 3 4 2 6" xfId="29422"/>
    <cellStyle name="Normal 86 3 3 4 3" xfId="6675"/>
    <cellStyle name="Normal 86 3 3 4 3 2" xfId="10007"/>
    <cellStyle name="Normal 86 3 3 4 3 2 2" xfId="16711"/>
    <cellStyle name="Normal 86 3 3 4 3 2 2 2" xfId="40132"/>
    <cellStyle name="Normal 86 3 3 4 3 2 3" xfId="33500"/>
    <cellStyle name="Normal 86 3 3 4 3 3" xfId="13395"/>
    <cellStyle name="Normal 86 3 3 4 3 3 2" xfId="36816"/>
    <cellStyle name="Normal 86 3 3 4 3 4" xfId="21463"/>
    <cellStyle name="Normal 86 3 3 4 3 4 2" xfId="43914"/>
    <cellStyle name="Normal 86 3 3 4 3 5" xfId="30184"/>
    <cellStyle name="Normal 86 3 3 4 4" xfId="8341"/>
    <cellStyle name="Normal 86 3 3 4 4 2" xfId="15053"/>
    <cellStyle name="Normal 86 3 3 4 4 2 2" xfId="38474"/>
    <cellStyle name="Normal 86 3 3 4 4 3" xfId="22167"/>
    <cellStyle name="Normal 86 3 3 4 4 3 2" xfId="44591"/>
    <cellStyle name="Normal 86 3 3 4 4 4" xfId="31842"/>
    <cellStyle name="Normal 86 3 3 4 5" xfId="11735"/>
    <cellStyle name="Normal 86 3 3 4 5 2" xfId="35158"/>
    <cellStyle name="Normal 86 3 3 4 6" xfId="19306"/>
    <cellStyle name="Normal 86 3 3 4 6 2" xfId="41859"/>
    <cellStyle name="Normal 86 3 3 4 7" xfId="28526"/>
    <cellStyle name="Normal 86 3 3 5" xfId="4260"/>
    <cellStyle name="Normal 86 3 3 5 2" xfId="7138"/>
    <cellStyle name="Normal 86 3 3 5 2 2" xfId="10470"/>
    <cellStyle name="Normal 86 3 3 5 2 2 2" xfId="17174"/>
    <cellStyle name="Normal 86 3 3 5 2 2 2 2" xfId="40595"/>
    <cellStyle name="Normal 86 3 3 5 2 2 3" xfId="33963"/>
    <cellStyle name="Normal 86 3 3 5 2 3" xfId="13858"/>
    <cellStyle name="Normal 86 3 3 5 2 3 2" xfId="37279"/>
    <cellStyle name="Normal 86 3 3 5 2 4" xfId="22578"/>
    <cellStyle name="Normal 86 3 3 5 2 4 2" xfId="45000"/>
    <cellStyle name="Normal 86 3 3 5 2 5" xfId="30647"/>
    <cellStyle name="Normal 86 3 3 5 3" xfId="8805"/>
    <cellStyle name="Normal 86 3 3 5 3 2" xfId="15516"/>
    <cellStyle name="Normal 86 3 3 5 3 2 2" xfId="38937"/>
    <cellStyle name="Normal 86 3 3 5 3 3" xfId="32305"/>
    <cellStyle name="Normal 86 3 3 5 4" xfId="12198"/>
    <cellStyle name="Normal 86 3 3 5 4 2" xfId="35621"/>
    <cellStyle name="Normal 86 3 3 5 5" xfId="19738"/>
    <cellStyle name="Normal 86 3 3 5 5 2" xfId="42275"/>
    <cellStyle name="Normal 86 3 3 5 6" xfId="28989"/>
    <cellStyle name="Normal 86 3 3 6" xfId="6202"/>
    <cellStyle name="Normal 86 3 3 6 2" xfId="9536"/>
    <cellStyle name="Normal 86 3 3 6 2 2" xfId="16240"/>
    <cellStyle name="Normal 86 3 3 6 2 2 2" xfId="39661"/>
    <cellStyle name="Normal 86 3 3 6 2 3" xfId="33029"/>
    <cellStyle name="Normal 86 3 3 6 3" xfId="12924"/>
    <cellStyle name="Normal 86 3 3 6 3 2" xfId="36345"/>
    <cellStyle name="Normal 86 3 3 6 4" xfId="21004"/>
    <cellStyle name="Normal 86 3 3 6 4 2" xfId="43455"/>
    <cellStyle name="Normal 86 3 3 6 5" xfId="29713"/>
    <cellStyle name="Normal 86 3 3 7" xfId="7868"/>
    <cellStyle name="Normal 86 3 3 7 2" xfId="14582"/>
    <cellStyle name="Normal 86 3 3 7 2 2" xfId="38003"/>
    <cellStyle name="Normal 86 3 3 7 3" xfId="21728"/>
    <cellStyle name="Normal 86 3 3 7 3 2" xfId="44177"/>
    <cellStyle name="Normal 86 3 3 7 4" xfId="31371"/>
    <cellStyle name="Normal 86 3 3 8" xfId="11264"/>
    <cellStyle name="Normal 86 3 3 8 2" xfId="34687"/>
    <cellStyle name="Normal 86 3 3 9" xfId="18122"/>
    <cellStyle name="Normal 86 3 3 9 2" xfId="41407"/>
    <cellStyle name="Normal 86 3 4" xfId="1735"/>
    <cellStyle name="Normal 86 3 4 10" xfId="28087"/>
    <cellStyle name="Normal 86 3 4 2" xfId="2382"/>
    <cellStyle name="Normal 86 3 4 2 2" xfId="5616"/>
    <cellStyle name="Normal 86 3 4 2 2 2" xfId="7438"/>
    <cellStyle name="Normal 86 3 4 2 2 2 2" xfId="10769"/>
    <cellStyle name="Normal 86 3 4 2 2 2 2 2" xfId="17473"/>
    <cellStyle name="Normal 86 3 4 2 2 2 2 2 2" xfId="40894"/>
    <cellStyle name="Normal 86 3 4 2 2 2 2 3" xfId="23191"/>
    <cellStyle name="Normal 86 3 4 2 2 2 2 3 2" xfId="45613"/>
    <cellStyle name="Normal 86 3 4 2 2 2 2 4" xfId="34262"/>
    <cellStyle name="Normal 86 3 4 2 2 2 3" xfId="14157"/>
    <cellStyle name="Normal 86 3 4 2 2 2 3 2" xfId="37578"/>
    <cellStyle name="Normal 86 3 4 2 2 2 4" xfId="20366"/>
    <cellStyle name="Normal 86 3 4 2 2 2 4 2" xfId="42901"/>
    <cellStyle name="Normal 86 3 4 2 2 2 5" xfId="30946"/>
    <cellStyle name="Normal 86 3 4 2 2 3" xfId="9111"/>
    <cellStyle name="Normal 86 3 4 2 2 3 2" xfId="15815"/>
    <cellStyle name="Normal 86 3 4 2 2 3 2 2" xfId="39236"/>
    <cellStyle name="Normal 86 3 4 2 2 3 3" xfId="21468"/>
    <cellStyle name="Normal 86 3 4 2 2 3 3 2" xfId="43919"/>
    <cellStyle name="Normal 86 3 4 2 2 3 4" xfId="32604"/>
    <cellStyle name="Normal 86 3 4 2 2 4" xfId="12499"/>
    <cellStyle name="Normal 86 3 4 2 2 4 2" xfId="22379"/>
    <cellStyle name="Normal 86 3 4 2 2 4 2 2" xfId="44801"/>
    <cellStyle name="Normal 86 3 4 2 2 4 3" xfId="35920"/>
    <cellStyle name="Normal 86 3 4 2 2 5" xfId="19527"/>
    <cellStyle name="Normal 86 3 4 2 2 5 2" xfId="42069"/>
    <cellStyle name="Normal 86 3 4 2 2 6" xfId="29288"/>
    <cellStyle name="Normal 86 3 4 2 3" xfId="6538"/>
    <cellStyle name="Normal 86 3 4 2 3 2" xfId="9872"/>
    <cellStyle name="Normal 86 3 4 2 3 2 2" xfId="16576"/>
    <cellStyle name="Normal 86 3 4 2 3 2 2 2" xfId="39997"/>
    <cellStyle name="Normal 86 3 4 2 3 2 3" xfId="22786"/>
    <cellStyle name="Normal 86 3 4 2 3 2 3 2" xfId="45208"/>
    <cellStyle name="Normal 86 3 4 2 3 2 4" xfId="33365"/>
    <cellStyle name="Normal 86 3 4 2 3 3" xfId="13260"/>
    <cellStyle name="Normal 86 3 4 2 3 3 2" xfId="36681"/>
    <cellStyle name="Normal 86 3 4 2 3 4" xfId="19950"/>
    <cellStyle name="Normal 86 3 4 2 3 4 2" xfId="42485"/>
    <cellStyle name="Normal 86 3 4 2 3 5" xfId="30049"/>
    <cellStyle name="Normal 86 3 4 2 4" xfId="8205"/>
    <cellStyle name="Normal 86 3 4 2 4 2" xfId="14918"/>
    <cellStyle name="Normal 86 3 4 2 4 2 2" xfId="38339"/>
    <cellStyle name="Normal 86 3 4 2 4 3" xfId="21009"/>
    <cellStyle name="Normal 86 3 4 2 4 3 2" xfId="43460"/>
    <cellStyle name="Normal 86 3 4 2 4 4" xfId="31707"/>
    <cellStyle name="Normal 86 3 4 2 5" xfId="11600"/>
    <cellStyle name="Normal 86 3 4 2 5 2" xfId="21955"/>
    <cellStyle name="Normal 86 3 4 2 5 2 2" xfId="44387"/>
    <cellStyle name="Normal 86 3 4 2 5 3" xfId="35023"/>
    <cellStyle name="Normal 86 3 4 2 6" xfId="18851"/>
    <cellStyle name="Normal 86 3 4 2 6 2" xfId="41644"/>
    <cellStyle name="Normal 86 3 4 2 7" xfId="25987"/>
    <cellStyle name="Normal 86 3 4 2 7 2" xfId="48232"/>
    <cellStyle name="Normal 86 3 4 2 8" xfId="28391"/>
    <cellStyle name="Normal 86 3 4 3" xfId="2732"/>
    <cellStyle name="Normal 86 3 4 3 2" xfId="5824"/>
    <cellStyle name="Normal 86 3 4 3 2 2" xfId="7606"/>
    <cellStyle name="Normal 86 3 4 3 2 2 2" xfId="10935"/>
    <cellStyle name="Normal 86 3 4 3 2 2 2 2" xfId="17639"/>
    <cellStyle name="Normal 86 3 4 3 2 2 2 2 2" xfId="41060"/>
    <cellStyle name="Normal 86 3 4 3 2 2 2 3" xfId="34428"/>
    <cellStyle name="Normal 86 3 4 3 2 2 3" xfId="14323"/>
    <cellStyle name="Normal 86 3 4 3 2 2 3 2" xfId="37744"/>
    <cellStyle name="Normal 86 3 4 3 2 2 4" xfId="22986"/>
    <cellStyle name="Normal 86 3 4 3 2 2 4 2" xfId="45408"/>
    <cellStyle name="Normal 86 3 4 3 2 2 5" xfId="31112"/>
    <cellStyle name="Normal 86 3 4 3 2 3" xfId="9277"/>
    <cellStyle name="Normal 86 3 4 3 2 3 2" xfId="15981"/>
    <cellStyle name="Normal 86 3 4 3 2 3 2 2" xfId="39402"/>
    <cellStyle name="Normal 86 3 4 3 2 3 3" xfId="32770"/>
    <cellStyle name="Normal 86 3 4 3 2 4" xfId="12665"/>
    <cellStyle name="Normal 86 3 4 3 2 4 2" xfId="36086"/>
    <cellStyle name="Normal 86 3 4 3 2 5" xfId="20158"/>
    <cellStyle name="Normal 86 3 4 3 2 5 2" xfId="42693"/>
    <cellStyle name="Normal 86 3 4 3 2 6" xfId="29454"/>
    <cellStyle name="Normal 86 3 4 3 3" xfId="6707"/>
    <cellStyle name="Normal 86 3 4 3 3 2" xfId="10039"/>
    <cellStyle name="Normal 86 3 4 3 3 2 2" xfId="16743"/>
    <cellStyle name="Normal 86 3 4 3 3 2 2 2" xfId="40164"/>
    <cellStyle name="Normal 86 3 4 3 3 2 3" xfId="33532"/>
    <cellStyle name="Normal 86 3 4 3 3 3" xfId="13427"/>
    <cellStyle name="Normal 86 3 4 3 3 3 2" xfId="36848"/>
    <cellStyle name="Normal 86 3 4 3 3 4" xfId="21467"/>
    <cellStyle name="Normal 86 3 4 3 3 4 2" xfId="43918"/>
    <cellStyle name="Normal 86 3 4 3 3 5" xfId="30216"/>
    <cellStyle name="Normal 86 3 4 3 4" xfId="8373"/>
    <cellStyle name="Normal 86 3 4 3 4 2" xfId="15085"/>
    <cellStyle name="Normal 86 3 4 3 4 2 2" xfId="38506"/>
    <cellStyle name="Normal 86 3 4 3 4 3" xfId="22169"/>
    <cellStyle name="Normal 86 3 4 3 4 3 2" xfId="44593"/>
    <cellStyle name="Normal 86 3 4 3 4 4" xfId="31874"/>
    <cellStyle name="Normal 86 3 4 3 5" xfId="11767"/>
    <cellStyle name="Normal 86 3 4 3 5 2" xfId="35190"/>
    <cellStyle name="Normal 86 3 4 3 6" xfId="19308"/>
    <cellStyle name="Normal 86 3 4 3 6 2" xfId="41861"/>
    <cellStyle name="Normal 86 3 4 3 7" xfId="28558"/>
    <cellStyle name="Normal 86 3 4 4" xfId="4262"/>
    <cellStyle name="Normal 86 3 4 4 2" xfId="7140"/>
    <cellStyle name="Normal 86 3 4 4 2 2" xfId="10472"/>
    <cellStyle name="Normal 86 3 4 4 2 2 2" xfId="17176"/>
    <cellStyle name="Normal 86 3 4 4 2 2 2 2" xfId="40597"/>
    <cellStyle name="Normal 86 3 4 4 2 2 3" xfId="33965"/>
    <cellStyle name="Normal 86 3 4 4 2 3" xfId="13860"/>
    <cellStyle name="Normal 86 3 4 4 2 3 2" xfId="37281"/>
    <cellStyle name="Normal 86 3 4 4 2 4" xfId="22580"/>
    <cellStyle name="Normal 86 3 4 4 2 4 2" xfId="45002"/>
    <cellStyle name="Normal 86 3 4 4 2 5" xfId="30649"/>
    <cellStyle name="Normal 86 3 4 4 3" xfId="8807"/>
    <cellStyle name="Normal 86 3 4 4 3 2" xfId="15518"/>
    <cellStyle name="Normal 86 3 4 4 3 2 2" xfId="38939"/>
    <cellStyle name="Normal 86 3 4 4 3 3" xfId="32307"/>
    <cellStyle name="Normal 86 3 4 4 4" xfId="12200"/>
    <cellStyle name="Normal 86 3 4 4 4 2" xfId="35623"/>
    <cellStyle name="Normal 86 3 4 4 5" xfId="19740"/>
    <cellStyle name="Normal 86 3 4 4 5 2" xfId="42277"/>
    <cellStyle name="Normal 86 3 4 4 6" xfId="28991"/>
    <cellStyle name="Normal 86 3 4 5" xfId="6234"/>
    <cellStyle name="Normal 86 3 4 5 2" xfId="9568"/>
    <cellStyle name="Normal 86 3 4 5 2 2" xfId="16272"/>
    <cellStyle name="Normal 86 3 4 5 2 2 2" xfId="39693"/>
    <cellStyle name="Normal 86 3 4 5 2 3" xfId="33061"/>
    <cellStyle name="Normal 86 3 4 5 3" xfId="12956"/>
    <cellStyle name="Normal 86 3 4 5 3 2" xfId="36377"/>
    <cellStyle name="Normal 86 3 4 5 4" xfId="21008"/>
    <cellStyle name="Normal 86 3 4 5 4 2" xfId="43459"/>
    <cellStyle name="Normal 86 3 4 5 5" xfId="29745"/>
    <cellStyle name="Normal 86 3 4 6" xfId="7900"/>
    <cellStyle name="Normal 86 3 4 6 2" xfId="14614"/>
    <cellStyle name="Normal 86 3 4 6 2 2" xfId="38035"/>
    <cellStyle name="Normal 86 3 4 6 3" xfId="21730"/>
    <cellStyle name="Normal 86 3 4 6 3 2" xfId="44179"/>
    <cellStyle name="Normal 86 3 4 6 4" xfId="31403"/>
    <cellStyle name="Normal 86 3 4 7" xfId="11296"/>
    <cellStyle name="Normal 86 3 4 7 2" xfId="34719"/>
    <cellStyle name="Normal 86 3 4 8" xfId="18124"/>
    <cellStyle name="Normal 86 3 4 8 2" xfId="41409"/>
    <cellStyle name="Normal 86 3 4 9" xfId="23756"/>
    <cellStyle name="Normal 86 3 4 9 2" xfId="46045"/>
    <cellStyle name="Normal 86 3 5" xfId="2375"/>
    <cellStyle name="Normal 86 3 5 2" xfId="5609"/>
    <cellStyle name="Normal 86 3 5 2 2" xfId="7431"/>
    <cellStyle name="Normal 86 3 5 2 2 2" xfId="10762"/>
    <cellStyle name="Normal 86 3 5 2 2 2 2" xfId="17466"/>
    <cellStyle name="Normal 86 3 5 2 2 2 2 2" xfId="40887"/>
    <cellStyle name="Normal 86 3 5 2 2 2 3" xfId="23184"/>
    <cellStyle name="Normal 86 3 5 2 2 2 3 2" xfId="45606"/>
    <cellStyle name="Normal 86 3 5 2 2 2 4" xfId="34255"/>
    <cellStyle name="Normal 86 3 5 2 2 3" xfId="14150"/>
    <cellStyle name="Normal 86 3 5 2 2 3 2" xfId="37571"/>
    <cellStyle name="Normal 86 3 5 2 2 4" xfId="20359"/>
    <cellStyle name="Normal 86 3 5 2 2 4 2" xfId="42894"/>
    <cellStyle name="Normal 86 3 5 2 2 5" xfId="30939"/>
    <cellStyle name="Normal 86 3 5 2 3" xfId="9104"/>
    <cellStyle name="Normal 86 3 5 2 3 2" xfId="15808"/>
    <cellStyle name="Normal 86 3 5 2 3 2 2" xfId="39229"/>
    <cellStyle name="Normal 86 3 5 2 3 3" xfId="21469"/>
    <cellStyle name="Normal 86 3 5 2 3 3 2" xfId="43920"/>
    <cellStyle name="Normal 86 3 5 2 3 4" xfId="32597"/>
    <cellStyle name="Normal 86 3 5 2 4" xfId="12492"/>
    <cellStyle name="Normal 86 3 5 2 4 2" xfId="22372"/>
    <cellStyle name="Normal 86 3 5 2 4 2 2" xfId="44794"/>
    <cellStyle name="Normal 86 3 5 2 4 3" xfId="35913"/>
    <cellStyle name="Normal 86 3 5 2 5" xfId="19520"/>
    <cellStyle name="Normal 86 3 5 2 5 2" xfId="42062"/>
    <cellStyle name="Normal 86 3 5 2 6" xfId="29281"/>
    <cellStyle name="Normal 86 3 5 3" xfId="6531"/>
    <cellStyle name="Normal 86 3 5 3 2" xfId="9865"/>
    <cellStyle name="Normal 86 3 5 3 2 2" xfId="16569"/>
    <cellStyle name="Normal 86 3 5 3 2 2 2" xfId="39990"/>
    <cellStyle name="Normal 86 3 5 3 2 3" xfId="22779"/>
    <cellStyle name="Normal 86 3 5 3 2 3 2" xfId="45201"/>
    <cellStyle name="Normal 86 3 5 3 2 4" xfId="33358"/>
    <cellStyle name="Normal 86 3 5 3 3" xfId="13253"/>
    <cellStyle name="Normal 86 3 5 3 3 2" xfId="36674"/>
    <cellStyle name="Normal 86 3 5 3 4" xfId="19943"/>
    <cellStyle name="Normal 86 3 5 3 4 2" xfId="42478"/>
    <cellStyle name="Normal 86 3 5 3 5" xfId="30042"/>
    <cellStyle name="Normal 86 3 5 4" xfId="8198"/>
    <cellStyle name="Normal 86 3 5 4 2" xfId="14911"/>
    <cellStyle name="Normal 86 3 5 4 2 2" xfId="38332"/>
    <cellStyle name="Normal 86 3 5 4 3" xfId="21010"/>
    <cellStyle name="Normal 86 3 5 4 3 2" xfId="43461"/>
    <cellStyle name="Normal 86 3 5 4 4" xfId="31700"/>
    <cellStyle name="Normal 86 3 5 5" xfId="11593"/>
    <cellStyle name="Normal 86 3 5 5 2" xfId="21948"/>
    <cellStyle name="Normal 86 3 5 5 2 2" xfId="44380"/>
    <cellStyle name="Normal 86 3 5 5 3" xfId="35016"/>
    <cellStyle name="Normal 86 3 5 6" xfId="18844"/>
    <cellStyle name="Normal 86 3 5 6 2" xfId="41637"/>
    <cellStyle name="Normal 86 3 5 7" xfId="25980"/>
    <cellStyle name="Normal 86 3 5 7 2" xfId="48225"/>
    <cellStyle name="Normal 86 3 5 8" xfId="28384"/>
    <cellStyle name="Normal 86 3 6" xfId="2600"/>
    <cellStyle name="Normal 86 3 6 2" xfId="5693"/>
    <cellStyle name="Normal 86 3 6 2 2" xfId="7475"/>
    <cellStyle name="Normal 86 3 6 2 2 2" xfId="10804"/>
    <cellStyle name="Normal 86 3 6 2 2 2 2" xfId="17508"/>
    <cellStyle name="Normal 86 3 6 2 2 2 2 2" xfId="40929"/>
    <cellStyle name="Normal 86 3 6 2 2 2 3" xfId="34297"/>
    <cellStyle name="Normal 86 3 6 2 2 3" xfId="14192"/>
    <cellStyle name="Normal 86 3 6 2 2 3 2" xfId="37613"/>
    <cellStyle name="Normal 86 3 6 2 2 4" xfId="20613"/>
    <cellStyle name="Normal 86 3 6 2 2 4 2" xfId="43064"/>
    <cellStyle name="Normal 86 3 6 2 2 5" xfId="30981"/>
    <cellStyle name="Normal 86 3 6 2 3" xfId="9146"/>
    <cellStyle name="Normal 86 3 6 2 3 2" xfId="15850"/>
    <cellStyle name="Normal 86 3 6 2 3 2 2" xfId="39271"/>
    <cellStyle name="Normal 86 3 6 2 3 3" xfId="21531"/>
    <cellStyle name="Normal 86 3 6 2 3 3 2" xfId="43982"/>
    <cellStyle name="Normal 86 3 6 2 3 4" xfId="32639"/>
    <cellStyle name="Normal 86 3 6 2 4" xfId="12534"/>
    <cellStyle name="Normal 86 3 6 2 4 2" xfId="22979"/>
    <cellStyle name="Normal 86 3 6 2 4 2 2" xfId="45401"/>
    <cellStyle name="Normal 86 3 6 2 4 3" xfId="35955"/>
    <cellStyle name="Normal 86 3 6 2 5" xfId="20151"/>
    <cellStyle name="Normal 86 3 6 2 5 2" xfId="42686"/>
    <cellStyle name="Normal 86 3 6 2 6" xfId="29323"/>
    <cellStyle name="Normal 86 3 6 3" xfId="6576"/>
    <cellStyle name="Normal 86 3 6 3 2" xfId="9908"/>
    <cellStyle name="Normal 86 3 6 3 2 2" xfId="16612"/>
    <cellStyle name="Normal 86 3 6 3 2 2 2" xfId="40033"/>
    <cellStyle name="Normal 86 3 6 3 2 3" xfId="33401"/>
    <cellStyle name="Normal 86 3 6 3 3" xfId="13296"/>
    <cellStyle name="Normal 86 3 6 3 3 2" xfId="36717"/>
    <cellStyle name="Normal 86 3 6 3 4" xfId="20515"/>
    <cellStyle name="Normal 86 3 6 3 4 2" xfId="42968"/>
    <cellStyle name="Normal 86 3 6 3 5" xfId="30085"/>
    <cellStyle name="Normal 86 3 6 4" xfId="8242"/>
    <cellStyle name="Normal 86 3 6 4 2" xfId="14954"/>
    <cellStyle name="Normal 86 3 6 4 2 2" xfId="38375"/>
    <cellStyle name="Normal 86 3 6 4 3" xfId="21072"/>
    <cellStyle name="Normal 86 3 6 4 3 2" xfId="43523"/>
    <cellStyle name="Normal 86 3 6 4 4" xfId="31743"/>
    <cellStyle name="Normal 86 3 6 5" xfId="11636"/>
    <cellStyle name="Normal 86 3 6 5 2" xfId="22162"/>
    <cellStyle name="Normal 86 3 6 5 2 2" xfId="44586"/>
    <cellStyle name="Normal 86 3 6 5 3" xfId="35059"/>
    <cellStyle name="Normal 86 3 6 6" xfId="19301"/>
    <cellStyle name="Normal 86 3 6 6 2" xfId="41854"/>
    <cellStyle name="Normal 86 3 6 7" xfId="28427"/>
    <cellStyle name="Normal 86 3 7" xfId="4255"/>
    <cellStyle name="Normal 86 3 7 2" xfId="7133"/>
    <cellStyle name="Normal 86 3 7 2 2" xfId="10465"/>
    <cellStyle name="Normal 86 3 7 2 2 2" xfId="17169"/>
    <cellStyle name="Normal 86 3 7 2 2 2 2" xfId="40590"/>
    <cellStyle name="Normal 86 3 7 2 2 3" xfId="33958"/>
    <cellStyle name="Normal 86 3 7 2 3" xfId="13853"/>
    <cellStyle name="Normal 86 3 7 2 3 2" xfId="37274"/>
    <cellStyle name="Normal 86 3 7 2 4" xfId="20564"/>
    <cellStyle name="Normal 86 3 7 2 4 2" xfId="43015"/>
    <cellStyle name="Normal 86 3 7 2 5" xfId="30642"/>
    <cellStyle name="Normal 86 3 7 3" xfId="8800"/>
    <cellStyle name="Normal 86 3 7 3 2" xfId="15511"/>
    <cellStyle name="Normal 86 3 7 3 2 2" xfId="38932"/>
    <cellStyle name="Normal 86 3 7 3 3" xfId="21454"/>
    <cellStyle name="Normal 86 3 7 3 3 2" xfId="43905"/>
    <cellStyle name="Normal 86 3 7 3 4" xfId="32300"/>
    <cellStyle name="Normal 86 3 7 4" xfId="12193"/>
    <cellStyle name="Normal 86 3 7 4 2" xfId="22573"/>
    <cellStyle name="Normal 86 3 7 4 2 2" xfId="44995"/>
    <cellStyle name="Normal 86 3 7 4 3" xfId="35616"/>
    <cellStyle name="Normal 86 3 7 5" xfId="19733"/>
    <cellStyle name="Normal 86 3 7 5 2" xfId="42270"/>
    <cellStyle name="Normal 86 3 7 6" xfId="28984"/>
    <cellStyle name="Normal 86 3 8" xfId="6103"/>
    <cellStyle name="Normal 86 3 8 2" xfId="9437"/>
    <cellStyle name="Normal 86 3 8 2 2" xfId="16141"/>
    <cellStyle name="Normal 86 3 8 2 2 2" xfId="39562"/>
    <cellStyle name="Normal 86 3 8 2 3" xfId="32930"/>
    <cellStyle name="Normal 86 3 8 3" xfId="12825"/>
    <cellStyle name="Normal 86 3 8 3 2" xfId="36246"/>
    <cellStyle name="Normal 86 3 8 4" xfId="20466"/>
    <cellStyle name="Normal 86 3 8 4 2" xfId="42919"/>
    <cellStyle name="Normal 86 3 8 5" xfId="29614"/>
    <cellStyle name="Normal 86 3 9" xfId="7769"/>
    <cellStyle name="Normal 86 3 9 2" xfId="14483"/>
    <cellStyle name="Normal 86 3 9 2 2" xfId="37904"/>
    <cellStyle name="Normal 86 3 9 3" xfId="20995"/>
    <cellStyle name="Normal 86 3 9 3 2" xfId="43446"/>
    <cellStyle name="Normal 86 3 9 4" xfId="31272"/>
    <cellStyle name="Normal 86 4" xfId="1428"/>
    <cellStyle name="Normal 86 4 10" xfId="18125"/>
    <cellStyle name="Normal 86 4 10 2" xfId="41410"/>
    <cellStyle name="Normal 86 4 11" xfId="23757"/>
    <cellStyle name="Normal 86 4 11 2" xfId="46046"/>
    <cellStyle name="Normal 86 4 12" xfId="27964"/>
    <cellStyle name="Normal 86 4 2" xfId="1643"/>
    <cellStyle name="Normal 86 4 2 10" xfId="23758"/>
    <cellStyle name="Normal 86 4 2 10 2" xfId="46047"/>
    <cellStyle name="Normal 86 4 2 11" xfId="28057"/>
    <cellStyle name="Normal 86 4 2 2" xfId="1836"/>
    <cellStyle name="Normal 86 4 2 2 10" xfId="28188"/>
    <cellStyle name="Normal 86 4 2 2 2" xfId="2385"/>
    <cellStyle name="Normal 86 4 2 2 2 2" xfId="5619"/>
    <cellStyle name="Normal 86 4 2 2 2 2 2" xfId="7441"/>
    <cellStyle name="Normal 86 4 2 2 2 2 2 2" xfId="10772"/>
    <cellStyle name="Normal 86 4 2 2 2 2 2 2 2" xfId="17476"/>
    <cellStyle name="Normal 86 4 2 2 2 2 2 2 2 2" xfId="40897"/>
    <cellStyle name="Normal 86 4 2 2 2 2 2 2 3" xfId="23194"/>
    <cellStyle name="Normal 86 4 2 2 2 2 2 2 3 2" xfId="45616"/>
    <cellStyle name="Normal 86 4 2 2 2 2 2 2 4" xfId="34265"/>
    <cellStyle name="Normal 86 4 2 2 2 2 2 3" xfId="14160"/>
    <cellStyle name="Normal 86 4 2 2 2 2 2 3 2" xfId="37581"/>
    <cellStyle name="Normal 86 4 2 2 2 2 2 4" xfId="20369"/>
    <cellStyle name="Normal 86 4 2 2 2 2 2 4 2" xfId="42904"/>
    <cellStyle name="Normal 86 4 2 2 2 2 2 5" xfId="30949"/>
    <cellStyle name="Normal 86 4 2 2 2 2 3" xfId="9114"/>
    <cellStyle name="Normal 86 4 2 2 2 2 3 2" xfId="15818"/>
    <cellStyle name="Normal 86 4 2 2 2 2 3 2 2" xfId="39239"/>
    <cellStyle name="Normal 86 4 2 2 2 2 3 3" xfId="21473"/>
    <cellStyle name="Normal 86 4 2 2 2 2 3 3 2" xfId="43924"/>
    <cellStyle name="Normal 86 4 2 2 2 2 3 4" xfId="32607"/>
    <cellStyle name="Normal 86 4 2 2 2 2 4" xfId="12502"/>
    <cellStyle name="Normal 86 4 2 2 2 2 4 2" xfId="22382"/>
    <cellStyle name="Normal 86 4 2 2 2 2 4 2 2" xfId="44804"/>
    <cellStyle name="Normal 86 4 2 2 2 2 4 3" xfId="35923"/>
    <cellStyle name="Normal 86 4 2 2 2 2 5" xfId="19530"/>
    <cellStyle name="Normal 86 4 2 2 2 2 5 2" xfId="42072"/>
    <cellStyle name="Normal 86 4 2 2 2 2 6" xfId="29291"/>
    <cellStyle name="Normal 86 4 2 2 2 3" xfId="6541"/>
    <cellStyle name="Normal 86 4 2 2 2 3 2" xfId="9875"/>
    <cellStyle name="Normal 86 4 2 2 2 3 2 2" xfId="16579"/>
    <cellStyle name="Normal 86 4 2 2 2 3 2 2 2" xfId="40000"/>
    <cellStyle name="Normal 86 4 2 2 2 3 2 3" xfId="22789"/>
    <cellStyle name="Normal 86 4 2 2 2 3 2 3 2" xfId="45211"/>
    <cellStyle name="Normal 86 4 2 2 2 3 2 4" xfId="33368"/>
    <cellStyle name="Normal 86 4 2 2 2 3 3" xfId="13263"/>
    <cellStyle name="Normal 86 4 2 2 2 3 3 2" xfId="36684"/>
    <cellStyle name="Normal 86 4 2 2 2 3 4" xfId="19953"/>
    <cellStyle name="Normal 86 4 2 2 2 3 4 2" xfId="42488"/>
    <cellStyle name="Normal 86 4 2 2 2 3 5" xfId="30052"/>
    <cellStyle name="Normal 86 4 2 2 2 4" xfId="8208"/>
    <cellStyle name="Normal 86 4 2 2 2 4 2" xfId="14921"/>
    <cellStyle name="Normal 86 4 2 2 2 4 2 2" xfId="38342"/>
    <cellStyle name="Normal 86 4 2 2 2 4 3" xfId="21014"/>
    <cellStyle name="Normal 86 4 2 2 2 4 3 2" xfId="43465"/>
    <cellStyle name="Normal 86 4 2 2 2 4 4" xfId="31710"/>
    <cellStyle name="Normal 86 4 2 2 2 5" xfId="11603"/>
    <cellStyle name="Normal 86 4 2 2 2 5 2" xfId="21958"/>
    <cellStyle name="Normal 86 4 2 2 2 5 2 2" xfId="44390"/>
    <cellStyle name="Normal 86 4 2 2 2 5 3" xfId="35026"/>
    <cellStyle name="Normal 86 4 2 2 2 6" xfId="18854"/>
    <cellStyle name="Normal 86 4 2 2 2 6 2" xfId="41647"/>
    <cellStyle name="Normal 86 4 2 2 2 7" xfId="25990"/>
    <cellStyle name="Normal 86 4 2 2 2 7 2" xfId="48235"/>
    <cellStyle name="Normal 86 4 2 2 2 8" xfId="28394"/>
    <cellStyle name="Normal 86 4 2 2 3" xfId="2833"/>
    <cellStyle name="Normal 86 4 2 2 3 2" xfId="5925"/>
    <cellStyle name="Normal 86 4 2 2 3 2 2" xfId="7707"/>
    <cellStyle name="Normal 86 4 2 2 3 2 2 2" xfId="11036"/>
    <cellStyle name="Normal 86 4 2 2 3 2 2 2 2" xfId="17740"/>
    <cellStyle name="Normal 86 4 2 2 3 2 2 2 2 2" xfId="41161"/>
    <cellStyle name="Normal 86 4 2 2 3 2 2 2 3" xfId="34529"/>
    <cellStyle name="Normal 86 4 2 2 3 2 2 3" xfId="14424"/>
    <cellStyle name="Normal 86 4 2 2 3 2 2 3 2" xfId="37845"/>
    <cellStyle name="Normal 86 4 2 2 3 2 2 4" xfId="22989"/>
    <cellStyle name="Normal 86 4 2 2 3 2 2 4 2" xfId="45411"/>
    <cellStyle name="Normal 86 4 2 2 3 2 2 5" xfId="31213"/>
    <cellStyle name="Normal 86 4 2 2 3 2 3" xfId="9378"/>
    <cellStyle name="Normal 86 4 2 2 3 2 3 2" xfId="16082"/>
    <cellStyle name="Normal 86 4 2 2 3 2 3 2 2" xfId="39503"/>
    <cellStyle name="Normal 86 4 2 2 3 2 3 3" xfId="32871"/>
    <cellStyle name="Normal 86 4 2 2 3 2 4" xfId="12766"/>
    <cellStyle name="Normal 86 4 2 2 3 2 4 2" xfId="36187"/>
    <cellStyle name="Normal 86 4 2 2 3 2 5" xfId="20161"/>
    <cellStyle name="Normal 86 4 2 2 3 2 5 2" xfId="42696"/>
    <cellStyle name="Normal 86 4 2 2 3 2 6" xfId="29555"/>
    <cellStyle name="Normal 86 4 2 2 3 3" xfId="6808"/>
    <cellStyle name="Normal 86 4 2 2 3 3 2" xfId="10140"/>
    <cellStyle name="Normal 86 4 2 2 3 3 2 2" xfId="16844"/>
    <cellStyle name="Normal 86 4 2 2 3 3 2 2 2" xfId="40265"/>
    <cellStyle name="Normal 86 4 2 2 3 3 2 3" xfId="33633"/>
    <cellStyle name="Normal 86 4 2 2 3 3 3" xfId="13528"/>
    <cellStyle name="Normal 86 4 2 2 3 3 3 2" xfId="36949"/>
    <cellStyle name="Normal 86 4 2 2 3 3 4" xfId="21472"/>
    <cellStyle name="Normal 86 4 2 2 3 3 4 2" xfId="43923"/>
    <cellStyle name="Normal 86 4 2 2 3 3 5" xfId="30317"/>
    <cellStyle name="Normal 86 4 2 2 3 4" xfId="8474"/>
    <cellStyle name="Normal 86 4 2 2 3 4 2" xfId="15186"/>
    <cellStyle name="Normal 86 4 2 2 3 4 2 2" xfId="38607"/>
    <cellStyle name="Normal 86 4 2 2 3 4 3" xfId="22172"/>
    <cellStyle name="Normal 86 4 2 2 3 4 3 2" xfId="44596"/>
    <cellStyle name="Normal 86 4 2 2 3 4 4" xfId="31975"/>
    <cellStyle name="Normal 86 4 2 2 3 5" xfId="11868"/>
    <cellStyle name="Normal 86 4 2 2 3 5 2" xfId="35291"/>
    <cellStyle name="Normal 86 4 2 2 3 6" xfId="19311"/>
    <cellStyle name="Normal 86 4 2 2 3 6 2" xfId="41864"/>
    <cellStyle name="Normal 86 4 2 2 3 7" xfId="28659"/>
    <cellStyle name="Normal 86 4 2 2 4" xfId="4265"/>
    <cellStyle name="Normal 86 4 2 2 4 2" xfId="7143"/>
    <cellStyle name="Normal 86 4 2 2 4 2 2" xfId="10475"/>
    <cellStyle name="Normal 86 4 2 2 4 2 2 2" xfId="17179"/>
    <cellStyle name="Normal 86 4 2 2 4 2 2 2 2" xfId="40600"/>
    <cellStyle name="Normal 86 4 2 2 4 2 2 3" xfId="33968"/>
    <cellStyle name="Normal 86 4 2 2 4 2 3" xfId="13863"/>
    <cellStyle name="Normal 86 4 2 2 4 2 3 2" xfId="37284"/>
    <cellStyle name="Normal 86 4 2 2 4 2 4" xfId="22583"/>
    <cellStyle name="Normal 86 4 2 2 4 2 4 2" xfId="45005"/>
    <cellStyle name="Normal 86 4 2 2 4 2 5" xfId="30652"/>
    <cellStyle name="Normal 86 4 2 2 4 3" xfId="8810"/>
    <cellStyle name="Normal 86 4 2 2 4 3 2" xfId="15521"/>
    <cellStyle name="Normal 86 4 2 2 4 3 2 2" xfId="38942"/>
    <cellStyle name="Normal 86 4 2 2 4 3 3" xfId="32310"/>
    <cellStyle name="Normal 86 4 2 2 4 4" xfId="12203"/>
    <cellStyle name="Normal 86 4 2 2 4 4 2" xfId="35626"/>
    <cellStyle name="Normal 86 4 2 2 4 5" xfId="19743"/>
    <cellStyle name="Normal 86 4 2 2 4 5 2" xfId="42280"/>
    <cellStyle name="Normal 86 4 2 2 4 6" xfId="28994"/>
    <cellStyle name="Normal 86 4 2 2 5" xfId="6335"/>
    <cellStyle name="Normal 86 4 2 2 5 2" xfId="9669"/>
    <cellStyle name="Normal 86 4 2 2 5 2 2" xfId="16373"/>
    <cellStyle name="Normal 86 4 2 2 5 2 2 2" xfId="39794"/>
    <cellStyle name="Normal 86 4 2 2 5 2 3" xfId="33162"/>
    <cellStyle name="Normal 86 4 2 2 5 3" xfId="13057"/>
    <cellStyle name="Normal 86 4 2 2 5 3 2" xfId="36478"/>
    <cellStyle name="Normal 86 4 2 2 5 4" xfId="21013"/>
    <cellStyle name="Normal 86 4 2 2 5 4 2" xfId="43464"/>
    <cellStyle name="Normal 86 4 2 2 5 5" xfId="29846"/>
    <cellStyle name="Normal 86 4 2 2 6" xfId="8001"/>
    <cellStyle name="Normal 86 4 2 2 6 2" xfId="14715"/>
    <cellStyle name="Normal 86 4 2 2 6 2 2" xfId="38136"/>
    <cellStyle name="Normal 86 4 2 2 6 3" xfId="21733"/>
    <cellStyle name="Normal 86 4 2 2 6 3 2" xfId="44182"/>
    <cellStyle name="Normal 86 4 2 2 6 4" xfId="31504"/>
    <cellStyle name="Normal 86 4 2 2 7" xfId="11397"/>
    <cellStyle name="Normal 86 4 2 2 7 2" xfId="34820"/>
    <cellStyle name="Normal 86 4 2 2 8" xfId="18127"/>
    <cellStyle name="Normal 86 4 2 2 8 2" xfId="41412"/>
    <cellStyle name="Normal 86 4 2 2 9" xfId="23759"/>
    <cellStyle name="Normal 86 4 2 2 9 2" xfId="46048"/>
    <cellStyle name="Normal 86 4 2 3" xfId="2384"/>
    <cellStyle name="Normal 86 4 2 3 2" xfId="5618"/>
    <cellStyle name="Normal 86 4 2 3 2 2" xfId="7440"/>
    <cellStyle name="Normal 86 4 2 3 2 2 2" xfId="10771"/>
    <cellStyle name="Normal 86 4 2 3 2 2 2 2" xfId="17475"/>
    <cellStyle name="Normal 86 4 2 3 2 2 2 2 2" xfId="40896"/>
    <cellStyle name="Normal 86 4 2 3 2 2 2 3" xfId="23193"/>
    <cellStyle name="Normal 86 4 2 3 2 2 2 3 2" xfId="45615"/>
    <cellStyle name="Normal 86 4 2 3 2 2 2 4" xfId="34264"/>
    <cellStyle name="Normal 86 4 2 3 2 2 3" xfId="14159"/>
    <cellStyle name="Normal 86 4 2 3 2 2 3 2" xfId="37580"/>
    <cellStyle name="Normal 86 4 2 3 2 2 4" xfId="20368"/>
    <cellStyle name="Normal 86 4 2 3 2 2 4 2" xfId="42903"/>
    <cellStyle name="Normal 86 4 2 3 2 2 5" xfId="30948"/>
    <cellStyle name="Normal 86 4 2 3 2 3" xfId="9113"/>
    <cellStyle name="Normal 86 4 2 3 2 3 2" xfId="15817"/>
    <cellStyle name="Normal 86 4 2 3 2 3 2 2" xfId="39238"/>
    <cellStyle name="Normal 86 4 2 3 2 3 3" xfId="21474"/>
    <cellStyle name="Normal 86 4 2 3 2 3 3 2" xfId="43925"/>
    <cellStyle name="Normal 86 4 2 3 2 3 4" xfId="32606"/>
    <cellStyle name="Normal 86 4 2 3 2 4" xfId="12501"/>
    <cellStyle name="Normal 86 4 2 3 2 4 2" xfId="22381"/>
    <cellStyle name="Normal 86 4 2 3 2 4 2 2" xfId="44803"/>
    <cellStyle name="Normal 86 4 2 3 2 4 3" xfId="35922"/>
    <cellStyle name="Normal 86 4 2 3 2 5" xfId="19529"/>
    <cellStyle name="Normal 86 4 2 3 2 5 2" xfId="42071"/>
    <cellStyle name="Normal 86 4 2 3 2 6" xfId="29290"/>
    <cellStyle name="Normal 86 4 2 3 3" xfId="6540"/>
    <cellStyle name="Normal 86 4 2 3 3 2" xfId="9874"/>
    <cellStyle name="Normal 86 4 2 3 3 2 2" xfId="16578"/>
    <cellStyle name="Normal 86 4 2 3 3 2 2 2" xfId="39999"/>
    <cellStyle name="Normal 86 4 2 3 3 2 3" xfId="22788"/>
    <cellStyle name="Normal 86 4 2 3 3 2 3 2" xfId="45210"/>
    <cellStyle name="Normal 86 4 2 3 3 2 4" xfId="33367"/>
    <cellStyle name="Normal 86 4 2 3 3 3" xfId="13262"/>
    <cellStyle name="Normal 86 4 2 3 3 3 2" xfId="36683"/>
    <cellStyle name="Normal 86 4 2 3 3 4" xfId="19952"/>
    <cellStyle name="Normal 86 4 2 3 3 4 2" xfId="42487"/>
    <cellStyle name="Normal 86 4 2 3 3 5" xfId="30051"/>
    <cellStyle name="Normal 86 4 2 3 4" xfId="8207"/>
    <cellStyle name="Normal 86 4 2 3 4 2" xfId="14920"/>
    <cellStyle name="Normal 86 4 2 3 4 2 2" xfId="38341"/>
    <cellStyle name="Normal 86 4 2 3 4 3" xfId="21015"/>
    <cellStyle name="Normal 86 4 2 3 4 3 2" xfId="43466"/>
    <cellStyle name="Normal 86 4 2 3 4 4" xfId="31709"/>
    <cellStyle name="Normal 86 4 2 3 5" xfId="11602"/>
    <cellStyle name="Normal 86 4 2 3 5 2" xfId="21957"/>
    <cellStyle name="Normal 86 4 2 3 5 2 2" xfId="44389"/>
    <cellStyle name="Normal 86 4 2 3 5 3" xfId="35025"/>
    <cellStyle name="Normal 86 4 2 3 6" xfId="18853"/>
    <cellStyle name="Normal 86 4 2 3 6 2" xfId="41646"/>
    <cellStyle name="Normal 86 4 2 3 7" xfId="25989"/>
    <cellStyle name="Normal 86 4 2 3 7 2" xfId="48234"/>
    <cellStyle name="Normal 86 4 2 3 8" xfId="28393"/>
    <cellStyle name="Normal 86 4 2 4" xfId="2701"/>
    <cellStyle name="Normal 86 4 2 4 2" xfId="5794"/>
    <cellStyle name="Normal 86 4 2 4 2 2" xfId="7576"/>
    <cellStyle name="Normal 86 4 2 4 2 2 2" xfId="10905"/>
    <cellStyle name="Normal 86 4 2 4 2 2 2 2" xfId="17609"/>
    <cellStyle name="Normal 86 4 2 4 2 2 2 2 2" xfId="41030"/>
    <cellStyle name="Normal 86 4 2 4 2 2 2 3" xfId="34398"/>
    <cellStyle name="Normal 86 4 2 4 2 2 3" xfId="14293"/>
    <cellStyle name="Normal 86 4 2 4 2 2 3 2" xfId="37714"/>
    <cellStyle name="Normal 86 4 2 4 2 2 4" xfId="22988"/>
    <cellStyle name="Normal 86 4 2 4 2 2 4 2" xfId="45410"/>
    <cellStyle name="Normal 86 4 2 4 2 2 5" xfId="31082"/>
    <cellStyle name="Normal 86 4 2 4 2 3" xfId="9247"/>
    <cellStyle name="Normal 86 4 2 4 2 3 2" xfId="15951"/>
    <cellStyle name="Normal 86 4 2 4 2 3 2 2" xfId="39372"/>
    <cellStyle name="Normal 86 4 2 4 2 3 3" xfId="32740"/>
    <cellStyle name="Normal 86 4 2 4 2 4" xfId="12635"/>
    <cellStyle name="Normal 86 4 2 4 2 4 2" xfId="36056"/>
    <cellStyle name="Normal 86 4 2 4 2 5" xfId="20160"/>
    <cellStyle name="Normal 86 4 2 4 2 5 2" xfId="42695"/>
    <cellStyle name="Normal 86 4 2 4 2 6" xfId="29424"/>
    <cellStyle name="Normal 86 4 2 4 3" xfId="6677"/>
    <cellStyle name="Normal 86 4 2 4 3 2" xfId="10009"/>
    <cellStyle name="Normal 86 4 2 4 3 2 2" xfId="16713"/>
    <cellStyle name="Normal 86 4 2 4 3 2 2 2" xfId="40134"/>
    <cellStyle name="Normal 86 4 2 4 3 2 3" xfId="33502"/>
    <cellStyle name="Normal 86 4 2 4 3 3" xfId="13397"/>
    <cellStyle name="Normal 86 4 2 4 3 3 2" xfId="36818"/>
    <cellStyle name="Normal 86 4 2 4 3 4" xfId="21471"/>
    <cellStyle name="Normal 86 4 2 4 3 4 2" xfId="43922"/>
    <cellStyle name="Normal 86 4 2 4 3 5" xfId="30186"/>
    <cellStyle name="Normal 86 4 2 4 4" xfId="8343"/>
    <cellStyle name="Normal 86 4 2 4 4 2" xfId="15055"/>
    <cellStyle name="Normal 86 4 2 4 4 2 2" xfId="38476"/>
    <cellStyle name="Normal 86 4 2 4 4 3" xfId="22171"/>
    <cellStyle name="Normal 86 4 2 4 4 3 2" xfId="44595"/>
    <cellStyle name="Normal 86 4 2 4 4 4" xfId="31844"/>
    <cellStyle name="Normal 86 4 2 4 5" xfId="11737"/>
    <cellStyle name="Normal 86 4 2 4 5 2" xfId="35160"/>
    <cellStyle name="Normal 86 4 2 4 6" xfId="19310"/>
    <cellStyle name="Normal 86 4 2 4 6 2" xfId="41863"/>
    <cellStyle name="Normal 86 4 2 4 7" xfId="28528"/>
    <cellStyle name="Normal 86 4 2 5" xfId="4264"/>
    <cellStyle name="Normal 86 4 2 5 2" xfId="7142"/>
    <cellStyle name="Normal 86 4 2 5 2 2" xfId="10474"/>
    <cellStyle name="Normal 86 4 2 5 2 2 2" xfId="17178"/>
    <cellStyle name="Normal 86 4 2 5 2 2 2 2" xfId="40599"/>
    <cellStyle name="Normal 86 4 2 5 2 2 3" xfId="33967"/>
    <cellStyle name="Normal 86 4 2 5 2 3" xfId="13862"/>
    <cellStyle name="Normal 86 4 2 5 2 3 2" xfId="37283"/>
    <cellStyle name="Normal 86 4 2 5 2 4" xfId="22582"/>
    <cellStyle name="Normal 86 4 2 5 2 4 2" xfId="45004"/>
    <cellStyle name="Normal 86 4 2 5 2 5" xfId="30651"/>
    <cellStyle name="Normal 86 4 2 5 3" xfId="8809"/>
    <cellStyle name="Normal 86 4 2 5 3 2" xfId="15520"/>
    <cellStyle name="Normal 86 4 2 5 3 2 2" xfId="38941"/>
    <cellStyle name="Normal 86 4 2 5 3 3" xfId="32309"/>
    <cellStyle name="Normal 86 4 2 5 4" xfId="12202"/>
    <cellStyle name="Normal 86 4 2 5 4 2" xfId="35625"/>
    <cellStyle name="Normal 86 4 2 5 5" xfId="19742"/>
    <cellStyle name="Normal 86 4 2 5 5 2" xfId="42279"/>
    <cellStyle name="Normal 86 4 2 5 6" xfId="28993"/>
    <cellStyle name="Normal 86 4 2 6" xfId="6204"/>
    <cellStyle name="Normal 86 4 2 6 2" xfId="9538"/>
    <cellStyle name="Normal 86 4 2 6 2 2" xfId="16242"/>
    <cellStyle name="Normal 86 4 2 6 2 2 2" xfId="39663"/>
    <cellStyle name="Normal 86 4 2 6 2 3" xfId="33031"/>
    <cellStyle name="Normal 86 4 2 6 3" xfId="12926"/>
    <cellStyle name="Normal 86 4 2 6 3 2" xfId="36347"/>
    <cellStyle name="Normal 86 4 2 6 4" xfId="21012"/>
    <cellStyle name="Normal 86 4 2 6 4 2" xfId="43463"/>
    <cellStyle name="Normal 86 4 2 6 5" xfId="29715"/>
    <cellStyle name="Normal 86 4 2 7" xfId="7870"/>
    <cellStyle name="Normal 86 4 2 7 2" xfId="14584"/>
    <cellStyle name="Normal 86 4 2 7 2 2" xfId="38005"/>
    <cellStyle name="Normal 86 4 2 7 3" xfId="21732"/>
    <cellStyle name="Normal 86 4 2 7 3 2" xfId="44181"/>
    <cellStyle name="Normal 86 4 2 7 4" xfId="31373"/>
    <cellStyle name="Normal 86 4 2 8" xfId="11266"/>
    <cellStyle name="Normal 86 4 2 8 2" xfId="34689"/>
    <cellStyle name="Normal 86 4 2 9" xfId="18126"/>
    <cellStyle name="Normal 86 4 2 9 2" xfId="41411"/>
    <cellStyle name="Normal 86 4 3" xfId="1743"/>
    <cellStyle name="Normal 86 4 3 10" xfId="28095"/>
    <cellStyle name="Normal 86 4 3 2" xfId="2386"/>
    <cellStyle name="Normal 86 4 3 2 2" xfId="5620"/>
    <cellStyle name="Normal 86 4 3 2 2 2" xfId="7442"/>
    <cellStyle name="Normal 86 4 3 2 2 2 2" xfId="10773"/>
    <cellStyle name="Normal 86 4 3 2 2 2 2 2" xfId="17477"/>
    <cellStyle name="Normal 86 4 3 2 2 2 2 2 2" xfId="40898"/>
    <cellStyle name="Normal 86 4 3 2 2 2 2 3" xfId="23195"/>
    <cellStyle name="Normal 86 4 3 2 2 2 2 3 2" xfId="45617"/>
    <cellStyle name="Normal 86 4 3 2 2 2 2 4" xfId="34266"/>
    <cellStyle name="Normal 86 4 3 2 2 2 3" xfId="14161"/>
    <cellStyle name="Normal 86 4 3 2 2 2 3 2" xfId="37582"/>
    <cellStyle name="Normal 86 4 3 2 2 2 4" xfId="20370"/>
    <cellStyle name="Normal 86 4 3 2 2 2 4 2" xfId="42905"/>
    <cellStyle name="Normal 86 4 3 2 2 2 5" xfId="30950"/>
    <cellStyle name="Normal 86 4 3 2 2 3" xfId="9115"/>
    <cellStyle name="Normal 86 4 3 2 2 3 2" xfId="15819"/>
    <cellStyle name="Normal 86 4 3 2 2 3 2 2" xfId="39240"/>
    <cellStyle name="Normal 86 4 3 2 2 3 3" xfId="21476"/>
    <cellStyle name="Normal 86 4 3 2 2 3 3 2" xfId="43927"/>
    <cellStyle name="Normal 86 4 3 2 2 3 4" xfId="32608"/>
    <cellStyle name="Normal 86 4 3 2 2 4" xfId="12503"/>
    <cellStyle name="Normal 86 4 3 2 2 4 2" xfId="22383"/>
    <cellStyle name="Normal 86 4 3 2 2 4 2 2" xfId="44805"/>
    <cellStyle name="Normal 86 4 3 2 2 4 3" xfId="35924"/>
    <cellStyle name="Normal 86 4 3 2 2 5" xfId="19531"/>
    <cellStyle name="Normal 86 4 3 2 2 5 2" xfId="42073"/>
    <cellStyle name="Normal 86 4 3 2 2 6" xfId="29292"/>
    <cellStyle name="Normal 86 4 3 2 3" xfId="6542"/>
    <cellStyle name="Normal 86 4 3 2 3 2" xfId="9876"/>
    <cellStyle name="Normal 86 4 3 2 3 2 2" xfId="16580"/>
    <cellStyle name="Normal 86 4 3 2 3 2 2 2" xfId="40001"/>
    <cellStyle name="Normal 86 4 3 2 3 2 3" xfId="22790"/>
    <cellStyle name="Normal 86 4 3 2 3 2 3 2" xfId="45212"/>
    <cellStyle name="Normal 86 4 3 2 3 2 4" xfId="33369"/>
    <cellStyle name="Normal 86 4 3 2 3 3" xfId="13264"/>
    <cellStyle name="Normal 86 4 3 2 3 3 2" xfId="36685"/>
    <cellStyle name="Normal 86 4 3 2 3 4" xfId="19954"/>
    <cellStyle name="Normal 86 4 3 2 3 4 2" xfId="42489"/>
    <cellStyle name="Normal 86 4 3 2 3 5" xfId="30053"/>
    <cellStyle name="Normal 86 4 3 2 4" xfId="8209"/>
    <cellStyle name="Normal 86 4 3 2 4 2" xfId="14922"/>
    <cellStyle name="Normal 86 4 3 2 4 2 2" xfId="38343"/>
    <cellStyle name="Normal 86 4 3 2 4 3" xfId="21017"/>
    <cellStyle name="Normal 86 4 3 2 4 3 2" xfId="43468"/>
    <cellStyle name="Normal 86 4 3 2 4 4" xfId="31711"/>
    <cellStyle name="Normal 86 4 3 2 5" xfId="11604"/>
    <cellStyle name="Normal 86 4 3 2 5 2" xfId="21959"/>
    <cellStyle name="Normal 86 4 3 2 5 2 2" xfId="44391"/>
    <cellStyle name="Normal 86 4 3 2 5 3" xfId="35027"/>
    <cellStyle name="Normal 86 4 3 2 6" xfId="18855"/>
    <cellStyle name="Normal 86 4 3 2 6 2" xfId="41648"/>
    <cellStyle name="Normal 86 4 3 2 7" xfId="25991"/>
    <cellStyle name="Normal 86 4 3 2 7 2" xfId="48236"/>
    <cellStyle name="Normal 86 4 3 2 8" xfId="28395"/>
    <cellStyle name="Normal 86 4 3 3" xfId="2740"/>
    <cellStyle name="Normal 86 4 3 3 2" xfId="5832"/>
    <cellStyle name="Normal 86 4 3 3 2 2" xfId="7614"/>
    <cellStyle name="Normal 86 4 3 3 2 2 2" xfId="10943"/>
    <cellStyle name="Normal 86 4 3 3 2 2 2 2" xfId="17647"/>
    <cellStyle name="Normal 86 4 3 3 2 2 2 2 2" xfId="41068"/>
    <cellStyle name="Normal 86 4 3 3 2 2 2 3" xfId="34436"/>
    <cellStyle name="Normal 86 4 3 3 2 2 3" xfId="14331"/>
    <cellStyle name="Normal 86 4 3 3 2 2 3 2" xfId="37752"/>
    <cellStyle name="Normal 86 4 3 3 2 2 4" xfId="22990"/>
    <cellStyle name="Normal 86 4 3 3 2 2 4 2" xfId="45412"/>
    <cellStyle name="Normal 86 4 3 3 2 2 5" xfId="31120"/>
    <cellStyle name="Normal 86 4 3 3 2 3" xfId="9285"/>
    <cellStyle name="Normal 86 4 3 3 2 3 2" xfId="15989"/>
    <cellStyle name="Normal 86 4 3 3 2 3 2 2" xfId="39410"/>
    <cellStyle name="Normal 86 4 3 3 2 3 3" xfId="32778"/>
    <cellStyle name="Normal 86 4 3 3 2 4" xfId="12673"/>
    <cellStyle name="Normal 86 4 3 3 2 4 2" xfId="36094"/>
    <cellStyle name="Normal 86 4 3 3 2 5" xfId="20162"/>
    <cellStyle name="Normal 86 4 3 3 2 5 2" xfId="42697"/>
    <cellStyle name="Normal 86 4 3 3 2 6" xfId="29462"/>
    <cellStyle name="Normal 86 4 3 3 3" xfId="6715"/>
    <cellStyle name="Normal 86 4 3 3 3 2" xfId="10047"/>
    <cellStyle name="Normal 86 4 3 3 3 2 2" xfId="16751"/>
    <cellStyle name="Normal 86 4 3 3 3 2 2 2" xfId="40172"/>
    <cellStyle name="Normal 86 4 3 3 3 2 3" xfId="33540"/>
    <cellStyle name="Normal 86 4 3 3 3 3" xfId="13435"/>
    <cellStyle name="Normal 86 4 3 3 3 3 2" xfId="36856"/>
    <cellStyle name="Normal 86 4 3 3 3 4" xfId="21475"/>
    <cellStyle name="Normal 86 4 3 3 3 4 2" xfId="43926"/>
    <cellStyle name="Normal 86 4 3 3 3 5" xfId="30224"/>
    <cellStyle name="Normal 86 4 3 3 4" xfId="8381"/>
    <cellStyle name="Normal 86 4 3 3 4 2" xfId="15093"/>
    <cellStyle name="Normal 86 4 3 3 4 2 2" xfId="38514"/>
    <cellStyle name="Normal 86 4 3 3 4 3" xfId="22173"/>
    <cellStyle name="Normal 86 4 3 3 4 3 2" xfId="44597"/>
    <cellStyle name="Normal 86 4 3 3 4 4" xfId="31882"/>
    <cellStyle name="Normal 86 4 3 3 5" xfId="11775"/>
    <cellStyle name="Normal 86 4 3 3 5 2" xfId="35198"/>
    <cellStyle name="Normal 86 4 3 3 6" xfId="19312"/>
    <cellStyle name="Normal 86 4 3 3 6 2" xfId="41865"/>
    <cellStyle name="Normal 86 4 3 3 7" xfId="28566"/>
    <cellStyle name="Normal 86 4 3 4" xfId="4266"/>
    <cellStyle name="Normal 86 4 3 4 2" xfId="7144"/>
    <cellStyle name="Normal 86 4 3 4 2 2" xfId="10476"/>
    <cellStyle name="Normal 86 4 3 4 2 2 2" xfId="17180"/>
    <cellStyle name="Normal 86 4 3 4 2 2 2 2" xfId="40601"/>
    <cellStyle name="Normal 86 4 3 4 2 2 3" xfId="33969"/>
    <cellStyle name="Normal 86 4 3 4 2 3" xfId="13864"/>
    <cellStyle name="Normal 86 4 3 4 2 3 2" xfId="37285"/>
    <cellStyle name="Normal 86 4 3 4 2 4" xfId="22584"/>
    <cellStyle name="Normal 86 4 3 4 2 4 2" xfId="45006"/>
    <cellStyle name="Normal 86 4 3 4 2 5" xfId="30653"/>
    <cellStyle name="Normal 86 4 3 4 3" xfId="8811"/>
    <cellStyle name="Normal 86 4 3 4 3 2" xfId="15522"/>
    <cellStyle name="Normal 86 4 3 4 3 2 2" xfId="38943"/>
    <cellStyle name="Normal 86 4 3 4 3 3" xfId="32311"/>
    <cellStyle name="Normal 86 4 3 4 4" xfId="12204"/>
    <cellStyle name="Normal 86 4 3 4 4 2" xfId="35627"/>
    <cellStyle name="Normal 86 4 3 4 5" xfId="19744"/>
    <cellStyle name="Normal 86 4 3 4 5 2" xfId="42281"/>
    <cellStyle name="Normal 86 4 3 4 6" xfId="28995"/>
    <cellStyle name="Normal 86 4 3 5" xfId="6242"/>
    <cellStyle name="Normal 86 4 3 5 2" xfId="9576"/>
    <cellStyle name="Normal 86 4 3 5 2 2" xfId="16280"/>
    <cellStyle name="Normal 86 4 3 5 2 2 2" xfId="39701"/>
    <cellStyle name="Normal 86 4 3 5 2 3" xfId="33069"/>
    <cellStyle name="Normal 86 4 3 5 3" xfId="12964"/>
    <cellStyle name="Normal 86 4 3 5 3 2" xfId="36385"/>
    <cellStyle name="Normal 86 4 3 5 4" xfId="21016"/>
    <cellStyle name="Normal 86 4 3 5 4 2" xfId="43467"/>
    <cellStyle name="Normal 86 4 3 5 5" xfId="29753"/>
    <cellStyle name="Normal 86 4 3 6" xfId="7908"/>
    <cellStyle name="Normal 86 4 3 6 2" xfId="14622"/>
    <cellStyle name="Normal 86 4 3 6 2 2" xfId="38043"/>
    <cellStyle name="Normal 86 4 3 6 3" xfId="21734"/>
    <cellStyle name="Normal 86 4 3 6 3 2" xfId="44183"/>
    <cellStyle name="Normal 86 4 3 6 4" xfId="31411"/>
    <cellStyle name="Normal 86 4 3 7" xfId="11304"/>
    <cellStyle name="Normal 86 4 3 7 2" xfId="34727"/>
    <cellStyle name="Normal 86 4 3 8" xfId="18128"/>
    <cellStyle name="Normal 86 4 3 8 2" xfId="41413"/>
    <cellStyle name="Normal 86 4 3 9" xfId="23760"/>
    <cellStyle name="Normal 86 4 3 9 2" xfId="46049"/>
    <cellStyle name="Normal 86 4 4" xfId="2383"/>
    <cellStyle name="Normal 86 4 4 2" xfId="5617"/>
    <cellStyle name="Normal 86 4 4 2 2" xfId="7439"/>
    <cellStyle name="Normal 86 4 4 2 2 2" xfId="10770"/>
    <cellStyle name="Normal 86 4 4 2 2 2 2" xfId="17474"/>
    <cellStyle name="Normal 86 4 4 2 2 2 2 2" xfId="40895"/>
    <cellStyle name="Normal 86 4 4 2 2 2 3" xfId="23192"/>
    <cellStyle name="Normal 86 4 4 2 2 2 3 2" xfId="45614"/>
    <cellStyle name="Normal 86 4 4 2 2 2 4" xfId="34263"/>
    <cellStyle name="Normal 86 4 4 2 2 3" xfId="14158"/>
    <cellStyle name="Normal 86 4 4 2 2 3 2" xfId="37579"/>
    <cellStyle name="Normal 86 4 4 2 2 4" xfId="20367"/>
    <cellStyle name="Normal 86 4 4 2 2 4 2" xfId="42902"/>
    <cellStyle name="Normal 86 4 4 2 2 5" xfId="30947"/>
    <cellStyle name="Normal 86 4 4 2 3" xfId="9112"/>
    <cellStyle name="Normal 86 4 4 2 3 2" xfId="15816"/>
    <cellStyle name="Normal 86 4 4 2 3 2 2" xfId="39237"/>
    <cellStyle name="Normal 86 4 4 2 3 3" xfId="21477"/>
    <cellStyle name="Normal 86 4 4 2 3 3 2" xfId="43928"/>
    <cellStyle name="Normal 86 4 4 2 3 4" xfId="32605"/>
    <cellStyle name="Normal 86 4 4 2 4" xfId="12500"/>
    <cellStyle name="Normal 86 4 4 2 4 2" xfId="22380"/>
    <cellStyle name="Normal 86 4 4 2 4 2 2" xfId="44802"/>
    <cellStyle name="Normal 86 4 4 2 4 3" xfId="35921"/>
    <cellStyle name="Normal 86 4 4 2 5" xfId="19528"/>
    <cellStyle name="Normal 86 4 4 2 5 2" xfId="42070"/>
    <cellStyle name="Normal 86 4 4 2 6" xfId="29289"/>
    <cellStyle name="Normal 86 4 4 3" xfId="6539"/>
    <cellStyle name="Normal 86 4 4 3 2" xfId="9873"/>
    <cellStyle name="Normal 86 4 4 3 2 2" xfId="16577"/>
    <cellStyle name="Normal 86 4 4 3 2 2 2" xfId="39998"/>
    <cellStyle name="Normal 86 4 4 3 2 3" xfId="22787"/>
    <cellStyle name="Normal 86 4 4 3 2 3 2" xfId="45209"/>
    <cellStyle name="Normal 86 4 4 3 2 4" xfId="33366"/>
    <cellStyle name="Normal 86 4 4 3 3" xfId="13261"/>
    <cellStyle name="Normal 86 4 4 3 3 2" xfId="36682"/>
    <cellStyle name="Normal 86 4 4 3 4" xfId="19951"/>
    <cellStyle name="Normal 86 4 4 3 4 2" xfId="42486"/>
    <cellStyle name="Normal 86 4 4 3 5" xfId="30050"/>
    <cellStyle name="Normal 86 4 4 4" xfId="8206"/>
    <cellStyle name="Normal 86 4 4 4 2" xfId="14919"/>
    <cellStyle name="Normal 86 4 4 4 2 2" xfId="38340"/>
    <cellStyle name="Normal 86 4 4 4 3" xfId="21018"/>
    <cellStyle name="Normal 86 4 4 4 3 2" xfId="43469"/>
    <cellStyle name="Normal 86 4 4 4 4" xfId="31708"/>
    <cellStyle name="Normal 86 4 4 5" xfId="11601"/>
    <cellStyle name="Normal 86 4 4 5 2" xfId="21956"/>
    <cellStyle name="Normal 86 4 4 5 2 2" xfId="44388"/>
    <cellStyle name="Normal 86 4 4 5 3" xfId="35024"/>
    <cellStyle name="Normal 86 4 4 6" xfId="18852"/>
    <cellStyle name="Normal 86 4 4 6 2" xfId="41645"/>
    <cellStyle name="Normal 86 4 4 7" xfId="25988"/>
    <cellStyle name="Normal 86 4 4 7 2" xfId="48233"/>
    <cellStyle name="Normal 86 4 4 8" xfId="28392"/>
    <cellStyle name="Normal 86 4 5" xfId="2608"/>
    <cellStyle name="Normal 86 4 5 2" xfId="5701"/>
    <cellStyle name="Normal 86 4 5 2 2" xfId="7483"/>
    <cellStyle name="Normal 86 4 5 2 2 2" xfId="10812"/>
    <cellStyle name="Normal 86 4 5 2 2 2 2" xfId="17516"/>
    <cellStyle name="Normal 86 4 5 2 2 2 2 2" xfId="40937"/>
    <cellStyle name="Normal 86 4 5 2 2 2 3" xfId="34305"/>
    <cellStyle name="Normal 86 4 5 2 2 3" xfId="14200"/>
    <cellStyle name="Normal 86 4 5 2 2 3 2" xfId="37621"/>
    <cellStyle name="Normal 86 4 5 2 2 4" xfId="20615"/>
    <cellStyle name="Normal 86 4 5 2 2 4 2" xfId="43066"/>
    <cellStyle name="Normal 86 4 5 2 2 5" xfId="30989"/>
    <cellStyle name="Normal 86 4 5 2 3" xfId="9154"/>
    <cellStyle name="Normal 86 4 5 2 3 2" xfId="15858"/>
    <cellStyle name="Normal 86 4 5 2 3 2 2" xfId="39279"/>
    <cellStyle name="Normal 86 4 5 2 3 3" xfId="21533"/>
    <cellStyle name="Normal 86 4 5 2 3 3 2" xfId="43984"/>
    <cellStyle name="Normal 86 4 5 2 3 4" xfId="32647"/>
    <cellStyle name="Normal 86 4 5 2 4" xfId="12542"/>
    <cellStyle name="Normal 86 4 5 2 4 2" xfId="22987"/>
    <cellStyle name="Normal 86 4 5 2 4 2 2" xfId="45409"/>
    <cellStyle name="Normal 86 4 5 2 4 3" xfId="35963"/>
    <cellStyle name="Normal 86 4 5 2 5" xfId="20159"/>
    <cellStyle name="Normal 86 4 5 2 5 2" xfId="42694"/>
    <cellStyle name="Normal 86 4 5 2 6" xfId="29331"/>
    <cellStyle name="Normal 86 4 5 3" xfId="6584"/>
    <cellStyle name="Normal 86 4 5 3 2" xfId="9916"/>
    <cellStyle name="Normal 86 4 5 3 2 2" xfId="16620"/>
    <cellStyle name="Normal 86 4 5 3 2 2 2" xfId="40041"/>
    <cellStyle name="Normal 86 4 5 3 2 3" xfId="33409"/>
    <cellStyle name="Normal 86 4 5 3 3" xfId="13304"/>
    <cellStyle name="Normal 86 4 5 3 3 2" xfId="36725"/>
    <cellStyle name="Normal 86 4 5 3 4" xfId="20517"/>
    <cellStyle name="Normal 86 4 5 3 4 2" xfId="42970"/>
    <cellStyle name="Normal 86 4 5 3 5" xfId="30093"/>
    <cellStyle name="Normal 86 4 5 4" xfId="8250"/>
    <cellStyle name="Normal 86 4 5 4 2" xfId="14962"/>
    <cellStyle name="Normal 86 4 5 4 2 2" xfId="38383"/>
    <cellStyle name="Normal 86 4 5 4 3" xfId="21074"/>
    <cellStyle name="Normal 86 4 5 4 3 2" xfId="43525"/>
    <cellStyle name="Normal 86 4 5 4 4" xfId="31751"/>
    <cellStyle name="Normal 86 4 5 5" xfId="11644"/>
    <cellStyle name="Normal 86 4 5 5 2" xfId="22170"/>
    <cellStyle name="Normal 86 4 5 5 2 2" xfId="44594"/>
    <cellStyle name="Normal 86 4 5 5 3" xfId="35067"/>
    <cellStyle name="Normal 86 4 5 6" xfId="19309"/>
    <cellStyle name="Normal 86 4 5 6 2" xfId="41862"/>
    <cellStyle name="Normal 86 4 5 7" xfId="28435"/>
    <cellStyle name="Normal 86 4 6" xfId="4263"/>
    <cellStyle name="Normal 86 4 6 2" xfId="7141"/>
    <cellStyle name="Normal 86 4 6 2 2" xfId="10473"/>
    <cellStyle name="Normal 86 4 6 2 2 2" xfId="17177"/>
    <cellStyle name="Normal 86 4 6 2 2 2 2" xfId="40598"/>
    <cellStyle name="Normal 86 4 6 2 2 3" xfId="33966"/>
    <cellStyle name="Normal 86 4 6 2 3" xfId="13861"/>
    <cellStyle name="Normal 86 4 6 2 3 2" xfId="37282"/>
    <cellStyle name="Normal 86 4 6 2 4" xfId="20566"/>
    <cellStyle name="Normal 86 4 6 2 4 2" xfId="43017"/>
    <cellStyle name="Normal 86 4 6 2 5" xfId="30650"/>
    <cellStyle name="Normal 86 4 6 3" xfId="8808"/>
    <cellStyle name="Normal 86 4 6 3 2" xfId="15519"/>
    <cellStyle name="Normal 86 4 6 3 2 2" xfId="38940"/>
    <cellStyle name="Normal 86 4 6 3 3" xfId="21470"/>
    <cellStyle name="Normal 86 4 6 3 3 2" xfId="43921"/>
    <cellStyle name="Normal 86 4 6 3 4" xfId="32308"/>
    <cellStyle name="Normal 86 4 6 4" xfId="12201"/>
    <cellStyle name="Normal 86 4 6 4 2" xfId="22581"/>
    <cellStyle name="Normal 86 4 6 4 2 2" xfId="45003"/>
    <cellStyle name="Normal 86 4 6 4 3" xfId="35624"/>
    <cellStyle name="Normal 86 4 6 5" xfId="19741"/>
    <cellStyle name="Normal 86 4 6 5 2" xfId="42278"/>
    <cellStyle name="Normal 86 4 6 6" xfId="28992"/>
    <cellStyle name="Normal 86 4 7" xfId="6111"/>
    <cellStyle name="Normal 86 4 7 2" xfId="9445"/>
    <cellStyle name="Normal 86 4 7 2 2" xfId="16149"/>
    <cellStyle name="Normal 86 4 7 2 2 2" xfId="39570"/>
    <cellStyle name="Normal 86 4 7 2 3" xfId="32938"/>
    <cellStyle name="Normal 86 4 7 3" xfId="12833"/>
    <cellStyle name="Normal 86 4 7 3 2" xfId="36254"/>
    <cellStyle name="Normal 86 4 7 4" xfId="20468"/>
    <cellStyle name="Normal 86 4 7 4 2" xfId="42921"/>
    <cellStyle name="Normal 86 4 7 5" xfId="29622"/>
    <cellStyle name="Normal 86 4 8" xfId="7777"/>
    <cellStyle name="Normal 86 4 8 2" xfId="14491"/>
    <cellStyle name="Normal 86 4 8 2 2" xfId="37912"/>
    <cellStyle name="Normal 86 4 8 3" xfId="21011"/>
    <cellStyle name="Normal 86 4 8 3 2" xfId="43462"/>
    <cellStyle name="Normal 86 4 8 4" xfId="31280"/>
    <cellStyle name="Normal 86 4 9" xfId="11173"/>
    <cellStyle name="Normal 86 4 9 2" xfId="21731"/>
    <cellStyle name="Normal 86 4 9 2 2" xfId="44180"/>
    <cellStyle name="Normal 86 4 9 3" xfId="34596"/>
    <cellStyle name="Normal 86 5" xfId="1640"/>
    <cellStyle name="Normal 86 5 10" xfId="23761"/>
    <cellStyle name="Normal 86 5 10 2" xfId="46050"/>
    <cellStyle name="Normal 86 5 11" xfId="28054"/>
    <cellStyle name="Normal 86 5 2" xfId="1833"/>
    <cellStyle name="Normal 86 5 2 10" xfId="28185"/>
    <cellStyle name="Normal 86 5 2 2" xfId="2388"/>
    <cellStyle name="Normal 86 5 2 2 2" xfId="5622"/>
    <cellStyle name="Normal 86 5 2 2 2 2" xfId="7444"/>
    <cellStyle name="Normal 86 5 2 2 2 2 2" xfId="10775"/>
    <cellStyle name="Normal 86 5 2 2 2 2 2 2" xfId="17479"/>
    <cellStyle name="Normal 86 5 2 2 2 2 2 2 2" xfId="40900"/>
    <cellStyle name="Normal 86 5 2 2 2 2 2 3" xfId="23197"/>
    <cellStyle name="Normal 86 5 2 2 2 2 2 3 2" xfId="45619"/>
    <cellStyle name="Normal 86 5 2 2 2 2 2 4" xfId="34268"/>
    <cellStyle name="Normal 86 5 2 2 2 2 3" xfId="14163"/>
    <cellStyle name="Normal 86 5 2 2 2 2 3 2" xfId="37584"/>
    <cellStyle name="Normal 86 5 2 2 2 2 4" xfId="20372"/>
    <cellStyle name="Normal 86 5 2 2 2 2 4 2" xfId="42907"/>
    <cellStyle name="Normal 86 5 2 2 2 2 5" xfId="30952"/>
    <cellStyle name="Normal 86 5 2 2 2 3" xfId="9117"/>
    <cellStyle name="Normal 86 5 2 2 2 3 2" xfId="15821"/>
    <cellStyle name="Normal 86 5 2 2 2 3 2 2" xfId="39242"/>
    <cellStyle name="Normal 86 5 2 2 2 3 3" xfId="21480"/>
    <cellStyle name="Normal 86 5 2 2 2 3 3 2" xfId="43931"/>
    <cellStyle name="Normal 86 5 2 2 2 3 4" xfId="32610"/>
    <cellStyle name="Normal 86 5 2 2 2 4" xfId="12505"/>
    <cellStyle name="Normal 86 5 2 2 2 4 2" xfId="22385"/>
    <cellStyle name="Normal 86 5 2 2 2 4 2 2" xfId="44807"/>
    <cellStyle name="Normal 86 5 2 2 2 4 3" xfId="35926"/>
    <cellStyle name="Normal 86 5 2 2 2 5" xfId="19533"/>
    <cellStyle name="Normal 86 5 2 2 2 5 2" xfId="42075"/>
    <cellStyle name="Normal 86 5 2 2 2 6" xfId="29294"/>
    <cellStyle name="Normal 86 5 2 2 3" xfId="6544"/>
    <cellStyle name="Normal 86 5 2 2 3 2" xfId="9878"/>
    <cellStyle name="Normal 86 5 2 2 3 2 2" xfId="16582"/>
    <cellStyle name="Normal 86 5 2 2 3 2 2 2" xfId="40003"/>
    <cellStyle name="Normal 86 5 2 2 3 2 3" xfId="22792"/>
    <cellStyle name="Normal 86 5 2 2 3 2 3 2" xfId="45214"/>
    <cellStyle name="Normal 86 5 2 2 3 2 4" xfId="33371"/>
    <cellStyle name="Normal 86 5 2 2 3 3" xfId="13266"/>
    <cellStyle name="Normal 86 5 2 2 3 3 2" xfId="36687"/>
    <cellStyle name="Normal 86 5 2 2 3 4" xfId="19956"/>
    <cellStyle name="Normal 86 5 2 2 3 4 2" xfId="42491"/>
    <cellStyle name="Normal 86 5 2 2 3 5" xfId="30055"/>
    <cellStyle name="Normal 86 5 2 2 4" xfId="8211"/>
    <cellStyle name="Normal 86 5 2 2 4 2" xfId="14924"/>
    <cellStyle name="Normal 86 5 2 2 4 2 2" xfId="38345"/>
    <cellStyle name="Normal 86 5 2 2 4 3" xfId="21021"/>
    <cellStyle name="Normal 86 5 2 2 4 3 2" xfId="43472"/>
    <cellStyle name="Normal 86 5 2 2 4 4" xfId="31713"/>
    <cellStyle name="Normal 86 5 2 2 5" xfId="11606"/>
    <cellStyle name="Normal 86 5 2 2 5 2" xfId="21961"/>
    <cellStyle name="Normal 86 5 2 2 5 2 2" xfId="44393"/>
    <cellStyle name="Normal 86 5 2 2 5 3" xfId="35029"/>
    <cellStyle name="Normal 86 5 2 2 6" xfId="18857"/>
    <cellStyle name="Normal 86 5 2 2 6 2" xfId="41650"/>
    <cellStyle name="Normal 86 5 2 2 7" xfId="25993"/>
    <cellStyle name="Normal 86 5 2 2 7 2" xfId="48238"/>
    <cellStyle name="Normal 86 5 2 2 8" xfId="28397"/>
    <cellStyle name="Normal 86 5 2 3" xfId="2830"/>
    <cellStyle name="Normal 86 5 2 3 2" xfId="5922"/>
    <cellStyle name="Normal 86 5 2 3 2 2" xfId="7704"/>
    <cellStyle name="Normal 86 5 2 3 2 2 2" xfId="11033"/>
    <cellStyle name="Normal 86 5 2 3 2 2 2 2" xfId="17737"/>
    <cellStyle name="Normal 86 5 2 3 2 2 2 2 2" xfId="41158"/>
    <cellStyle name="Normal 86 5 2 3 2 2 2 3" xfId="34526"/>
    <cellStyle name="Normal 86 5 2 3 2 2 3" xfId="14421"/>
    <cellStyle name="Normal 86 5 2 3 2 2 3 2" xfId="37842"/>
    <cellStyle name="Normal 86 5 2 3 2 2 4" xfId="22992"/>
    <cellStyle name="Normal 86 5 2 3 2 2 4 2" xfId="45414"/>
    <cellStyle name="Normal 86 5 2 3 2 2 5" xfId="31210"/>
    <cellStyle name="Normal 86 5 2 3 2 3" xfId="9375"/>
    <cellStyle name="Normal 86 5 2 3 2 3 2" xfId="16079"/>
    <cellStyle name="Normal 86 5 2 3 2 3 2 2" xfId="39500"/>
    <cellStyle name="Normal 86 5 2 3 2 3 3" xfId="32868"/>
    <cellStyle name="Normal 86 5 2 3 2 4" xfId="12763"/>
    <cellStyle name="Normal 86 5 2 3 2 4 2" xfId="36184"/>
    <cellStyle name="Normal 86 5 2 3 2 5" xfId="20164"/>
    <cellStyle name="Normal 86 5 2 3 2 5 2" xfId="42699"/>
    <cellStyle name="Normal 86 5 2 3 2 6" xfId="29552"/>
    <cellStyle name="Normal 86 5 2 3 3" xfId="6805"/>
    <cellStyle name="Normal 86 5 2 3 3 2" xfId="10137"/>
    <cellStyle name="Normal 86 5 2 3 3 2 2" xfId="16841"/>
    <cellStyle name="Normal 86 5 2 3 3 2 2 2" xfId="40262"/>
    <cellStyle name="Normal 86 5 2 3 3 2 3" xfId="33630"/>
    <cellStyle name="Normal 86 5 2 3 3 3" xfId="13525"/>
    <cellStyle name="Normal 86 5 2 3 3 3 2" xfId="36946"/>
    <cellStyle name="Normal 86 5 2 3 3 4" xfId="21479"/>
    <cellStyle name="Normal 86 5 2 3 3 4 2" xfId="43930"/>
    <cellStyle name="Normal 86 5 2 3 3 5" xfId="30314"/>
    <cellStyle name="Normal 86 5 2 3 4" xfId="8471"/>
    <cellStyle name="Normal 86 5 2 3 4 2" xfId="15183"/>
    <cellStyle name="Normal 86 5 2 3 4 2 2" xfId="38604"/>
    <cellStyle name="Normal 86 5 2 3 4 3" xfId="22175"/>
    <cellStyle name="Normal 86 5 2 3 4 3 2" xfId="44599"/>
    <cellStyle name="Normal 86 5 2 3 4 4" xfId="31972"/>
    <cellStyle name="Normal 86 5 2 3 5" xfId="11865"/>
    <cellStyle name="Normal 86 5 2 3 5 2" xfId="35288"/>
    <cellStyle name="Normal 86 5 2 3 6" xfId="19314"/>
    <cellStyle name="Normal 86 5 2 3 6 2" xfId="41867"/>
    <cellStyle name="Normal 86 5 2 3 7" xfId="28656"/>
    <cellStyle name="Normal 86 5 2 4" xfId="4268"/>
    <cellStyle name="Normal 86 5 2 4 2" xfId="7146"/>
    <cellStyle name="Normal 86 5 2 4 2 2" xfId="10478"/>
    <cellStyle name="Normal 86 5 2 4 2 2 2" xfId="17182"/>
    <cellStyle name="Normal 86 5 2 4 2 2 2 2" xfId="40603"/>
    <cellStyle name="Normal 86 5 2 4 2 2 3" xfId="33971"/>
    <cellStyle name="Normal 86 5 2 4 2 3" xfId="13866"/>
    <cellStyle name="Normal 86 5 2 4 2 3 2" xfId="37287"/>
    <cellStyle name="Normal 86 5 2 4 2 4" xfId="22586"/>
    <cellStyle name="Normal 86 5 2 4 2 4 2" xfId="45008"/>
    <cellStyle name="Normal 86 5 2 4 2 5" xfId="30655"/>
    <cellStyle name="Normal 86 5 2 4 3" xfId="8813"/>
    <cellStyle name="Normal 86 5 2 4 3 2" xfId="15524"/>
    <cellStyle name="Normal 86 5 2 4 3 2 2" xfId="38945"/>
    <cellStyle name="Normal 86 5 2 4 3 3" xfId="32313"/>
    <cellStyle name="Normal 86 5 2 4 4" xfId="12206"/>
    <cellStyle name="Normal 86 5 2 4 4 2" xfId="35629"/>
    <cellStyle name="Normal 86 5 2 4 5" xfId="19746"/>
    <cellStyle name="Normal 86 5 2 4 5 2" xfId="42283"/>
    <cellStyle name="Normal 86 5 2 4 6" xfId="28997"/>
    <cellStyle name="Normal 86 5 2 5" xfId="6332"/>
    <cellStyle name="Normal 86 5 2 5 2" xfId="9666"/>
    <cellStyle name="Normal 86 5 2 5 2 2" xfId="16370"/>
    <cellStyle name="Normal 86 5 2 5 2 2 2" xfId="39791"/>
    <cellStyle name="Normal 86 5 2 5 2 3" xfId="33159"/>
    <cellStyle name="Normal 86 5 2 5 3" xfId="13054"/>
    <cellStyle name="Normal 86 5 2 5 3 2" xfId="36475"/>
    <cellStyle name="Normal 86 5 2 5 4" xfId="21020"/>
    <cellStyle name="Normal 86 5 2 5 4 2" xfId="43471"/>
    <cellStyle name="Normal 86 5 2 5 5" xfId="29843"/>
    <cellStyle name="Normal 86 5 2 6" xfId="7998"/>
    <cellStyle name="Normal 86 5 2 6 2" xfId="14712"/>
    <cellStyle name="Normal 86 5 2 6 2 2" xfId="38133"/>
    <cellStyle name="Normal 86 5 2 6 3" xfId="21736"/>
    <cellStyle name="Normal 86 5 2 6 3 2" xfId="44185"/>
    <cellStyle name="Normal 86 5 2 6 4" xfId="31501"/>
    <cellStyle name="Normal 86 5 2 7" xfId="11394"/>
    <cellStyle name="Normal 86 5 2 7 2" xfId="34817"/>
    <cellStyle name="Normal 86 5 2 8" xfId="18130"/>
    <cellStyle name="Normal 86 5 2 8 2" xfId="41415"/>
    <cellStyle name="Normal 86 5 2 9" xfId="23762"/>
    <cellStyle name="Normal 86 5 2 9 2" xfId="46051"/>
    <cellStyle name="Normal 86 5 3" xfId="2387"/>
    <cellStyle name="Normal 86 5 3 2" xfId="5621"/>
    <cellStyle name="Normal 86 5 3 2 2" xfId="7443"/>
    <cellStyle name="Normal 86 5 3 2 2 2" xfId="10774"/>
    <cellStyle name="Normal 86 5 3 2 2 2 2" xfId="17478"/>
    <cellStyle name="Normal 86 5 3 2 2 2 2 2" xfId="40899"/>
    <cellStyle name="Normal 86 5 3 2 2 2 3" xfId="23196"/>
    <cellStyle name="Normal 86 5 3 2 2 2 3 2" xfId="45618"/>
    <cellStyle name="Normal 86 5 3 2 2 2 4" xfId="34267"/>
    <cellStyle name="Normal 86 5 3 2 2 3" xfId="14162"/>
    <cellStyle name="Normal 86 5 3 2 2 3 2" xfId="37583"/>
    <cellStyle name="Normal 86 5 3 2 2 4" xfId="20371"/>
    <cellStyle name="Normal 86 5 3 2 2 4 2" xfId="42906"/>
    <cellStyle name="Normal 86 5 3 2 2 5" xfId="30951"/>
    <cellStyle name="Normal 86 5 3 2 3" xfId="9116"/>
    <cellStyle name="Normal 86 5 3 2 3 2" xfId="15820"/>
    <cellStyle name="Normal 86 5 3 2 3 2 2" xfId="39241"/>
    <cellStyle name="Normal 86 5 3 2 3 3" xfId="21481"/>
    <cellStyle name="Normal 86 5 3 2 3 3 2" xfId="43932"/>
    <cellStyle name="Normal 86 5 3 2 3 4" xfId="32609"/>
    <cellStyle name="Normal 86 5 3 2 4" xfId="12504"/>
    <cellStyle name="Normal 86 5 3 2 4 2" xfId="22384"/>
    <cellStyle name="Normal 86 5 3 2 4 2 2" xfId="44806"/>
    <cellStyle name="Normal 86 5 3 2 4 3" xfId="35925"/>
    <cellStyle name="Normal 86 5 3 2 5" xfId="19532"/>
    <cellStyle name="Normal 86 5 3 2 5 2" xfId="42074"/>
    <cellStyle name="Normal 86 5 3 2 6" xfId="29293"/>
    <cellStyle name="Normal 86 5 3 3" xfId="6543"/>
    <cellStyle name="Normal 86 5 3 3 2" xfId="9877"/>
    <cellStyle name="Normal 86 5 3 3 2 2" xfId="16581"/>
    <cellStyle name="Normal 86 5 3 3 2 2 2" xfId="40002"/>
    <cellStyle name="Normal 86 5 3 3 2 3" xfId="22791"/>
    <cellStyle name="Normal 86 5 3 3 2 3 2" xfId="45213"/>
    <cellStyle name="Normal 86 5 3 3 2 4" xfId="33370"/>
    <cellStyle name="Normal 86 5 3 3 3" xfId="13265"/>
    <cellStyle name="Normal 86 5 3 3 3 2" xfId="36686"/>
    <cellStyle name="Normal 86 5 3 3 4" xfId="19955"/>
    <cellStyle name="Normal 86 5 3 3 4 2" xfId="42490"/>
    <cellStyle name="Normal 86 5 3 3 5" xfId="30054"/>
    <cellStyle name="Normal 86 5 3 4" xfId="8210"/>
    <cellStyle name="Normal 86 5 3 4 2" xfId="14923"/>
    <cellStyle name="Normal 86 5 3 4 2 2" xfId="38344"/>
    <cellStyle name="Normal 86 5 3 4 3" xfId="21022"/>
    <cellStyle name="Normal 86 5 3 4 3 2" xfId="43473"/>
    <cellStyle name="Normal 86 5 3 4 4" xfId="31712"/>
    <cellStyle name="Normal 86 5 3 5" xfId="11605"/>
    <cellStyle name="Normal 86 5 3 5 2" xfId="21960"/>
    <cellStyle name="Normal 86 5 3 5 2 2" xfId="44392"/>
    <cellStyle name="Normal 86 5 3 5 3" xfId="35028"/>
    <cellStyle name="Normal 86 5 3 6" xfId="18856"/>
    <cellStyle name="Normal 86 5 3 6 2" xfId="41649"/>
    <cellStyle name="Normal 86 5 3 7" xfId="25992"/>
    <cellStyle name="Normal 86 5 3 7 2" xfId="48237"/>
    <cellStyle name="Normal 86 5 3 8" xfId="28396"/>
    <cellStyle name="Normal 86 5 4" xfId="2698"/>
    <cellStyle name="Normal 86 5 4 2" xfId="5791"/>
    <cellStyle name="Normal 86 5 4 2 2" xfId="7573"/>
    <cellStyle name="Normal 86 5 4 2 2 2" xfId="10902"/>
    <cellStyle name="Normal 86 5 4 2 2 2 2" xfId="17606"/>
    <cellStyle name="Normal 86 5 4 2 2 2 2 2" xfId="41027"/>
    <cellStyle name="Normal 86 5 4 2 2 2 3" xfId="34395"/>
    <cellStyle name="Normal 86 5 4 2 2 3" xfId="14290"/>
    <cellStyle name="Normal 86 5 4 2 2 3 2" xfId="37711"/>
    <cellStyle name="Normal 86 5 4 2 2 4" xfId="22991"/>
    <cellStyle name="Normal 86 5 4 2 2 4 2" xfId="45413"/>
    <cellStyle name="Normal 86 5 4 2 2 5" xfId="31079"/>
    <cellStyle name="Normal 86 5 4 2 3" xfId="9244"/>
    <cellStyle name="Normal 86 5 4 2 3 2" xfId="15948"/>
    <cellStyle name="Normal 86 5 4 2 3 2 2" xfId="39369"/>
    <cellStyle name="Normal 86 5 4 2 3 3" xfId="32737"/>
    <cellStyle name="Normal 86 5 4 2 4" xfId="12632"/>
    <cellStyle name="Normal 86 5 4 2 4 2" xfId="36053"/>
    <cellStyle name="Normal 86 5 4 2 5" xfId="20163"/>
    <cellStyle name="Normal 86 5 4 2 5 2" xfId="42698"/>
    <cellStyle name="Normal 86 5 4 2 6" xfId="29421"/>
    <cellStyle name="Normal 86 5 4 3" xfId="6674"/>
    <cellStyle name="Normal 86 5 4 3 2" xfId="10006"/>
    <cellStyle name="Normal 86 5 4 3 2 2" xfId="16710"/>
    <cellStyle name="Normal 86 5 4 3 2 2 2" xfId="40131"/>
    <cellStyle name="Normal 86 5 4 3 2 3" xfId="33499"/>
    <cellStyle name="Normal 86 5 4 3 3" xfId="13394"/>
    <cellStyle name="Normal 86 5 4 3 3 2" xfId="36815"/>
    <cellStyle name="Normal 86 5 4 3 4" xfId="21478"/>
    <cellStyle name="Normal 86 5 4 3 4 2" xfId="43929"/>
    <cellStyle name="Normal 86 5 4 3 5" xfId="30183"/>
    <cellStyle name="Normal 86 5 4 4" xfId="8340"/>
    <cellStyle name="Normal 86 5 4 4 2" xfId="15052"/>
    <cellStyle name="Normal 86 5 4 4 2 2" xfId="38473"/>
    <cellStyle name="Normal 86 5 4 4 3" xfId="22174"/>
    <cellStyle name="Normal 86 5 4 4 3 2" xfId="44598"/>
    <cellStyle name="Normal 86 5 4 4 4" xfId="31841"/>
    <cellStyle name="Normal 86 5 4 5" xfId="11734"/>
    <cellStyle name="Normal 86 5 4 5 2" xfId="35157"/>
    <cellStyle name="Normal 86 5 4 6" xfId="19313"/>
    <cellStyle name="Normal 86 5 4 6 2" xfId="41866"/>
    <cellStyle name="Normal 86 5 4 7" xfId="28525"/>
    <cellStyle name="Normal 86 5 5" xfId="4267"/>
    <cellStyle name="Normal 86 5 5 2" xfId="7145"/>
    <cellStyle name="Normal 86 5 5 2 2" xfId="10477"/>
    <cellStyle name="Normal 86 5 5 2 2 2" xfId="17181"/>
    <cellStyle name="Normal 86 5 5 2 2 2 2" xfId="40602"/>
    <cellStyle name="Normal 86 5 5 2 2 3" xfId="33970"/>
    <cellStyle name="Normal 86 5 5 2 3" xfId="13865"/>
    <cellStyle name="Normal 86 5 5 2 3 2" xfId="37286"/>
    <cellStyle name="Normal 86 5 5 2 4" xfId="22585"/>
    <cellStyle name="Normal 86 5 5 2 4 2" xfId="45007"/>
    <cellStyle name="Normal 86 5 5 2 5" xfId="30654"/>
    <cellStyle name="Normal 86 5 5 3" xfId="8812"/>
    <cellStyle name="Normal 86 5 5 3 2" xfId="15523"/>
    <cellStyle name="Normal 86 5 5 3 2 2" xfId="38944"/>
    <cellStyle name="Normal 86 5 5 3 3" xfId="32312"/>
    <cellStyle name="Normal 86 5 5 4" xfId="12205"/>
    <cellStyle name="Normal 86 5 5 4 2" xfId="35628"/>
    <cellStyle name="Normal 86 5 5 5" xfId="19745"/>
    <cellStyle name="Normal 86 5 5 5 2" xfId="42282"/>
    <cellStyle name="Normal 86 5 5 6" xfId="28996"/>
    <cellStyle name="Normal 86 5 6" xfId="6201"/>
    <cellStyle name="Normal 86 5 6 2" xfId="9535"/>
    <cellStyle name="Normal 86 5 6 2 2" xfId="16239"/>
    <cellStyle name="Normal 86 5 6 2 2 2" xfId="39660"/>
    <cellStyle name="Normal 86 5 6 2 3" xfId="33028"/>
    <cellStyle name="Normal 86 5 6 3" xfId="12923"/>
    <cellStyle name="Normal 86 5 6 3 2" xfId="36344"/>
    <cellStyle name="Normal 86 5 6 4" xfId="21019"/>
    <cellStyle name="Normal 86 5 6 4 2" xfId="43470"/>
    <cellStyle name="Normal 86 5 6 5" xfId="29712"/>
    <cellStyle name="Normal 86 5 7" xfId="7867"/>
    <cellStyle name="Normal 86 5 7 2" xfId="14581"/>
    <cellStyle name="Normal 86 5 7 2 2" xfId="38002"/>
    <cellStyle name="Normal 86 5 7 3" xfId="21735"/>
    <cellStyle name="Normal 86 5 7 3 2" xfId="44184"/>
    <cellStyle name="Normal 86 5 7 4" xfId="31370"/>
    <cellStyle name="Normal 86 5 8" xfId="11263"/>
    <cellStyle name="Normal 86 5 8 2" xfId="34686"/>
    <cellStyle name="Normal 86 5 9" xfId="18129"/>
    <cellStyle name="Normal 86 5 9 2" xfId="41414"/>
    <cellStyle name="Normal 86 6" xfId="1706"/>
    <cellStyle name="Normal 86 6 10" xfId="28059"/>
    <cellStyle name="Normal 86 6 2" xfId="2389"/>
    <cellStyle name="Normal 86 6 2 2" xfId="5623"/>
    <cellStyle name="Normal 86 6 2 2 2" xfId="7445"/>
    <cellStyle name="Normal 86 6 2 2 2 2" xfId="10776"/>
    <cellStyle name="Normal 86 6 2 2 2 2 2" xfId="17480"/>
    <cellStyle name="Normal 86 6 2 2 2 2 2 2" xfId="40901"/>
    <cellStyle name="Normal 86 6 2 2 2 2 3" xfId="23198"/>
    <cellStyle name="Normal 86 6 2 2 2 2 3 2" xfId="45620"/>
    <cellStyle name="Normal 86 6 2 2 2 2 4" xfId="34269"/>
    <cellStyle name="Normal 86 6 2 2 2 3" xfId="14164"/>
    <cellStyle name="Normal 86 6 2 2 2 3 2" xfId="37585"/>
    <cellStyle name="Normal 86 6 2 2 2 4" xfId="20373"/>
    <cellStyle name="Normal 86 6 2 2 2 4 2" xfId="42908"/>
    <cellStyle name="Normal 86 6 2 2 2 5" xfId="30953"/>
    <cellStyle name="Normal 86 6 2 2 3" xfId="9118"/>
    <cellStyle name="Normal 86 6 2 2 3 2" xfId="15822"/>
    <cellStyle name="Normal 86 6 2 2 3 2 2" xfId="39243"/>
    <cellStyle name="Normal 86 6 2 2 3 3" xfId="21483"/>
    <cellStyle name="Normal 86 6 2 2 3 3 2" xfId="43934"/>
    <cellStyle name="Normal 86 6 2 2 3 4" xfId="32611"/>
    <cellStyle name="Normal 86 6 2 2 4" xfId="12506"/>
    <cellStyle name="Normal 86 6 2 2 4 2" xfId="22386"/>
    <cellStyle name="Normal 86 6 2 2 4 2 2" xfId="44808"/>
    <cellStyle name="Normal 86 6 2 2 4 3" xfId="35927"/>
    <cellStyle name="Normal 86 6 2 2 5" xfId="19534"/>
    <cellStyle name="Normal 86 6 2 2 5 2" xfId="42076"/>
    <cellStyle name="Normal 86 6 2 2 6" xfId="29295"/>
    <cellStyle name="Normal 86 6 2 3" xfId="6545"/>
    <cellStyle name="Normal 86 6 2 3 2" xfId="9879"/>
    <cellStyle name="Normal 86 6 2 3 2 2" xfId="16583"/>
    <cellStyle name="Normal 86 6 2 3 2 2 2" xfId="40004"/>
    <cellStyle name="Normal 86 6 2 3 2 3" xfId="22793"/>
    <cellStyle name="Normal 86 6 2 3 2 3 2" xfId="45215"/>
    <cellStyle name="Normal 86 6 2 3 2 4" xfId="33372"/>
    <cellStyle name="Normal 86 6 2 3 3" xfId="13267"/>
    <cellStyle name="Normal 86 6 2 3 3 2" xfId="36688"/>
    <cellStyle name="Normal 86 6 2 3 4" xfId="19957"/>
    <cellStyle name="Normal 86 6 2 3 4 2" xfId="42492"/>
    <cellStyle name="Normal 86 6 2 3 5" xfId="30056"/>
    <cellStyle name="Normal 86 6 2 4" xfId="8212"/>
    <cellStyle name="Normal 86 6 2 4 2" xfId="14925"/>
    <cellStyle name="Normal 86 6 2 4 2 2" xfId="38346"/>
    <cellStyle name="Normal 86 6 2 4 3" xfId="21024"/>
    <cellStyle name="Normal 86 6 2 4 3 2" xfId="43475"/>
    <cellStyle name="Normal 86 6 2 4 4" xfId="31714"/>
    <cellStyle name="Normal 86 6 2 5" xfId="11607"/>
    <cellStyle name="Normal 86 6 2 5 2" xfId="21962"/>
    <cellStyle name="Normal 86 6 2 5 2 2" xfId="44394"/>
    <cellStyle name="Normal 86 6 2 5 3" xfId="35030"/>
    <cellStyle name="Normal 86 6 2 6" xfId="18858"/>
    <cellStyle name="Normal 86 6 2 6 2" xfId="41651"/>
    <cellStyle name="Normal 86 6 2 7" xfId="25994"/>
    <cellStyle name="Normal 86 6 2 7 2" xfId="48239"/>
    <cellStyle name="Normal 86 6 2 8" xfId="28398"/>
    <cellStyle name="Normal 86 6 3" xfId="2704"/>
    <cellStyle name="Normal 86 6 3 2" xfId="5796"/>
    <cellStyle name="Normal 86 6 3 2 2" xfId="7578"/>
    <cellStyle name="Normal 86 6 3 2 2 2" xfId="10907"/>
    <cellStyle name="Normal 86 6 3 2 2 2 2" xfId="17611"/>
    <cellStyle name="Normal 86 6 3 2 2 2 2 2" xfId="41032"/>
    <cellStyle name="Normal 86 6 3 2 2 2 3" xfId="34400"/>
    <cellStyle name="Normal 86 6 3 2 2 3" xfId="14295"/>
    <cellStyle name="Normal 86 6 3 2 2 3 2" xfId="37716"/>
    <cellStyle name="Normal 86 6 3 2 2 4" xfId="22993"/>
    <cellStyle name="Normal 86 6 3 2 2 4 2" xfId="45415"/>
    <cellStyle name="Normal 86 6 3 2 2 5" xfId="31084"/>
    <cellStyle name="Normal 86 6 3 2 3" xfId="9249"/>
    <cellStyle name="Normal 86 6 3 2 3 2" xfId="15953"/>
    <cellStyle name="Normal 86 6 3 2 3 2 2" xfId="39374"/>
    <cellStyle name="Normal 86 6 3 2 3 3" xfId="32742"/>
    <cellStyle name="Normal 86 6 3 2 4" xfId="12637"/>
    <cellStyle name="Normal 86 6 3 2 4 2" xfId="36058"/>
    <cellStyle name="Normal 86 6 3 2 5" xfId="20165"/>
    <cellStyle name="Normal 86 6 3 2 5 2" xfId="42700"/>
    <cellStyle name="Normal 86 6 3 2 6" xfId="29426"/>
    <cellStyle name="Normal 86 6 3 3" xfId="6679"/>
    <cellStyle name="Normal 86 6 3 3 2" xfId="10011"/>
    <cellStyle name="Normal 86 6 3 3 2 2" xfId="16715"/>
    <cellStyle name="Normal 86 6 3 3 2 2 2" xfId="40136"/>
    <cellStyle name="Normal 86 6 3 3 2 3" xfId="33504"/>
    <cellStyle name="Normal 86 6 3 3 3" xfId="13399"/>
    <cellStyle name="Normal 86 6 3 3 3 2" xfId="36820"/>
    <cellStyle name="Normal 86 6 3 3 4" xfId="21482"/>
    <cellStyle name="Normal 86 6 3 3 4 2" xfId="43933"/>
    <cellStyle name="Normal 86 6 3 3 5" xfId="30188"/>
    <cellStyle name="Normal 86 6 3 4" xfId="8345"/>
    <cellStyle name="Normal 86 6 3 4 2" xfId="15057"/>
    <cellStyle name="Normal 86 6 3 4 2 2" xfId="38478"/>
    <cellStyle name="Normal 86 6 3 4 3" xfId="22176"/>
    <cellStyle name="Normal 86 6 3 4 3 2" xfId="44600"/>
    <cellStyle name="Normal 86 6 3 4 4" xfId="31846"/>
    <cellStyle name="Normal 86 6 3 5" xfId="11739"/>
    <cellStyle name="Normal 86 6 3 5 2" xfId="35162"/>
    <cellStyle name="Normal 86 6 3 6" xfId="19315"/>
    <cellStyle name="Normal 86 6 3 6 2" xfId="41868"/>
    <cellStyle name="Normal 86 6 3 7" xfId="28530"/>
    <cellStyle name="Normal 86 6 4" xfId="4269"/>
    <cellStyle name="Normal 86 6 4 2" xfId="7147"/>
    <cellStyle name="Normal 86 6 4 2 2" xfId="10479"/>
    <cellStyle name="Normal 86 6 4 2 2 2" xfId="17183"/>
    <cellStyle name="Normal 86 6 4 2 2 2 2" xfId="40604"/>
    <cellStyle name="Normal 86 6 4 2 2 3" xfId="33972"/>
    <cellStyle name="Normal 86 6 4 2 3" xfId="13867"/>
    <cellStyle name="Normal 86 6 4 2 3 2" xfId="37288"/>
    <cellStyle name="Normal 86 6 4 2 4" xfId="22587"/>
    <cellStyle name="Normal 86 6 4 2 4 2" xfId="45009"/>
    <cellStyle name="Normal 86 6 4 2 5" xfId="30656"/>
    <cellStyle name="Normal 86 6 4 3" xfId="8814"/>
    <cellStyle name="Normal 86 6 4 3 2" xfId="15525"/>
    <cellStyle name="Normal 86 6 4 3 2 2" xfId="38946"/>
    <cellStyle name="Normal 86 6 4 3 3" xfId="32314"/>
    <cellStyle name="Normal 86 6 4 4" xfId="12207"/>
    <cellStyle name="Normal 86 6 4 4 2" xfId="35630"/>
    <cellStyle name="Normal 86 6 4 5" xfId="19747"/>
    <cellStyle name="Normal 86 6 4 5 2" xfId="42284"/>
    <cellStyle name="Normal 86 6 4 6" xfId="28998"/>
    <cellStyle name="Normal 86 6 5" xfId="6206"/>
    <cellStyle name="Normal 86 6 5 2" xfId="9540"/>
    <cellStyle name="Normal 86 6 5 2 2" xfId="16244"/>
    <cellStyle name="Normal 86 6 5 2 2 2" xfId="39665"/>
    <cellStyle name="Normal 86 6 5 2 3" xfId="33033"/>
    <cellStyle name="Normal 86 6 5 3" xfId="12928"/>
    <cellStyle name="Normal 86 6 5 3 2" xfId="36349"/>
    <cellStyle name="Normal 86 6 5 4" xfId="21023"/>
    <cellStyle name="Normal 86 6 5 4 2" xfId="43474"/>
    <cellStyle name="Normal 86 6 5 5" xfId="29717"/>
    <cellStyle name="Normal 86 6 6" xfId="7872"/>
    <cellStyle name="Normal 86 6 6 2" xfId="14586"/>
    <cellStyle name="Normal 86 6 6 2 2" xfId="38007"/>
    <cellStyle name="Normal 86 6 6 3" xfId="21737"/>
    <cellStyle name="Normal 86 6 6 3 2" xfId="44186"/>
    <cellStyle name="Normal 86 6 6 4" xfId="31375"/>
    <cellStyle name="Normal 86 6 7" xfId="11268"/>
    <cellStyle name="Normal 86 6 7 2" xfId="34691"/>
    <cellStyle name="Normal 86 6 8" xfId="18131"/>
    <cellStyle name="Normal 86 6 8 2" xfId="41416"/>
    <cellStyle name="Normal 86 6 9" xfId="23763"/>
    <cellStyle name="Normal 86 6 9 2" xfId="46052"/>
    <cellStyle name="Normal 86 7" xfId="2373"/>
    <cellStyle name="Normal 86 7 2" xfId="4270"/>
    <cellStyle name="Normal 86 7 2 2" xfId="7148"/>
    <cellStyle name="Normal 86 7 2 2 2" xfId="10480"/>
    <cellStyle name="Normal 86 7 2 2 2 2" xfId="17184"/>
    <cellStyle name="Normal 86 7 2 2 2 2 2" xfId="40605"/>
    <cellStyle name="Normal 86 7 2 2 2 3" xfId="23183"/>
    <cellStyle name="Normal 86 7 2 2 2 3 2" xfId="45605"/>
    <cellStyle name="Normal 86 7 2 2 2 4" xfId="33973"/>
    <cellStyle name="Normal 86 7 2 2 3" xfId="13868"/>
    <cellStyle name="Normal 86 7 2 2 3 2" xfId="37289"/>
    <cellStyle name="Normal 86 7 2 2 4" xfId="20358"/>
    <cellStyle name="Normal 86 7 2 2 4 2" xfId="42893"/>
    <cellStyle name="Normal 86 7 2 2 5" xfId="30657"/>
    <cellStyle name="Normal 86 7 2 3" xfId="8815"/>
    <cellStyle name="Normal 86 7 2 3 2" xfId="15526"/>
    <cellStyle name="Normal 86 7 2 3 2 2" xfId="38947"/>
    <cellStyle name="Normal 86 7 2 3 3" xfId="21484"/>
    <cellStyle name="Normal 86 7 2 3 3 2" xfId="43935"/>
    <cellStyle name="Normal 86 7 2 3 4" xfId="32315"/>
    <cellStyle name="Normal 86 7 2 4" xfId="12208"/>
    <cellStyle name="Normal 86 7 2 4 2" xfId="22371"/>
    <cellStyle name="Normal 86 7 2 4 2 2" xfId="44793"/>
    <cellStyle name="Normal 86 7 2 4 3" xfId="35631"/>
    <cellStyle name="Normal 86 7 2 5" xfId="19519"/>
    <cellStyle name="Normal 86 7 2 5 2" xfId="42061"/>
    <cellStyle name="Normal 86 7 2 6" xfId="25995"/>
    <cellStyle name="Normal 86 7 2 6 2" xfId="48240"/>
    <cellStyle name="Normal 86 7 2 7" xfId="28999"/>
    <cellStyle name="Normal 86 7 3" xfId="6530"/>
    <cellStyle name="Normal 86 7 3 2" xfId="9864"/>
    <cellStyle name="Normal 86 7 3 2 2" xfId="16568"/>
    <cellStyle name="Normal 86 7 3 2 2 2" xfId="39989"/>
    <cellStyle name="Normal 86 7 3 2 3" xfId="22778"/>
    <cellStyle name="Normal 86 7 3 2 3 2" xfId="45200"/>
    <cellStyle name="Normal 86 7 3 2 4" xfId="33357"/>
    <cellStyle name="Normal 86 7 3 3" xfId="13252"/>
    <cellStyle name="Normal 86 7 3 3 2" xfId="36673"/>
    <cellStyle name="Normal 86 7 3 4" xfId="19942"/>
    <cellStyle name="Normal 86 7 3 4 2" xfId="42477"/>
    <cellStyle name="Normal 86 7 3 5" xfId="30041"/>
    <cellStyle name="Normal 86 7 4" xfId="8197"/>
    <cellStyle name="Normal 86 7 4 2" xfId="14910"/>
    <cellStyle name="Normal 86 7 4 2 2" xfId="38331"/>
    <cellStyle name="Normal 86 7 4 3" xfId="21025"/>
    <cellStyle name="Normal 86 7 4 3 2" xfId="43476"/>
    <cellStyle name="Normal 86 7 4 4" xfId="31699"/>
    <cellStyle name="Normal 86 7 5" xfId="11592"/>
    <cellStyle name="Normal 86 7 5 2" xfId="21947"/>
    <cellStyle name="Normal 86 7 5 2 2" xfId="44379"/>
    <cellStyle name="Normal 86 7 5 3" xfId="35015"/>
    <cellStyle name="Normal 86 7 6" xfId="18842"/>
    <cellStyle name="Normal 86 7 6 2" xfId="41636"/>
    <cellStyle name="Normal 86 7 7" xfId="23764"/>
    <cellStyle name="Normal 86 7 7 2" xfId="46053"/>
    <cellStyle name="Normal 86 7 8" xfId="28383"/>
    <cellStyle name="Normal 86 8" xfId="2571"/>
    <cellStyle name="Normal 86 8 2" xfId="5665"/>
    <cellStyle name="Normal 86 8 2 2" xfId="7448"/>
    <cellStyle name="Normal 86 8 2 2 2" xfId="10777"/>
    <cellStyle name="Normal 86 8 2 2 2 2" xfId="17481"/>
    <cellStyle name="Normal 86 8 2 2 2 2 2" xfId="40902"/>
    <cellStyle name="Normal 86 8 2 2 2 3" xfId="34270"/>
    <cellStyle name="Normal 86 8 2 2 3" xfId="14165"/>
    <cellStyle name="Normal 86 8 2 2 3 2" xfId="37586"/>
    <cellStyle name="Normal 86 8 2 2 4" xfId="20612"/>
    <cellStyle name="Normal 86 8 2 2 4 2" xfId="43063"/>
    <cellStyle name="Normal 86 8 2 2 5" xfId="30954"/>
    <cellStyle name="Normal 86 8 2 3" xfId="9119"/>
    <cellStyle name="Normal 86 8 2 3 2" xfId="15823"/>
    <cellStyle name="Normal 86 8 2 3 2 2" xfId="39244"/>
    <cellStyle name="Normal 86 8 2 3 3" xfId="21530"/>
    <cellStyle name="Normal 86 8 2 3 3 2" xfId="43981"/>
    <cellStyle name="Normal 86 8 2 3 4" xfId="32612"/>
    <cellStyle name="Normal 86 8 2 4" xfId="12507"/>
    <cellStyle name="Normal 86 8 2 4 2" xfId="22978"/>
    <cellStyle name="Normal 86 8 2 4 2 2" xfId="45400"/>
    <cellStyle name="Normal 86 8 2 4 3" xfId="35928"/>
    <cellStyle name="Normal 86 8 2 5" xfId="20150"/>
    <cellStyle name="Normal 86 8 2 5 2" xfId="42685"/>
    <cellStyle name="Normal 86 8 2 6" xfId="29296"/>
    <cellStyle name="Normal 86 8 3" xfId="6548"/>
    <cellStyle name="Normal 86 8 3 2" xfId="9880"/>
    <cellStyle name="Normal 86 8 3 2 2" xfId="16584"/>
    <cellStyle name="Normal 86 8 3 2 2 2" xfId="40005"/>
    <cellStyle name="Normal 86 8 3 2 3" xfId="33373"/>
    <cellStyle name="Normal 86 8 3 3" xfId="13268"/>
    <cellStyle name="Normal 86 8 3 3 2" xfId="36689"/>
    <cellStyle name="Normal 86 8 3 4" xfId="20514"/>
    <cellStyle name="Normal 86 8 3 4 2" xfId="42967"/>
    <cellStyle name="Normal 86 8 3 5" xfId="30057"/>
    <cellStyle name="Normal 86 8 4" xfId="8214"/>
    <cellStyle name="Normal 86 8 4 2" xfId="14926"/>
    <cellStyle name="Normal 86 8 4 2 2" xfId="38347"/>
    <cellStyle name="Normal 86 8 4 3" xfId="21071"/>
    <cellStyle name="Normal 86 8 4 3 2" xfId="43522"/>
    <cellStyle name="Normal 86 8 4 4" xfId="31715"/>
    <cellStyle name="Normal 86 8 5" xfId="11608"/>
    <cellStyle name="Normal 86 8 5 2" xfId="22161"/>
    <cellStyle name="Normal 86 8 5 2 2" xfId="44585"/>
    <cellStyle name="Normal 86 8 5 3" xfId="35031"/>
    <cellStyle name="Normal 86 8 6" xfId="19300"/>
    <cellStyle name="Normal 86 8 6 2" xfId="41853"/>
    <cellStyle name="Normal 86 8 7" xfId="28399"/>
    <cellStyle name="Normal 86 9" xfId="6075"/>
    <cellStyle name="Normal 86 9 2" xfId="9409"/>
    <cellStyle name="Normal 86 9 2 2" xfId="16113"/>
    <cellStyle name="Normal 86 9 2 2 2" xfId="39534"/>
    <cellStyle name="Normal 86 9 2 3" xfId="20563"/>
    <cellStyle name="Normal 86 9 2 3 2" xfId="43014"/>
    <cellStyle name="Normal 86 9 2 4" xfId="32902"/>
    <cellStyle name="Normal 86 9 3" xfId="12797"/>
    <cellStyle name="Normal 86 9 3 2" xfId="21453"/>
    <cellStyle name="Normal 86 9 3 2 2" xfId="43904"/>
    <cellStyle name="Normal 86 9 3 3" xfId="36218"/>
    <cellStyle name="Normal 86 9 4" xfId="19732"/>
    <cellStyle name="Normal 86 9 4 2" xfId="42269"/>
    <cellStyle name="Normal 86 9 5" xfId="29586"/>
    <cellStyle name="Normal 87" xfId="1020"/>
    <cellStyle name="Normal 87 2" xfId="18859"/>
    <cellStyle name="Normal 88" xfId="1124"/>
    <cellStyle name="Normal 88 2" xfId="4272"/>
    <cellStyle name="Normal 88 3" xfId="4271"/>
    <cellStyle name="Normal 89" xfId="1172"/>
    <cellStyle name="Normal 89 2" xfId="4274"/>
    <cellStyle name="Normal 89 3" xfId="4273"/>
    <cellStyle name="Normal 9" xfId="522"/>
    <cellStyle name="Normal 9 2" xfId="523"/>
    <cellStyle name="Normal 9 2 2" xfId="4275"/>
    <cellStyle name="Normal 9 3" xfId="1645"/>
    <cellStyle name="Normal 9 3 2" xfId="4277"/>
    <cellStyle name="Normal 9 3 2 2" xfId="18861"/>
    <cellStyle name="Normal 9 3 3" xfId="4278"/>
    <cellStyle name="Normal 9 3 4" xfId="4279"/>
    <cellStyle name="Normal 9 3 5" xfId="4276"/>
    <cellStyle name="Normal 9 4" xfId="1644"/>
    <cellStyle name="Normal 9 4 2" xfId="4281"/>
    <cellStyle name="Normal 9 4 3" xfId="4280"/>
    <cellStyle name="Normal 9 5" xfId="18860"/>
    <cellStyle name="Normal 9 5 2" xfId="21963"/>
    <cellStyle name="Normal 9 5 3" xfId="18113"/>
    <cellStyle name="Normal 90" xfId="1175"/>
    <cellStyle name="Normal 90 2" xfId="4283"/>
    <cellStyle name="Normal 90 3" xfId="4282"/>
    <cellStyle name="Normal 91" xfId="1022"/>
    <cellStyle name="Normal 91 2" xfId="18862"/>
    <cellStyle name="Normal 91 3" xfId="23323"/>
    <cellStyle name="Normal 92" xfId="1014"/>
    <cellStyle name="Normal 92 2" xfId="18863"/>
    <cellStyle name="Normal 92 3" xfId="23251"/>
    <cellStyle name="Normal 93" xfId="1019"/>
    <cellStyle name="Normal 93 2" xfId="18864"/>
    <cellStyle name="Normal 93 2 2" xfId="24341"/>
    <cellStyle name="Normal 94" xfId="1018"/>
    <cellStyle name="Normal 94 2" xfId="18865"/>
    <cellStyle name="Normal 94 2 2" xfId="26545"/>
    <cellStyle name="Normal 94 2 2 2" xfId="48790"/>
    <cellStyle name="Normal 94 2 3" xfId="24342"/>
    <cellStyle name="Normal 94 2 3 2" xfId="46587"/>
    <cellStyle name="Normal 95" xfId="1176"/>
    <cellStyle name="Normal 95 2" xfId="18866"/>
    <cellStyle name="Normal 96" xfId="1179"/>
    <cellStyle name="Normal 96 2" xfId="18867"/>
    <cellStyle name="Normal 97" xfId="1180"/>
    <cellStyle name="Normal 97 2" xfId="18868"/>
    <cellStyle name="Normal 98" xfId="1181"/>
    <cellStyle name="Normal 98 2" xfId="18869"/>
    <cellStyle name="Normal 99" xfId="1182"/>
    <cellStyle name="Normal 99 2" xfId="18870"/>
    <cellStyle name="Normal Bold" xfId="524"/>
    <cellStyle name="Normal Bold 2" xfId="4284"/>
    <cellStyle name="Normal Bold 3" xfId="5006"/>
    <cellStyle name="Normal_AMCCBLSH" xfId="525"/>
    <cellStyle name="Normal_Book3" xfId="526"/>
    <cellStyle name="Normal_DisclaimerSheet Samples" xfId="50172"/>
    <cellStyle name="Normal_intc(1).o" xfId="527"/>
    <cellStyle name="Normale_Immat gennaio 1996" xfId="23324"/>
    <cellStyle name="NormalItalic" xfId="4285"/>
    <cellStyle name="Note 10" xfId="2394"/>
    <cellStyle name="Note 10 2" xfId="4287"/>
    <cellStyle name="Note 10 2 2" xfId="18872"/>
    <cellStyle name="Note 10 3" xfId="18871"/>
    <cellStyle name="Note 11" xfId="4288"/>
    <cellStyle name="Note 11 2" xfId="4289"/>
    <cellStyle name="Note 12" xfId="4290"/>
    <cellStyle name="Note 12 2" xfId="4291"/>
    <cellStyle name="Note 13" xfId="4292"/>
    <cellStyle name="Note 13 2" xfId="4293"/>
    <cellStyle name="Note 14" xfId="4286"/>
    <cellStyle name="Note 15" xfId="6062"/>
    <cellStyle name="Note 15 2" xfId="7728"/>
    <cellStyle name="Note 15 2 2" xfId="11057"/>
    <cellStyle name="Note 15 2 2 2" xfId="17761"/>
    <cellStyle name="Note 15 2 2 2 2" xfId="41182"/>
    <cellStyle name="Note 15 2 2 3" xfId="34550"/>
    <cellStyle name="Note 15 2 3" xfId="14445"/>
    <cellStyle name="Note 15 2 3 2" xfId="37866"/>
    <cellStyle name="Note 15 2 4" xfId="31234"/>
    <cellStyle name="Note 15 3" xfId="9399"/>
    <cellStyle name="Note 15 3 2" xfId="16103"/>
    <cellStyle name="Note 15 3 2 2" xfId="39524"/>
    <cellStyle name="Note 15 3 3" xfId="32892"/>
    <cellStyle name="Note 15 4" xfId="12787"/>
    <cellStyle name="Note 15 4 2" xfId="36208"/>
    <cellStyle name="Note 15 5" xfId="29576"/>
    <cellStyle name="Note 2" xfId="528"/>
    <cellStyle name="Note 2 2" xfId="529"/>
    <cellStyle name="Note 2 2 2" xfId="530"/>
    <cellStyle name="Note 2 2 2 2" xfId="4294"/>
    <cellStyle name="Note 2 2 3" xfId="1647"/>
    <cellStyle name="Note 2 2 3 2" xfId="18873"/>
    <cellStyle name="Note 2 2 4" xfId="1646"/>
    <cellStyle name="Note 2 2 4 2" xfId="2397"/>
    <cellStyle name="Note 2 2 4 3" xfId="2396"/>
    <cellStyle name="Note 2 2 4 4" xfId="5351"/>
    <cellStyle name="Note 2 2 5" xfId="2395"/>
    <cellStyle name="Note 2 3" xfId="531"/>
    <cellStyle name="Note 2 3 2" xfId="4296"/>
    <cellStyle name="Note 2 3 3" xfId="4297"/>
    <cellStyle name="Note 2 3 4" xfId="4295"/>
    <cellStyle name="Note 2 4" xfId="4298"/>
    <cellStyle name="Note 2 4 2" xfId="23773"/>
    <cellStyle name="Note 2 4 3" xfId="23222"/>
    <cellStyle name="Note 3" xfId="532"/>
    <cellStyle name="Note 3 2" xfId="756"/>
    <cellStyle name="Note 3 2 2" xfId="5228"/>
    <cellStyle name="Note 3 3" xfId="5264"/>
    <cellStyle name="Note 4" xfId="881"/>
    <cellStyle name="Note 4 2" xfId="882"/>
    <cellStyle name="Note 4 2 2" xfId="4299"/>
    <cellStyle name="Note 4 2 2 2" xfId="5635"/>
    <cellStyle name="Note 4 2 2 2 2" xfId="23772"/>
    <cellStyle name="Note 4 3" xfId="4300"/>
    <cellStyle name="Note 4 3 2" xfId="5984"/>
    <cellStyle name="Note 4 3 2 2" xfId="23771"/>
    <cellStyle name="Note 5" xfId="883"/>
    <cellStyle name="Note 5 2" xfId="884"/>
    <cellStyle name="Note 5 2 2" xfId="5640"/>
    <cellStyle name="Note 5 3" xfId="5397"/>
    <cellStyle name="Note 5 4" xfId="24340"/>
    <cellStyle name="Note 5 4 2" xfId="26544"/>
    <cellStyle name="Note 5 4 2 2" xfId="48789"/>
    <cellStyle name="Note 5 4 3" xfId="46586"/>
    <cellStyle name="Note 6" xfId="1092"/>
    <cellStyle name="Note 6 2" xfId="1093"/>
    <cellStyle name="Note 6 2 2" xfId="5642"/>
    <cellStyle name="Note 6 3" xfId="5976"/>
    <cellStyle name="Note 7" xfId="1094"/>
    <cellStyle name="Note 7 2" xfId="1329"/>
    <cellStyle name="Note 7 2 2" xfId="5167"/>
    <cellStyle name="Note 7 3" xfId="4301"/>
    <cellStyle name="Note 8" xfId="2399"/>
    <cellStyle name="Note 8 2" xfId="2400"/>
    <cellStyle name="Note 8 2 2" xfId="18135"/>
    <cellStyle name="Note 8 2 2 2" xfId="18876"/>
    <cellStyle name="Note 8 2 3" xfId="18875"/>
    <cellStyle name="Note 8 3" xfId="2401"/>
    <cellStyle name="Note 8 3 2" xfId="18136"/>
    <cellStyle name="Note 8 3 2 2" xfId="18878"/>
    <cellStyle name="Note 8 3 3" xfId="18877"/>
    <cellStyle name="Note 8 4" xfId="18137"/>
    <cellStyle name="Note 8 4 2" xfId="18879"/>
    <cellStyle name="Note 8 5" xfId="18874"/>
    <cellStyle name="Note 9" xfId="2402"/>
    <cellStyle name="Note 9 2" xfId="4302"/>
    <cellStyle name="Note 9 2 2" xfId="18881"/>
    <cellStyle name="Note 9 3" xfId="18880"/>
    <cellStyle name="Notes" xfId="5007"/>
    <cellStyle name="num,nodecpts" xfId="5008"/>
    <cellStyle name="number" xfId="533"/>
    <cellStyle name="number 2" xfId="1096"/>
    <cellStyle name="Number 2 10" xfId="2398"/>
    <cellStyle name="number 2 11" xfId="5279"/>
    <cellStyle name="number 2 12" xfId="5957"/>
    <cellStyle name="Number 2 13" xfId="4303"/>
    <cellStyle name="Number 2 14" xfId="6014"/>
    <cellStyle name="Number 2 15" xfId="6025"/>
    <cellStyle name="Number 2 16" xfId="4595"/>
    <cellStyle name="Number 2 17" xfId="6026"/>
    <cellStyle name="Number 2 18" xfId="23765"/>
    <cellStyle name="Number 2 19" xfId="23770"/>
    <cellStyle name="number 2 2" xfId="1649"/>
    <cellStyle name="Number 2 2 2" xfId="5124"/>
    <cellStyle name="Number 2 3" xfId="1648"/>
    <cellStyle name="Number 2 4" xfId="1523"/>
    <cellStyle name="Number 2 5" xfId="1639"/>
    <cellStyle name="Number 2 6" xfId="2403"/>
    <cellStyle name="Number 2 6 2" xfId="5624"/>
    <cellStyle name="number 2 6 3" xfId="4304"/>
    <cellStyle name="number 2 6 4" xfId="6015"/>
    <cellStyle name="number 2 6 5" xfId="2950"/>
    <cellStyle name="number 2 6 6" xfId="6024"/>
    <cellStyle name="number 2 6 7" xfId="4443"/>
    <cellStyle name="number 2 6 8" xfId="23766"/>
    <cellStyle name="number 2 6 9" xfId="23297"/>
    <cellStyle name="Number 2 7" xfId="1930"/>
    <cellStyle name="Number 2 8" xfId="2370"/>
    <cellStyle name="Number 2 9" xfId="1997"/>
    <cellStyle name="Number 3" xfId="1095"/>
    <cellStyle name="Number 4" xfId="1251"/>
    <cellStyle name="Number 5" xfId="1477"/>
    <cellStyle name="Number 6" xfId="1650"/>
    <cellStyle name="Number 7" xfId="1651"/>
    <cellStyle name="Number 8" xfId="1652"/>
    <cellStyle name="Number 9" xfId="6068"/>
    <cellStyle name="Numbers" xfId="5009"/>
    <cellStyle name="Numbers [0]" xfId="5010"/>
    <cellStyle name="Œ…‹æØ‚è [0.00]_GE 3 MINIMUM" xfId="534"/>
    <cellStyle name="Œ…‹æØ‚è_GE 3 MINIMUM" xfId="535"/>
    <cellStyle name="Onedec_FT Valuation " xfId="536"/>
    <cellStyle name="OneDecimal" xfId="4305"/>
    <cellStyle name="Other%" xfId="4306"/>
    <cellStyle name="outh America" xfId="537"/>
    <cellStyle name="Output" xfId="6036" builtinId="21" customBuiltin="1"/>
    <cellStyle name="Output 2" xfId="538"/>
    <cellStyle name="Output 3" xfId="1097"/>
    <cellStyle name="Output 3 2" xfId="4309"/>
    <cellStyle name="Output 3 3" xfId="4308"/>
    <cellStyle name="Output 3 4" xfId="23272"/>
    <cellStyle name="Output 4" xfId="4307"/>
    <cellStyle name="Override" xfId="5011"/>
    <cellStyle name="p " xfId="539"/>
    <cellStyle name="Pass" xfId="540"/>
    <cellStyle name="Pass 2" xfId="885"/>
    <cellStyle name="Pass 2 2" xfId="4311"/>
    <cellStyle name="Pass 2 3" xfId="4312"/>
    <cellStyle name="Pass 2 4" xfId="4310"/>
    <cellStyle name="Pass 3" xfId="2258"/>
    <cellStyle name="Pec (2dec,fs)" xfId="5012"/>
    <cellStyle name="Percent" xfId="541" builtinId="5"/>
    <cellStyle name="Percent (1)" xfId="4314"/>
    <cellStyle name="Percent [2]" xfId="542"/>
    <cellStyle name="Percent [2] 2" xfId="543"/>
    <cellStyle name="Percent [2] 2 2" xfId="544"/>
    <cellStyle name="Percent [2] 2 2 2" xfId="545"/>
    <cellStyle name="Percent [2] 2 2 2 2" xfId="4315"/>
    <cellStyle name="Percent [2] 2 2 3" xfId="4316"/>
    <cellStyle name="Percent [2] 2 3" xfId="546"/>
    <cellStyle name="Percent [2] 2 3 2" xfId="4317"/>
    <cellStyle name="Percent [2] 2 4" xfId="4318"/>
    <cellStyle name="Percent [2] 3" xfId="547"/>
    <cellStyle name="Percent [2] 3 2" xfId="548"/>
    <cellStyle name="Percent [2] 3 2 2" xfId="4319"/>
    <cellStyle name="Percent [2] 3 3" xfId="4320"/>
    <cellStyle name="Percent [2] 4" xfId="549"/>
    <cellStyle name="Percent [2] 4 2" xfId="2259"/>
    <cellStyle name="Percent [2] 4 2 2" xfId="5634"/>
    <cellStyle name="Percent [2] 4 3" xfId="5327"/>
    <cellStyle name="Percent [2] 5" xfId="550"/>
    <cellStyle name="Percent [2] 5 2" xfId="757"/>
    <cellStyle name="Percent [2] 5 2 2" xfId="5997"/>
    <cellStyle name="Percent [2] 5 3" xfId="5347"/>
    <cellStyle name="Percent [2] 6" xfId="2262"/>
    <cellStyle name="Percent [2] 6 2" xfId="2263"/>
    <cellStyle name="Percent [2] 6 2 2" xfId="18261"/>
    <cellStyle name="Percent [2] 6 3" xfId="18260"/>
    <cellStyle name="Percent [2] 7" xfId="2264"/>
    <cellStyle name="Percent [2] 7 2" xfId="2267"/>
    <cellStyle name="Percent [2] 7 2 2" xfId="18263"/>
    <cellStyle name="Percent [2] 7 3" xfId="18262"/>
    <cellStyle name="Percent [2] 8" xfId="2268"/>
    <cellStyle name="Percent [2] 8 2" xfId="4321"/>
    <cellStyle name="Percent [2] 9" xfId="18114"/>
    <cellStyle name="Percent 10" xfId="551"/>
    <cellStyle name="Percent 10 2" xfId="552"/>
    <cellStyle name="Percent 10 2 2" xfId="553"/>
    <cellStyle name="Percent 10 2 2 2" xfId="4323"/>
    <cellStyle name="Percent 10 2 2 3" xfId="4322"/>
    <cellStyle name="Percent 10 2 3" xfId="1127"/>
    <cellStyle name="Percent 10 2 3 2" xfId="18885"/>
    <cellStyle name="Percent 10 2 4" xfId="1099"/>
    <cellStyle name="Percent 10 2 5" xfId="18884"/>
    <cellStyle name="Percent 10 3" xfId="554"/>
    <cellStyle name="Percent 10 3 2" xfId="555"/>
    <cellStyle name="Percent 10 3 2 2" xfId="4324"/>
    <cellStyle name="Percent 10 3 3" xfId="4325"/>
    <cellStyle name="Percent 10 4" xfId="556"/>
    <cellStyle name="Percent 10 4 2" xfId="4327"/>
    <cellStyle name="Percent 10 4 3" xfId="4328"/>
    <cellStyle name="Percent 10 4 4" xfId="4326"/>
    <cellStyle name="Percent 10 5" xfId="1098"/>
    <cellStyle name="Percent 10 5 2" xfId="4329"/>
    <cellStyle name="Percent 10 5 2 2" xfId="23483"/>
    <cellStyle name="Percent 10 5 2 2 2" xfId="45817"/>
    <cellStyle name="Percent 10 5 3" xfId="4330"/>
    <cellStyle name="Percent 10 5 4" xfId="4331"/>
    <cellStyle name="Percent 10 5 5" xfId="5126"/>
    <cellStyle name="Percent 10 5 5 2" xfId="7182"/>
    <cellStyle name="Percent 10 5 5 2 2" xfId="10513"/>
    <cellStyle name="Percent 10 5 5 2 2 2" xfId="17217"/>
    <cellStyle name="Percent 10 5 5 2 2 2 2" xfId="40638"/>
    <cellStyle name="Percent 10 5 5 2 2 3" xfId="34006"/>
    <cellStyle name="Percent 10 5 5 2 3" xfId="13901"/>
    <cellStyle name="Percent 10 5 5 2 3 2" xfId="37322"/>
    <cellStyle name="Percent 10 5 5 2 4" xfId="26024"/>
    <cellStyle name="Percent 10 5 5 2 4 2" xfId="48269"/>
    <cellStyle name="Percent 10 5 5 2 5" xfId="30690"/>
    <cellStyle name="Percent 10 5 5 3" xfId="8853"/>
    <cellStyle name="Percent 10 5 5 3 2" xfId="15559"/>
    <cellStyle name="Percent 10 5 5 3 2 2" xfId="38980"/>
    <cellStyle name="Percent 10 5 5 3 3" xfId="32348"/>
    <cellStyle name="Percent 10 5 5 4" xfId="12242"/>
    <cellStyle name="Percent 10 5 5 4 2" xfId="35664"/>
    <cellStyle name="Percent 10 5 5 5" xfId="23814"/>
    <cellStyle name="Percent 10 5 5 5 2" xfId="46077"/>
    <cellStyle name="Percent 10 5 5 6" xfId="29032"/>
    <cellStyle name="Percent 10 5 6" xfId="23432"/>
    <cellStyle name="Percent 10 5 6 2" xfId="45774"/>
    <cellStyle name="Percent 10 6" xfId="18883"/>
    <cellStyle name="Percent 100" xfId="2404"/>
    <cellStyle name="Percent 100 2" xfId="18139"/>
    <cellStyle name="Percent 100 2 2" xfId="18887"/>
    <cellStyle name="Percent 100 3" xfId="18886"/>
    <cellStyle name="Percent 101" xfId="2405"/>
    <cellStyle name="Percent 101 2" xfId="18140"/>
    <cellStyle name="Percent 101 2 2" xfId="18889"/>
    <cellStyle name="Percent 101 3" xfId="18888"/>
    <cellStyle name="Percent 102" xfId="2406"/>
    <cellStyle name="Percent 102 2" xfId="18141"/>
    <cellStyle name="Percent 102 2 2" xfId="18891"/>
    <cellStyle name="Percent 102 3" xfId="18890"/>
    <cellStyle name="Percent 103" xfId="2407"/>
    <cellStyle name="Percent 103 2" xfId="18142"/>
    <cellStyle name="Percent 103 2 2" xfId="18893"/>
    <cellStyle name="Percent 103 3" xfId="18892"/>
    <cellStyle name="Percent 104" xfId="2408"/>
    <cellStyle name="Percent 104 2" xfId="18143"/>
    <cellStyle name="Percent 104 2 2" xfId="18895"/>
    <cellStyle name="Percent 104 3" xfId="18894"/>
    <cellStyle name="Percent 105" xfId="2409"/>
    <cellStyle name="Percent 105 2" xfId="18144"/>
    <cellStyle name="Percent 105 2 2" xfId="18897"/>
    <cellStyle name="Percent 105 3" xfId="18896"/>
    <cellStyle name="Percent 106" xfId="2410"/>
    <cellStyle name="Percent 106 2" xfId="18145"/>
    <cellStyle name="Percent 106 2 2" xfId="18899"/>
    <cellStyle name="Percent 106 3" xfId="18898"/>
    <cellStyle name="Percent 107" xfId="4332"/>
    <cellStyle name="Percent 107 2" xfId="18900"/>
    <cellStyle name="Percent 108" xfId="4333"/>
    <cellStyle name="Percent 108 2" xfId="18901"/>
    <cellStyle name="Percent 109" xfId="4334"/>
    <cellStyle name="Percent 109 2" xfId="18902"/>
    <cellStyle name="Percent 11" xfId="557"/>
    <cellStyle name="Percent 11 2" xfId="558"/>
    <cellStyle name="Percent 11 2 2" xfId="559"/>
    <cellStyle name="Percent 11 2 2 2" xfId="4335"/>
    <cellStyle name="Percent 11 2 3" xfId="4336"/>
    <cellStyle name="Percent 11 3" xfId="560"/>
    <cellStyle name="Percent 11 3 2" xfId="561"/>
    <cellStyle name="Percent 11 3 2 2" xfId="4337"/>
    <cellStyle name="Percent 11 3 3" xfId="4338"/>
    <cellStyle name="Percent 11 4" xfId="562"/>
    <cellStyle name="Percent 11 4 2" xfId="4339"/>
    <cellStyle name="Percent 11 5" xfId="4340"/>
    <cellStyle name="Percent 11 5 2" xfId="4341"/>
    <cellStyle name="Percent 11 6" xfId="4342"/>
    <cellStyle name="Percent 110" xfId="4343"/>
    <cellStyle name="Percent 110 2" xfId="18903"/>
    <cellStyle name="Percent 111" xfId="4344"/>
    <cellStyle name="Percent 111 2" xfId="18904"/>
    <cellStyle name="Percent 112" xfId="4345"/>
    <cellStyle name="Percent 112 2" xfId="18905"/>
    <cellStyle name="Percent 113" xfId="4346"/>
    <cellStyle name="Percent 113 2" xfId="18906"/>
    <cellStyle name="Percent 114" xfId="4347"/>
    <cellStyle name="Percent 114 2" xfId="18907"/>
    <cellStyle name="Percent 115" xfId="4348"/>
    <cellStyle name="Percent 115 2" xfId="18908"/>
    <cellStyle name="Percent 116" xfId="4349"/>
    <cellStyle name="Percent 116 2" xfId="18909"/>
    <cellStyle name="Percent 117" xfId="4350"/>
    <cellStyle name="Percent 117 2" xfId="19316"/>
    <cellStyle name="Percent 118" xfId="4351"/>
    <cellStyle name="Percent 118 2" xfId="19317"/>
    <cellStyle name="Percent 119" xfId="4352"/>
    <cellStyle name="Percent 119 2" xfId="19318"/>
    <cellStyle name="Percent 12" xfId="563"/>
    <cellStyle name="Percent 12 2" xfId="564"/>
    <cellStyle name="Percent 12 2 2" xfId="565"/>
    <cellStyle name="Percent 12 2 2 2" xfId="4353"/>
    <cellStyle name="Percent 12 2 3" xfId="4354"/>
    <cellStyle name="Percent 12 3" xfId="566"/>
    <cellStyle name="Percent 12 3 2" xfId="567"/>
    <cellStyle name="Percent 12 3 2 2" xfId="4355"/>
    <cellStyle name="Percent 12 3 3" xfId="4356"/>
    <cellStyle name="Percent 12 4" xfId="568"/>
    <cellStyle name="Percent 12 4 2" xfId="4357"/>
    <cellStyle name="Percent 12 5" xfId="4358"/>
    <cellStyle name="Percent 120" xfId="4359"/>
    <cellStyle name="Percent 120 2" xfId="19319"/>
    <cellStyle name="Percent 121" xfId="4360"/>
    <cellStyle name="Percent 121 2" xfId="19320"/>
    <cellStyle name="Percent 122" xfId="4361"/>
    <cellStyle name="Percent 123" xfId="4362"/>
    <cellStyle name="Percent 124" xfId="4363"/>
    <cellStyle name="Percent 125" xfId="4364"/>
    <cellStyle name="Percent 126" xfId="4365"/>
    <cellStyle name="Percent 127" xfId="4366"/>
    <cellStyle name="Percent 128" xfId="4367"/>
    <cellStyle name="Percent 129" xfId="4368"/>
    <cellStyle name="Percent 13" xfId="569"/>
    <cellStyle name="Percent 13 2" xfId="570"/>
    <cellStyle name="Percent 13 2 2" xfId="4369"/>
    <cellStyle name="Percent 13 3" xfId="886"/>
    <cellStyle name="Percent 13 3 2" xfId="18912"/>
    <cellStyle name="Percent 13 4" xfId="18911"/>
    <cellStyle name="Percent 130" xfId="4370"/>
    <cellStyle name="Percent 131" xfId="4371"/>
    <cellStyle name="Percent 132" xfId="4372"/>
    <cellStyle name="Percent 133" xfId="4373"/>
    <cellStyle name="Percent 134" xfId="4374"/>
    <cellStyle name="Percent 135" xfId="4767"/>
    <cellStyle name="Percent 136" xfId="5136"/>
    <cellStyle name="Percent 137" xfId="4313"/>
    <cellStyle name="Percent 138" xfId="5198"/>
    <cellStyle name="Percent 139" xfId="5197"/>
    <cellStyle name="Percent 14" xfId="571"/>
    <cellStyle name="Percent 14 2" xfId="572"/>
    <cellStyle name="Percent 14 2 2" xfId="4375"/>
    <cellStyle name="Percent 14 3" xfId="887"/>
    <cellStyle name="Percent 14 3 2" xfId="18914"/>
    <cellStyle name="Percent 14 4" xfId="18913"/>
    <cellStyle name="Percent 140" xfId="5990"/>
    <cellStyle name="Percent 141" xfId="5190"/>
    <cellStyle name="Percent 142" xfId="5467"/>
    <cellStyle name="Percent 143" xfId="5271"/>
    <cellStyle name="Percent 144" xfId="5961"/>
    <cellStyle name="Percent 145" xfId="5229"/>
    <cellStyle name="Percent 146" xfId="5967"/>
    <cellStyle name="Percent 147" xfId="5608"/>
    <cellStyle name="Percent 148" xfId="5994"/>
    <cellStyle name="Percent 149" xfId="5187"/>
    <cellStyle name="Percent 15" xfId="573"/>
    <cellStyle name="Percent 15 2" xfId="574"/>
    <cellStyle name="Percent 15 2 2" xfId="4376"/>
    <cellStyle name="Percent 15 3" xfId="888"/>
    <cellStyle name="Percent 15 3 2" xfId="18917"/>
    <cellStyle name="Percent 15 4" xfId="18915"/>
    <cellStyle name="Percent 150" xfId="5958"/>
    <cellStyle name="Percent 151" xfId="5992"/>
    <cellStyle name="Percent 152" xfId="5151"/>
    <cellStyle name="Percent 153" xfId="5361"/>
    <cellStyle name="Percent 154" xfId="5998"/>
    <cellStyle name="Percent 155" xfId="5231"/>
    <cellStyle name="Percent 156" xfId="5993"/>
    <cellStyle name="Percent 157" xfId="5964"/>
    <cellStyle name="Percent 158" xfId="2843"/>
    <cellStyle name="Percent 158 2" xfId="6814"/>
    <cellStyle name="Percent 158 2 2" xfId="10146"/>
    <cellStyle name="Percent 158 2 2 2" xfId="16850"/>
    <cellStyle name="Percent 158 2 2 2 2" xfId="40271"/>
    <cellStyle name="Percent 158 2 2 3" xfId="33639"/>
    <cellStyle name="Percent 158 2 3" xfId="13534"/>
    <cellStyle name="Percent 158 2 3 2" xfId="36955"/>
    <cellStyle name="Percent 158 2 4" xfId="30323"/>
    <cellStyle name="Percent 158 3" xfId="8480"/>
    <cellStyle name="Percent 158 3 2" xfId="15192"/>
    <cellStyle name="Percent 158 3 2 2" xfId="38613"/>
    <cellStyle name="Percent 158 3 3" xfId="31981"/>
    <cellStyle name="Percent 158 4" xfId="11874"/>
    <cellStyle name="Percent 158 4 2" xfId="35297"/>
    <cellStyle name="Percent 158 5" xfId="28665"/>
    <cellStyle name="Percent 159" xfId="4759"/>
    <cellStyle name="Percent 159 2" xfId="7150"/>
    <cellStyle name="Percent 159 2 2" xfId="10482"/>
    <cellStyle name="Percent 159 2 2 2" xfId="17186"/>
    <cellStyle name="Percent 159 2 2 2 2" xfId="40607"/>
    <cellStyle name="Percent 159 2 2 3" xfId="33975"/>
    <cellStyle name="Percent 159 2 3" xfId="13870"/>
    <cellStyle name="Percent 159 2 3 2" xfId="37291"/>
    <cellStyle name="Percent 159 2 4" xfId="30659"/>
    <cellStyle name="Percent 159 3" xfId="8819"/>
    <cellStyle name="Percent 159 3 2" xfId="15528"/>
    <cellStyle name="Percent 159 3 2 2" xfId="38949"/>
    <cellStyle name="Percent 159 3 3" xfId="32317"/>
    <cellStyle name="Percent 159 4" xfId="12210"/>
    <cellStyle name="Percent 159 4 2" xfId="35633"/>
    <cellStyle name="Percent 159 5" xfId="29001"/>
    <cellStyle name="Percent 16" xfId="575"/>
    <cellStyle name="Percent 16 2" xfId="576"/>
    <cellStyle name="Percent 16 2 2" xfId="4377"/>
    <cellStyle name="Percent 16 3" xfId="889"/>
    <cellStyle name="Percent 16 3 2" xfId="18920"/>
    <cellStyle name="Percent 16 4" xfId="18918"/>
    <cellStyle name="Percent 160" xfId="6021"/>
    <cellStyle name="Percent 160 2" xfId="7714"/>
    <cellStyle name="Percent 160 2 2" xfId="11043"/>
    <cellStyle name="Percent 160 2 2 2" xfId="17747"/>
    <cellStyle name="Percent 160 2 2 2 2" xfId="41168"/>
    <cellStyle name="Percent 160 2 2 3" xfId="34536"/>
    <cellStyle name="Percent 160 2 3" xfId="14431"/>
    <cellStyle name="Percent 160 2 3 2" xfId="37852"/>
    <cellStyle name="Percent 160 2 4" xfId="31220"/>
    <cellStyle name="Percent 160 3" xfId="9385"/>
    <cellStyle name="Percent 160 3 2" xfId="16089"/>
    <cellStyle name="Percent 160 3 2 2" xfId="39510"/>
    <cellStyle name="Percent 160 3 3" xfId="32878"/>
    <cellStyle name="Percent 160 4" xfId="12773"/>
    <cellStyle name="Percent 160 4 2" xfId="36194"/>
    <cellStyle name="Percent 160 5" xfId="29562"/>
    <cellStyle name="Percent 161" xfId="3750"/>
    <cellStyle name="Percent 161 2" xfId="6890"/>
    <cellStyle name="Percent 161 2 2" xfId="10222"/>
    <cellStyle name="Percent 161 2 2 2" xfId="16926"/>
    <cellStyle name="Percent 161 2 2 2 2" xfId="40347"/>
    <cellStyle name="Percent 161 2 2 3" xfId="33715"/>
    <cellStyle name="Percent 161 2 3" xfId="13610"/>
    <cellStyle name="Percent 161 2 3 2" xfId="37031"/>
    <cellStyle name="Percent 161 2 4" xfId="30399"/>
    <cellStyle name="Percent 161 3" xfId="8557"/>
    <cellStyle name="Percent 161 3 2" xfId="15268"/>
    <cellStyle name="Percent 161 3 2 2" xfId="38689"/>
    <cellStyle name="Percent 161 3 3" xfId="32057"/>
    <cellStyle name="Percent 161 4" xfId="11950"/>
    <cellStyle name="Percent 161 4 2" xfId="35373"/>
    <cellStyle name="Percent 161 5" xfId="28741"/>
    <cellStyle name="Percent 162" xfId="6017"/>
    <cellStyle name="Percent 162 2" xfId="7710"/>
    <cellStyle name="Percent 162 2 2" xfId="11039"/>
    <cellStyle name="Percent 162 2 2 2" xfId="17743"/>
    <cellStyle name="Percent 162 2 2 2 2" xfId="41164"/>
    <cellStyle name="Percent 162 2 2 3" xfId="34532"/>
    <cellStyle name="Percent 162 2 3" xfId="14427"/>
    <cellStyle name="Percent 162 2 3 2" xfId="37848"/>
    <cellStyle name="Percent 162 2 4" xfId="31216"/>
    <cellStyle name="Percent 162 3" xfId="9381"/>
    <cellStyle name="Percent 162 3 2" xfId="16085"/>
    <cellStyle name="Percent 162 3 2 2" xfId="39506"/>
    <cellStyle name="Percent 162 3 3" xfId="32874"/>
    <cellStyle name="Percent 162 4" xfId="12769"/>
    <cellStyle name="Percent 162 4 2" xfId="36190"/>
    <cellStyle name="Percent 162 5" xfId="29558"/>
    <cellStyle name="Percent 163" xfId="6065"/>
    <cellStyle name="Percent 163 2" xfId="7731"/>
    <cellStyle name="Percent 163 2 2" xfId="11060"/>
    <cellStyle name="Percent 163 2 2 2" xfId="17764"/>
    <cellStyle name="Percent 163 2 2 2 2" xfId="41185"/>
    <cellStyle name="Percent 163 2 2 3" xfId="34553"/>
    <cellStyle name="Percent 163 2 3" xfId="14448"/>
    <cellStyle name="Percent 163 2 3 2" xfId="37869"/>
    <cellStyle name="Percent 163 2 4" xfId="31237"/>
    <cellStyle name="Percent 163 3" xfId="9402"/>
    <cellStyle name="Percent 163 3 2" xfId="16106"/>
    <cellStyle name="Percent 163 3 2 2" xfId="39527"/>
    <cellStyle name="Percent 163 3 3" xfId="32895"/>
    <cellStyle name="Percent 163 4" xfId="12790"/>
    <cellStyle name="Percent 163 4 2" xfId="36211"/>
    <cellStyle name="Percent 163 5" xfId="29579"/>
    <cellStyle name="Percent 17" xfId="577"/>
    <cellStyle name="Percent 17 2" xfId="578"/>
    <cellStyle name="Percent 17 2 2" xfId="1330"/>
    <cellStyle name="Percent 17 2 2 2" xfId="5328"/>
    <cellStyle name="Percent 17 2 3" xfId="5346"/>
    <cellStyle name="Percent 17 3" xfId="890"/>
    <cellStyle name="Percent 17 3 2" xfId="5302"/>
    <cellStyle name="Percent 17 4" xfId="5194"/>
    <cellStyle name="Percent 18" xfId="579"/>
    <cellStyle name="Percent 18 2" xfId="580"/>
    <cellStyle name="Percent 18 2 2" xfId="581"/>
    <cellStyle name="Percent 18 2 2 2" xfId="4378"/>
    <cellStyle name="Percent 18 2 3" xfId="4379"/>
    <cellStyle name="Percent 18 3" xfId="582"/>
    <cellStyle name="Percent 18 3 2" xfId="4380"/>
    <cellStyle name="Percent 18 4" xfId="4381"/>
    <cellStyle name="Percent 19" xfId="583"/>
    <cellStyle name="Percent 19 2" xfId="584"/>
    <cellStyle name="Percent 19 2 2" xfId="585"/>
    <cellStyle name="Percent 19 2 2 2" xfId="4382"/>
    <cellStyle name="Percent 19 2 3" xfId="4383"/>
    <cellStyle name="Percent 19 3" xfId="586"/>
    <cellStyle name="Percent 19 3 2" xfId="4384"/>
    <cellStyle name="Percent 19 4" xfId="4385"/>
    <cellStyle name="Percent 2" xfId="587"/>
    <cellStyle name="Percent 2 2" xfId="588"/>
    <cellStyle name="Percent 2 2 2" xfId="811"/>
    <cellStyle name="Percent 2 2 2 2" xfId="5128"/>
    <cellStyle name="Percent 2 2 2 3" xfId="5063"/>
    <cellStyle name="Percent 2 2 2 3 2" xfId="7172"/>
    <cellStyle name="Percent 2 2 2 3 2 2" xfId="10503"/>
    <cellStyle name="Percent 2 2 2 3 2 2 2" xfId="17207"/>
    <cellStyle name="Percent 2 2 2 3 2 2 2 2" xfId="40628"/>
    <cellStyle name="Percent 2 2 2 3 2 2 3" xfId="33996"/>
    <cellStyle name="Percent 2 2 2 3 2 3" xfId="13891"/>
    <cellStyle name="Percent 2 2 2 3 2 3 2" xfId="37312"/>
    <cellStyle name="Percent 2 2 2 3 2 4" xfId="26014"/>
    <cellStyle name="Percent 2 2 2 3 2 4 2" xfId="48259"/>
    <cellStyle name="Percent 2 2 2 3 2 5" xfId="30680"/>
    <cellStyle name="Percent 2 2 2 3 3" xfId="8842"/>
    <cellStyle name="Percent 2 2 2 3 3 2" xfId="15549"/>
    <cellStyle name="Percent 2 2 2 3 3 2 2" xfId="38970"/>
    <cellStyle name="Percent 2 2 2 3 3 3" xfId="32338"/>
    <cellStyle name="Percent 2 2 2 3 4" xfId="12232"/>
    <cellStyle name="Percent 2 2 2 3 4 2" xfId="35654"/>
    <cellStyle name="Percent 2 2 2 3 5" xfId="23473"/>
    <cellStyle name="Percent 2 2 2 3 5 2" xfId="45807"/>
    <cellStyle name="Percent 2 2 2 3 6" xfId="29022"/>
    <cellStyle name="Percent 2 2 2 4" xfId="23309"/>
    <cellStyle name="Percent 2 2 2 4 2" xfId="45675"/>
    <cellStyle name="Percent 2 2 3" xfId="1654"/>
    <cellStyle name="Percent 2 2 3 2" xfId="4386"/>
    <cellStyle name="Percent 2 2 3 3" xfId="5127"/>
    <cellStyle name="Percent 2 2 4" xfId="4772"/>
    <cellStyle name="Percent 2 2 4 2" xfId="7155"/>
    <cellStyle name="Percent 2 2 4 2 2" xfId="10487"/>
    <cellStyle name="Percent 2 2 4 2 2 2" xfId="17191"/>
    <cellStyle name="Percent 2 2 4 2 2 2 2" xfId="40612"/>
    <cellStyle name="Percent 2 2 4 2 2 3" xfId="33980"/>
    <cellStyle name="Percent 2 2 4 2 3" xfId="13875"/>
    <cellStyle name="Percent 2 2 4 2 3 2" xfId="37296"/>
    <cellStyle name="Percent 2 2 4 2 4" xfId="25998"/>
    <cellStyle name="Percent 2 2 4 2 4 2" xfId="48243"/>
    <cellStyle name="Percent 2 2 4 2 5" xfId="30664"/>
    <cellStyle name="Percent 2 2 4 3" xfId="8824"/>
    <cellStyle name="Percent 2 2 4 3 2" xfId="15533"/>
    <cellStyle name="Percent 2 2 4 3 2 2" xfId="38954"/>
    <cellStyle name="Percent 2 2 4 3 3" xfId="32322"/>
    <cellStyle name="Percent 2 2 4 4" xfId="12215"/>
    <cellStyle name="Percent 2 2 4 4 2" xfId="35638"/>
    <cellStyle name="Percent 2 2 4 5" xfId="23454"/>
    <cellStyle name="Percent 2 2 4 5 2" xfId="45791"/>
    <cellStyle name="Percent 2 2 4 6" xfId="29006"/>
    <cellStyle name="Percent 2 2 5" xfId="23239"/>
    <cellStyle name="Percent 2 2 5 2" xfId="45639"/>
    <cellStyle name="Percent 2 3" xfId="891"/>
    <cellStyle name="Percent 2 3 2" xfId="1156"/>
    <cellStyle name="Percent 2 3 2 2" xfId="5129"/>
    <cellStyle name="Percent 2 3 2 3" xfId="5064"/>
    <cellStyle name="Percent 2 3 2 3 2" xfId="7173"/>
    <cellStyle name="Percent 2 3 2 3 2 2" xfId="10504"/>
    <cellStyle name="Percent 2 3 2 3 2 2 2" xfId="17208"/>
    <cellStyle name="Percent 2 3 2 3 2 2 2 2" xfId="40629"/>
    <cellStyle name="Percent 2 3 2 3 2 2 3" xfId="33997"/>
    <cellStyle name="Percent 2 3 2 3 2 3" xfId="13892"/>
    <cellStyle name="Percent 2 3 2 3 2 3 2" xfId="37313"/>
    <cellStyle name="Percent 2 3 2 3 2 4" xfId="26015"/>
    <cellStyle name="Percent 2 3 2 3 2 4 2" xfId="48260"/>
    <cellStyle name="Percent 2 3 2 3 2 5" xfId="30681"/>
    <cellStyle name="Percent 2 3 2 3 3" xfId="8843"/>
    <cellStyle name="Percent 2 3 2 3 3 2" xfId="15550"/>
    <cellStyle name="Percent 2 3 2 3 3 2 2" xfId="38971"/>
    <cellStyle name="Percent 2 3 2 3 3 3" xfId="32339"/>
    <cellStyle name="Percent 2 3 2 3 4" xfId="12233"/>
    <cellStyle name="Percent 2 3 2 3 4 2" xfId="35655"/>
    <cellStyle name="Percent 2 3 2 3 5" xfId="23474"/>
    <cellStyle name="Percent 2 3 2 3 5 2" xfId="45808"/>
    <cellStyle name="Percent 2 3 2 3 6" xfId="29023"/>
    <cellStyle name="Percent 2 3 2 4" xfId="23310"/>
    <cellStyle name="Percent 2 3 2 4 2" xfId="45676"/>
    <cellStyle name="Percent 2 3 3" xfId="1100"/>
    <cellStyle name="Percent 2 3 3 2" xfId="4387"/>
    <cellStyle name="Percent 2 3 4" xfId="4773"/>
    <cellStyle name="Percent 2 3 4 2" xfId="7156"/>
    <cellStyle name="Percent 2 3 4 2 2" xfId="10488"/>
    <cellStyle name="Percent 2 3 4 2 2 2" xfId="17192"/>
    <cellStyle name="Percent 2 3 4 2 2 2 2" xfId="40613"/>
    <cellStyle name="Percent 2 3 4 2 2 3" xfId="33981"/>
    <cellStyle name="Percent 2 3 4 2 3" xfId="13876"/>
    <cellStyle name="Percent 2 3 4 2 3 2" xfId="37297"/>
    <cellStyle name="Percent 2 3 4 2 4" xfId="25999"/>
    <cellStyle name="Percent 2 3 4 2 4 2" xfId="48244"/>
    <cellStyle name="Percent 2 3 4 2 5" xfId="30665"/>
    <cellStyle name="Percent 2 3 4 3" xfId="8825"/>
    <cellStyle name="Percent 2 3 4 3 2" xfId="15534"/>
    <cellStyle name="Percent 2 3 4 3 2 2" xfId="38955"/>
    <cellStyle name="Percent 2 3 4 3 3" xfId="32323"/>
    <cellStyle name="Percent 2 3 4 4" xfId="12216"/>
    <cellStyle name="Percent 2 3 4 4 2" xfId="35639"/>
    <cellStyle name="Percent 2 3 4 5" xfId="18935"/>
    <cellStyle name="Percent 2 3 4 6" xfId="23455"/>
    <cellStyle name="Percent 2 3 4 6 2" xfId="45792"/>
    <cellStyle name="Percent 2 3 4 7" xfId="29007"/>
    <cellStyle name="Percent 2 3 5" xfId="23240"/>
    <cellStyle name="Percent 2 3 5 2" xfId="45640"/>
    <cellStyle name="Percent 2 4" xfId="4388"/>
    <cellStyle name="Percent 2 5" xfId="4389"/>
    <cellStyle name="Percent 2 5 2" xfId="5013"/>
    <cellStyle name="Percent 2_Pivot Table Tips" xfId="1655"/>
    <cellStyle name="Percent 20" xfId="589"/>
    <cellStyle name="Percent 20 2" xfId="590"/>
    <cellStyle name="Percent 20 2 2" xfId="591"/>
    <cellStyle name="Percent 20 2 2 2" xfId="4390"/>
    <cellStyle name="Percent 20 2 3" xfId="4391"/>
    <cellStyle name="Percent 20 3" xfId="592"/>
    <cellStyle name="Percent 20 3 2" xfId="4392"/>
    <cellStyle name="Percent 20 4" xfId="4393"/>
    <cellStyle name="Percent 21" xfId="593"/>
    <cellStyle name="Percent 21 2" xfId="594"/>
    <cellStyle name="Percent 21 2 2" xfId="1331"/>
    <cellStyle name="Percent 21 2 2 2" xfId="5345"/>
    <cellStyle name="Percent 21 2 3" xfId="5292"/>
    <cellStyle name="Percent 21 3" xfId="1128"/>
    <cellStyle name="Percent 21 3 2" xfId="5288"/>
    <cellStyle name="Percent 21 4" xfId="1101"/>
    <cellStyle name="Percent 21 4 10" xfId="6082"/>
    <cellStyle name="Percent 21 4 10 2" xfId="9416"/>
    <cellStyle name="Percent 21 4 10 2 2" xfId="16120"/>
    <cellStyle name="Percent 21 4 10 2 2 2" xfId="39541"/>
    <cellStyle name="Percent 21 4 10 2 3" xfId="32909"/>
    <cellStyle name="Percent 21 4 10 3" xfId="12804"/>
    <cellStyle name="Percent 21 4 10 3 2" xfId="36225"/>
    <cellStyle name="Percent 21 4 10 4" xfId="29593"/>
    <cellStyle name="Percent 21 4 11" xfId="7747"/>
    <cellStyle name="Percent 21 4 11 2" xfId="14462"/>
    <cellStyle name="Percent 21 4 11 2 2" xfId="37883"/>
    <cellStyle name="Percent 21 4 11 3" xfId="31251"/>
    <cellStyle name="Percent 21 4 12" xfId="11144"/>
    <cellStyle name="Percent 21 4 12 2" xfId="34567"/>
    <cellStyle name="Percent 21 4 13" xfId="27935"/>
    <cellStyle name="Percent 21 4 2" xfId="1423"/>
    <cellStyle name="Percent 21 4 2 10" xfId="11172"/>
    <cellStyle name="Percent 21 4 2 10 2" xfId="34595"/>
    <cellStyle name="Percent 21 4 2 11" xfId="27963"/>
    <cellStyle name="Percent 21 4 2 2" xfId="1463"/>
    <cellStyle name="Percent 21 4 2 2 10" xfId="27999"/>
    <cellStyle name="Percent 21 4 2 2 2" xfId="1658"/>
    <cellStyle name="Percent 21 4 2 2 3" xfId="1778"/>
    <cellStyle name="Percent 21 4 2 2 3 2" xfId="2430"/>
    <cellStyle name="Percent 21 4 2 2 3 3" xfId="2775"/>
    <cellStyle name="Percent 21 4 2 2 3 3 2" xfId="5867"/>
    <cellStyle name="Percent 21 4 2 2 3 3 2 2" xfId="7649"/>
    <cellStyle name="Percent 21 4 2 2 3 3 2 2 2" xfId="10978"/>
    <cellStyle name="Percent 21 4 2 2 3 3 2 2 2 2" xfId="17682"/>
    <cellStyle name="Percent 21 4 2 2 3 3 2 2 2 2 2" xfId="41103"/>
    <cellStyle name="Percent 21 4 2 2 3 3 2 2 2 3" xfId="34471"/>
    <cellStyle name="Percent 21 4 2 2 3 3 2 2 3" xfId="14366"/>
    <cellStyle name="Percent 21 4 2 2 3 3 2 2 3 2" xfId="37787"/>
    <cellStyle name="Percent 21 4 2 2 3 3 2 2 4" xfId="31155"/>
    <cellStyle name="Percent 21 4 2 2 3 3 2 3" xfId="9320"/>
    <cellStyle name="Percent 21 4 2 2 3 3 2 3 2" xfId="16024"/>
    <cellStyle name="Percent 21 4 2 2 3 3 2 3 2 2" xfId="39445"/>
    <cellStyle name="Percent 21 4 2 2 3 3 2 3 3" xfId="32813"/>
    <cellStyle name="Percent 21 4 2 2 3 3 2 4" xfId="12708"/>
    <cellStyle name="Percent 21 4 2 2 3 3 2 4 2" xfId="36129"/>
    <cellStyle name="Percent 21 4 2 2 3 3 2 5" xfId="29497"/>
    <cellStyle name="Percent 21 4 2 2 3 3 3" xfId="6750"/>
    <cellStyle name="Percent 21 4 2 2 3 3 3 2" xfId="10082"/>
    <cellStyle name="Percent 21 4 2 2 3 3 3 2 2" xfId="16786"/>
    <cellStyle name="Percent 21 4 2 2 3 3 3 2 2 2" xfId="40207"/>
    <cellStyle name="Percent 21 4 2 2 3 3 3 2 3" xfId="33575"/>
    <cellStyle name="Percent 21 4 2 2 3 3 3 3" xfId="13470"/>
    <cellStyle name="Percent 21 4 2 2 3 3 3 3 2" xfId="36891"/>
    <cellStyle name="Percent 21 4 2 2 3 3 3 4" xfId="30259"/>
    <cellStyle name="Percent 21 4 2 2 3 3 4" xfId="8416"/>
    <cellStyle name="Percent 21 4 2 2 3 3 4 2" xfId="15128"/>
    <cellStyle name="Percent 21 4 2 2 3 3 4 2 2" xfId="38549"/>
    <cellStyle name="Percent 21 4 2 2 3 3 4 3" xfId="31917"/>
    <cellStyle name="Percent 21 4 2 2 3 3 5" xfId="11810"/>
    <cellStyle name="Percent 21 4 2 2 3 3 5 2" xfId="35233"/>
    <cellStyle name="Percent 21 4 2 2 3 3 6" xfId="28601"/>
    <cellStyle name="Percent 21 4 2 2 3 4" xfId="5389"/>
    <cellStyle name="Percent 21 4 2 2 3 4 2" xfId="7241"/>
    <cellStyle name="Percent 21 4 2 2 3 4 2 2" xfId="10572"/>
    <cellStyle name="Percent 21 4 2 2 3 4 2 2 2" xfId="17276"/>
    <cellStyle name="Percent 21 4 2 2 3 4 2 2 2 2" xfId="40697"/>
    <cellStyle name="Percent 21 4 2 2 3 4 2 2 3" xfId="34065"/>
    <cellStyle name="Percent 21 4 2 2 3 4 2 3" xfId="13960"/>
    <cellStyle name="Percent 21 4 2 2 3 4 2 3 2" xfId="37381"/>
    <cellStyle name="Percent 21 4 2 2 3 4 2 4" xfId="30749"/>
    <cellStyle name="Percent 21 4 2 2 3 4 3" xfId="8914"/>
    <cellStyle name="Percent 21 4 2 2 3 4 3 2" xfId="15618"/>
    <cellStyle name="Percent 21 4 2 2 3 4 3 2 2" xfId="39039"/>
    <cellStyle name="Percent 21 4 2 2 3 4 3 3" xfId="32407"/>
    <cellStyle name="Percent 21 4 2 2 3 4 4" xfId="12302"/>
    <cellStyle name="Percent 21 4 2 2 3 4 4 2" xfId="35723"/>
    <cellStyle name="Percent 21 4 2 2 3 4 5" xfId="29091"/>
    <cellStyle name="Percent 21 4 2 2 3 5" xfId="6277"/>
    <cellStyle name="Percent 21 4 2 2 3 5 2" xfId="9611"/>
    <cellStyle name="Percent 21 4 2 2 3 5 2 2" xfId="16315"/>
    <cellStyle name="Percent 21 4 2 2 3 5 2 2 2" xfId="39736"/>
    <cellStyle name="Percent 21 4 2 2 3 5 2 3" xfId="33104"/>
    <cellStyle name="Percent 21 4 2 2 3 5 3" xfId="12999"/>
    <cellStyle name="Percent 21 4 2 2 3 5 3 2" xfId="36420"/>
    <cellStyle name="Percent 21 4 2 2 3 5 4" xfId="29788"/>
    <cellStyle name="Percent 21 4 2 2 3 6" xfId="7943"/>
    <cellStyle name="Percent 21 4 2 2 3 6 2" xfId="14657"/>
    <cellStyle name="Percent 21 4 2 2 3 6 2 2" xfId="38078"/>
    <cellStyle name="Percent 21 4 2 2 3 6 3" xfId="31446"/>
    <cellStyle name="Percent 21 4 2 2 3 7" xfId="11339"/>
    <cellStyle name="Percent 21 4 2 2 3 7 2" xfId="34762"/>
    <cellStyle name="Percent 21 4 2 2 3 8" xfId="28130"/>
    <cellStyle name="Percent 21 4 2 2 4" xfId="2431"/>
    <cellStyle name="Percent 21 4 2 2 4 2" xfId="18182"/>
    <cellStyle name="Percent 21 4 2 2 5" xfId="2643"/>
    <cellStyle name="Percent 21 4 2 2 5 2" xfId="5736"/>
    <cellStyle name="Percent 21 4 2 2 5 2 2" xfId="7518"/>
    <cellStyle name="Percent 21 4 2 2 5 2 2 2" xfId="10847"/>
    <cellStyle name="Percent 21 4 2 2 5 2 2 2 2" xfId="17551"/>
    <cellStyle name="Percent 21 4 2 2 5 2 2 2 2 2" xfId="40972"/>
    <cellStyle name="Percent 21 4 2 2 5 2 2 2 3" xfId="34340"/>
    <cellStyle name="Percent 21 4 2 2 5 2 2 3" xfId="14235"/>
    <cellStyle name="Percent 21 4 2 2 5 2 2 3 2" xfId="37656"/>
    <cellStyle name="Percent 21 4 2 2 5 2 2 4" xfId="31024"/>
    <cellStyle name="Percent 21 4 2 2 5 2 3" xfId="9189"/>
    <cellStyle name="Percent 21 4 2 2 5 2 3 2" xfId="15893"/>
    <cellStyle name="Percent 21 4 2 2 5 2 3 2 2" xfId="39314"/>
    <cellStyle name="Percent 21 4 2 2 5 2 3 3" xfId="32682"/>
    <cellStyle name="Percent 21 4 2 2 5 2 4" xfId="12577"/>
    <cellStyle name="Percent 21 4 2 2 5 2 4 2" xfId="35998"/>
    <cellStyle name="Percent 21 4 2 2 5 2 5" xfId="17833"/>
    <cellStyle name="Percent 21 4 2 2 5 2 6" xfId="29366"/>
    <cellStyle name="Percent 21 4 2 2 5 3" xfId="6619"/>
    <cellStyle name="Percent 21 4 2 2 5 3 2" xfId="9951"/>
    <cellStyle name="Percent 21 4 2 2 5 3 2 2" xfId="16655"/>
    <cellStyle name="Percent 21 4 2 2 5 3 2 2 2" xfId="40076"/>
    <cellStyle name="Percent 21 4 2 2 5 3 2 3" xfId="33444"/>
    <cellStyle name="Percent 21 4 2 2 5 3 3" xfId="13339"/>
    <cellStyle name="Percent 21 4 2 2 5 3 3 2" xfId="36760"/>
    <cellStyle name="Percent 21 4 2 2 5 3 4" xfId="30128"/>
    <cellStyle name="Percent 21 4 2 2 5 4" xfId="8285"/>
    <cellStyle name="Percent 21 4 2 2 5 4 2" xfId="14997"/>
    <cellStyle name="Percent 21 4 2 2 5 4 2 2" xfId="38418"/>
    <cellStyle name="Percent 21 4 2 2 5 4 3" xfId="31786"/>
    <cellStyle name="Percent 21 4 2 2 5 5" xfId="11679"/>
    <cellStyle name="Percent 21 4 2 2 5 5 2" xfId="35102"/>
    <cellStyle name="Percent 21 4 2 2 5 6" xfId="20397"/>
    <cellStyle name="Percent 21 4 2 2 5 7" xfId="28470"/>
    <cellStyle name="Percent 21 4 2 2 6" xfId="5323"/>
    <cellStyle name="Percent 21 4 2 2 6 2" xfId="7210"/>
    <cellStyle name="Percent 21 4 2 2 6 2 2" xfId="10541"/>
    <cellStyle name="Percent 21 4 2 2 6 2 2 2" xfId="17245"/>
    <cellStyle name="Percent 21 4 2 2 6 2 2 2 2" xfId="40666"/>
    <cellStyle name="Percent 21 4 2 2 6 2 2 3" xfId="34034"/>
    <cellStyle name="Percent 21 4 2 2 6 2 3" xfId="13929"/>
    <cellStyle name="Percent 21 4 2 2 6 2 3 2" xfId="37350"/>
    <cellStyle name="Percent 21 4 2 2 6 2 4" xfId="30718"/>
    <cellStyle name="Percent 21 4 2 2 6 3" xfId="8883"/>
    <cellStyle name="Percent 21 4 2 2 6 3 2" xfId="15587"/>
    <cellStyle name="Percent 21 4 2 2 6 3 2 2" xfId="39008"/>
    <cellStyle name="Percent 21 4 2 2 6 3 3" xfId="32376"/>
    <cellStyle name="Percent 21 4 2 2 6 4" xfId="12270"/>
    <cellStyle name="Percent 21 4 2 2 6 4 2" xfId="35692"/>
    <cellStyle name="Percent 21 4 2 2 6 5" xfId="29060"/>
    <cellStyle name="Percent 21 4 2 2 7" xfId="6146"/>
    <cellStyle name="Percent 21 4 2 2 7 2" xfId="9480"/>
    <cellStyle name="Percent 21 4 2 2 7 2 2" xfId="16184"/>
    <cellStyle name="Percent 21 4 2 2 7 2 2 2" xfId="39605"/>
    <cellStyle name="Percent 21 4 2 2 7 2 3" xfId="32973"/>
    <cellStyle name="Percent 21 4 2 2 7 3" xfId="12868"/>
    <cellStyle name="Percent 21 4 2 2 7 3 2" xfId="36289"/>
    <cellStyle name="Percent 21 4 2 2 7 4" xfId="29657"/>
    <cellStyle name="Percent 21 4 2 2 8" xfId="7812"/>
    <cellStyle name="Percent 21 4 2 2 8 2" xfId="14526"/>
    <cellStyle name="Percent 21 4 2 2 8 2 2" xfId="37947"/>
    <cellStyle name="Percent 21 4 2 2 8 3" xfId="31315"/>
    <cellStyle name="Percent 21 4 2 2 9" xfId="11208"/>
    <cellStyle name="Percent 21 4 2 2 9 2" xfId="34631"/>
    <cellStyle name="Percent 21 4 2 3" xfId="1657"/>
    <cellStyle name="Percent 21 4 2 4" xfId="1742"/>
    <cellStyle name="Percent 21 4 2 4 2" xfId="2432"/>
    <cellStyle name="Percent 21 4 2 4 3" xfId="2739"/>
    <cellStyle name="Percent 21 4 2 4 3 2" xfId="5831"/>
    <cellStyle name="Percent 21 4 2 4 3 2 2" xfId="7613"/>
    <cellStyle name="Percent 21 4 2 4 3 2 2 2" xfId="10942"/>
    <cellStyle name="Percent 21 4 2 4 3 2 2 2 2" xfId="17646"/>
    <cellStyle name="Percent 21 4 2 4 3 2 2 2 2 2" xfId="41067"/>
    <cellStyle name="Percent 21 4 2 4 3 2 2 2 3" xfId="34435"/>
    <cellStyle name="Percent 21 4 2 4 3 2 2 3" xfId="14330"/>
    <cellStyle name="Percent 21 4 2 4 3 2 2 3 2" xfId="37751"/>
    <cellStyle name="Percent 21 4 2 4 3 2 2 4" xfId="31119"/>
    <cellStyle name="Percent 21 4 2 4 3 2 3" xfId="9284"/>
    <cellStyle name="Percent 21 4 2 4 3 2 3 2" xfId="15988"/>
    <cellStyle name="Percent 21 4 2 4 3 2 3 2 2" xfId="39409"/>
    <cellStyle name="Percent 21 4 2 4 3 2 3 3" xfId="32777"/>
    <cellStyle name="Percent 21 4 2 4 3 2 4" xfId="12672"/>
    <cellStyle name="Percent 21 4 2 4 3 2 4 2" xfId="36093"/>
    <cellStyle name="Percent 21 4 2 4 3 2 5" xfId="29461"/>
    <cellStyle name="Percent 21 4 2 4 3 3" xfId="6714"/>
    <cellStyle name="Percent 21 4 2 4 3 3 2" xfId="10046"/>
    <cellStyle name="Percent 21 4 2 4 3 3 2 2" xfId="16750"/>
    <cellStyle name="Percent 21 4 2 4 3 3 2 2 2" xfId="40171"/>
    <cellStyle name="Percent 21 4 2 4 3 3 2 3" xfId="33539"/>
    <cellStyle name="Percent 21 4 2 4 3 3 3" xfId="13434"/>
    <cellStyle name="Percent 21 4 2 4 3 3 3 2" xfId="36855"/>
    <cellStyle name="Percent 21 4 2 4 3 3 4" xfId="30223"/>
    <cellStyle name="Percent 21 4 2 4 3 4" xfId="8380"/>
    <cellStyle name="Percent 21 4 2 4 3 4 2" xfId="15092"/>
    <cellStyle name="Percent 21 4 2 4 3 4 2 2" xfId="38513"/>
    <cellStyle name="Percent 21 4 2 4 3 4 3" xfId="31881"/>
    <cellStyle name="Percent 21 4 2 4 3 5" xfId="11774"/>
    <cellStyle name="Percent 21 4 2 4 3 5 2" xfId="35197"/>
    <cellStyle name="Percent 21 4 2 4 3 6" xfId="28565"/>
    <cellStyle name="Percent 21 4 2 4 4" xfId="5374"/>
    <cellStyle name="Percent 21 4 2 4 4 2" xfId="7228"/>
    <cellStyle name="Percent 21 4 2 4 4 2 2" xfId="10559"/>
    <cellStyle name="Percent 21 4 2 4 4 2 2 2" xfId="17263"/>
    <cellStyle name="Percent 21 4 2 4 4 2 2 2 2" xfId="40684"/>
    <cellStyle name="Percent 21 4 2 4 4 2 2 3" xfId="34052"/>
    <cellStyle name="Percent 21 4 2 4 4 2 3" xfId="13947"/>
    <cellStyle name="Percent 21 4 2 4 4 2 3 2" xfId="37368"/>
    <cellStyle name="Percent 21 4 2 4 4 2 4" xfId="30736"/>
    <cellStyle name="Percent 21 4 2 4 4 3" xfId="8901"/>
    <cellStyle name="Percent 21 4 2 4 4 3 2" xfId="15605"/>
    <cellStyle name="Percent 21 4 2 4 4 3 2 2" xfId="39026"/>
    <cellStyle name="Percent 21 4 2 4 4 3 3" xfId="32394"/>
    <cellStyle name="Percent 21 4 2 4 4 4" xfId="12288"/>
    <cellStyle name="Percent 21 4 2 4 4 4 2" xfId="35710"/>
    <cellStyle name="Percent 21 4 2 4 4 5" xfId="29078"/>
    <cellStyle name="Percent 21 4 2 4 5" xfId="6241"/>
    <cellStyle name="Percent 21 4 2 4 5 2" xfId="9575"/>
    <cellStyle name="Percent 21 4 2 4 5 2 2" xfId="16279"/>
    <cellStyle name="Percent 21 4 2 4 5 2 2 2" xfId="39700"/>
    <cellStyle name="Percent 21 4 2 4 5 2 3" xfId="33068"/>
    <cellStyle name="Percent 21 4 2 4 5 3" xfId="12963"/>
    <cellStyle name="Percent 21 4 2 4 5 3 2" xfId="36384"/>
    <cellStyle name="Percent 21 4 2 4 5 4" xfId="29752"/>
    <cellStyle name="Percent 21 4 2 4 6" xfId="7907"/>
    <cellStyle name="Percent 21 4 2 4 6 2" xfId="14621"/>
    <cellStyle name="Percent 21 4 2 4 6 2 2" xfId="38042"/>
    <cellStyle name="Percent 21 4 2 4 6 3" xfId="31410"/>
    <cellStyle name="Percent 21 4 2 4 7" xfId="11303"/>
    <cellStyle name="Percent 21 4 2 4 7 2" xfId="34726"/>
    <cellStyle name="Percent 21 4 2 4 8" xfId="28094"/>
    <cellStyle name="Percent 21 4 2 5" xfId="2433"/>
    <cellStyle name="Percent 21 4 2 5 2" xfId="18187"/>
    <cellStyle name="Percent 21 4 2 6" xfId="2607"/>
    <cellStyle name="Percent 21 4 2 6 2" xfId="5700"/>
    <cellStyle name="Percent 21 4 2 6 2 2" xfId="7482"/>
    <cellStyle name="Percent 21 4 2 6 2 2 2" xfId="10811"/>
    <cellStyle name="Percent 21 4 2 6 2 2 2 2" xfId="17515"/>
    <cellStyle name="Percent 21 4 2 6 2 2 2 2 2" xfId="40936"/>
    <cellStyle name="Percent 21 4 2 6 2 2 2 3" xfId="34304"/>
    <cellStyle name="Percent 21 4 2 6 2 2 3" xfId="14199"/>
    <cellStyle name="Percent 21 4 2 6 2 2 3 2" xfId="37620"/>
    <cellStyle name="Percent 21 4 2 6 2 2 4" xfId="30988"/>
    <cellStyle name="Percent 21 4 2 6 2 3" xfId="9153"/>
    <cellStyle name="Percent 21 4 2 6 2 3 2" xfId="15857"/>
    <cellStyle name="Percent 21 4 2 6 2 3 2 2" xfId="39278"/>
    <cellStyle name="Percent 21 4 2 6 2 3 3" xfId="32646"/>
    <cellStyle name="Percent 21 4 2 6 2 4" xfId="12541"/>
    <cellStyle name="Percent 21 4 2 6 2 4 2" xfId="35962"/>
    <cellStyle name="Percent 21 4 2 6 2 5" xfId="18264"/>
    <cellStyle name="Percent 21 4 2 6 2 6" xfId="29330"/>
    <cellStyle name="Percent 21 4 2 6 3" xfId="6583"/>
    <cellStyle name="Percent 21 4 2 6 3 2" xfId="9915"/>
    <cellStyle name="Percent 21 4 2 6 3 2 2" xfId="16619"/>
    <cellStyle name="Percent 21 4 2 6 3 2 2 2" xfId="40040"/>
    <cellStyle name="Percent 21 4 2 6 3 2 3" xfId="33408"/>
    <cellStyle name="Percent 21 4 2 6 3 3" xfId="13303"/>
    <cellStyle name="Percent 21 4 2 6 3 3 2" xfId="36724"/>
    <cellStyle name="Percent 21 4 2 6 3 4" xfId="30092"/>
    <cellStyle name="Percent 21 4 2 6 4" xfId="8249"/>
    <cellStyle name="Percent 21 4 2 6 4 2" xfId="14961"/>
    <cellStyle name="Percent 21 4 2 6 4 2 2" xfId="38382"/>
    <cellStyle name="Percent 21 4 2 6 4 3" xfId="31750"/>
    <cellStyle name="Percent 21 4 2 6 5" xfId="11643"/>
    <cellStyle name="Percent 21 4 2 6 5 2" xfId="35066"/>
    <cellStyle name="Percent 21 4 2 6 6" xfId="20458"/>
    <cellStyle name="Percent 21 4 2 6 7" xfId="28434"/>
    <cellStyle name="Percent 21 4 2 7" xfId="5306"/>
    <cellStyle name="Percent 21 4 2 7 2" xfId="7197"/>
    <cellStyle name="Percent 21 4 2 7 2 2" xfId="10528"/>
    <cellStyle name="Percent 21 4 2 7 2 2 2" xfId="17232"/>
    <cellStyle name="Percent 21 4 2 7 2 2 2 2" xfId="40653"/>
    <cellStyle name="Percent 21 4 2 7 2 2 3" xfId="34021"/>
    <cellStyle name="Percent 21 4 2 7 2 3" xfId="13916"/>
    <cellStyle name="Percent 21 4 2 7 2 3 2" xfId="37337"/>
    <cellStyle name="Percent 21 4 2 7 2 4" xfId="30705"/>
    <cellStyle name="Percent 21 4 2 7 3" xfId="8870"/>
    <cellStyle name="Percent 21 4 2 7 3 2" xfId="15574"/>
    <cellStyle name="Percent 21 4 2 7 3 2 2" xfId="38995"/>
    <cellStyle name="Percent 21 4 2 7 3 3" xfId="32363"/>
    <cellStyle name="Percent 21 4 2 7 4" xfId="12257"/>
    <cellStyle name="Percent 21 4 2 7 4 2" xfId="35679"/>
    <cellStyle name="Percent 21 4 2 7 5" xfId="29047"/>
    <cellStyle name="Percent 21 4 2 8" xfId="6110"/>
    <cellStyle name="Percent 21 4 2 8 2" xfId="9444"/>
    <cellStyle name="Percent 21 4 2 8 2 2" xfId="16148"/>
    <cellStyle name="Percent 21 4 2 8 2 2 2" xfId="39569"/>
    <cellStyle name="Percent 21 4 2 8 2 3" xfId="32937"/>
    <cellStyle name="Percent 21 4 2 8 3" xfId="12832"/>
    <cellStyle name="Percent 21 4 2 8 3 2" xfId="36253"/>
    <cellStyle name="Percent 21 4 2 8 4" xfId="29621"/>
    <cellStyle name="Percent 21 4 2 9" xfId="7776"/>
    <cellStyle name="Percent 21 4 2 9 2" xfId="14490"/>
    <cellStyle name="Percent 21 4 2 9 2 2" xfId="37911"/>
    <cellStyle name="Percent 21 4 2 9 3" xfId="31279"/>
    <cellStyle name="Percent 21 4 3" xfId="1435"/>
    <cellStyle name="Percent 21 4 3 10" xfId="27971"/>
    <cellStyle name="Percent 21 4 3 2" xfId="1659"/>
    <cellStyle name="Percent 21 4 3 3" xfId="1750"/>
    <cellStyle name="Percent 21 4 3 3 2" xfId="2434"/>
    <cellStyle name="Percent 21 4 3 3 3" xfId="2747"/>
    <cellStyle name="Percent 21 4 3 3 3 2" xfId="5839"/>
    <cellStyle name="Percent 21 4 3 3 3 2 2" xfId="7621"/>
    <cellStyle name="Percent 21 4 3 3 3 2 2 2" xfId="10950"/>
    <cellStyle name="Percent 21 4 3 3 3 2 2 2 2" xfId="17654"/>
    <cellStyle name="Percent 21 4 3 3 3 2 2 2 2 2" xfId="41075"/>
    <cellStyle name="Percent 21 4 3 3 3 2 2 2 3" xfId="34443"/>
    <cellStyle name="Percent 21 4 3 3 3 2 2 3" xfId="14338"/>
    <cellStyle name="Percent 21 4 3 3 3 2 2 3 2" xfId="37759"/>
    <cellStyle name="Percent 21 4 3 3 3 2 2 4" xfId="31127"/>
    <cellStyle name="Percent 21 4 3 3 3 2 3" xfId="9292"/>
    <cellStyle name="Percent 21 4 3 3 3 2 3 2" xfId="15996"/>
    <cellStyle name="Percent 21 4 3 3 3 2 3 2 2" xfId="39417"/>
    <cellStyle name="Percent 21 4 3 3 3 2 3 3" xfId="32785"/>
    <cellStyle name="Percent 21 4 3 3 3 2 4" xfId="12680"/>
    <cellStyle name="Percent 21 4 3 3 3 2 4 2" xfId="36101"/>
    <cellStyle name="Percent 21 4 3 3 3 2 5" xfId="29469"/>
    <cellStyle name="Percent 21 4 3 3 3 3" xfId="6722"/>
    <cellStyle name="Percent 21 4 3 3 3 3 2" xfId="10054"/>
    <cellStyle name="Percent 21 4 3 3 3 3 2 2" xfId="16758"/>
    <cellStyle name="Percent 21 4 3 3 3 3 2 2 2" xfId="40179"/>
    <cellStyle name="Percent 21 4 3 3 3 3 2 3" xfId="33547"/>
    <cellStyle name="Percent 21 4 3 3 3 3 3" xfId="13442"/>
    <cellStyle name="Percent 21 4 3 3 3 3 3 2" xfId="36863"/>
    <cellStyle name="Percent 21 4 3 3 3 3 4" xfId="30231"/>
    <cellStyle name="Percent 21 4 3 3 3 4" xfId="8388"/>
    <cellStyle name="Percent 21 4 3 3 3 4 2" xfId="15100"/>
    <cellStyle name="Percent 21 4 3 3 3 4 2 2" xfId="38521"/>
    <cellStyle name="Percent 21 4 3 3 3 4 3" xfId="31889"/>
    <cellStyle name="Percent 21 4 3 3 3 5" xfId="11782"/>
    <cellStyle name="Percent 21 4 3 3 3 5 2" xfId="35205"/>
    <cellStyle name="Percent 21 4 3 3 3 6" xfId="28573"/>
    <cellStyle name="Percent 21 4 3 3 4" xfId="5377"/>
    <cellStyle name="Percent 21 4 3 3 4 2" xfId="7230"/>
    <cellStyle name="Percent 21 4 3 3 4 2 2" xfId="10561"/>
    <cellStyle name="Percent 21 4 3 3 4 2 2 2" xfId="17265"/>
    <cellStyle name="Percent 21 4 3 3 4 2 2 2 2" xfId="40686"/>
    <cellStyle name="Percent 21 4 3 3 4 2 2 3" xfId="34054"/>
    <cellStyle name="Percent 21 4 3 3 4 2 3" xfId="13949"/>
    <cellStyle name="Percent 21 4 3 3 4 2 3 2" xfId="37370"/>
    <cellStyle name="Percent 21 4 3 3 4 2 4" xfId="30738"/>
    <cellStyle name="Percent 21 4 3 3 4 3" xfId="8903"/>
    <cellStyle name="Percent 21 4 3 3 4 3 2" xfId="15607"/>
    <cellStyle name="Percent 21 4 3 3 4 3 2 2" xfId="39028"/>
    <cellStyle name="Percent 21 4 3 3 4 3 3" xfId="32396"/>
    <cellStyle name="Percent 21 4 3 3 4 4" xfId="12290"/>
    <cellStyle name="Percent 21 4 3 3 4 4 2" xfId="35712"/>
    <cellStyle name="Percent 21 4 3 3 4 5" xfId="29080"/>
    <cellStyle name="Percent 21 4 3 3 5" xfId="6249"/>
    <cellStyle name="Percent 21 4 3 3 5 2" xfId="9583"/>
    <cellStyle name="Percent 21 4 3 3 5 2 2" xfId="16287"/>
    <cellStyle name="Percent 21 4 3 3 5 2 2 2" xfId="39708"/>
    <cellStyle name="Percent 21 4 3 3 5 2 3" xfId="33076"/>
    <cellStyle name="Percent 21 4 3 3 5 3" xfId="12971"/>
    <cellStyle name="Percent 21 4 3 3 5 3 2" xfId="36392"/>
    <cellStyle name="Percent 21 4 3 3 5 4" xfId="29760"/>
    <cellStyle name="Percent 21 4 3 3 6" xfId="7915"/>
    <cellStyle name="Percent 21 4 3 3 6 2" xfId="14629"/>
    <cellStyle name="Percent 21 4 3 3 6 2 2" xfId="38050"/>
    <cellStyle name="Percent 21 4 3 3 6 3" xfId="31418"/>
    <cellStyle name="Percent 21 4 3 3 7" xfId="11311"/>
    <cellStyle name="Percent 21 4 3 3 7 2" xfId="34734"/>
    <cellStyle name="Percent 21 4 3 3 8" xfId="28102"/>
    <cellStyle name="Percent 21 4 3 4" xfId="2435"/>
    <cellStyle name="Percent 21 4 3 4 2" xfId="18193"/>
    <cellStyle name="Percent 21 4 3 5" xfId="2615"/>
    <cellStyle name="Percent 21 4 3 5 2" xfId="5708"/>
    <cellStyle name="Percent 21 4 3 5 2 2" xfId="7490"/>
    <cellStyle name="Percent 21 4 3 5 2 2 2" xfId="10819"/>
    <cellStyle name="Percent 21 4 3 5 2 2 2 2" xfId="17523"/>
    <cellStyle name="Percent 21 4 3 5 2 2 2 2 2" xfId="40944"/>
    <cellStyle name="Percent 21 4 3 5 2 2 2 3" xfId="34312"/>
    <cellStyle name="Percent 21 4 3 5 2 2 3" xfId="14207"/>
    <cellStyle name="Percent 21 4 3 5 2 2 3 2" xfId="37628"/>
    <cellStyle name="Percent 21 4 3 5 2 2 4" xfId="30996"/>
    <cellStyle name="Percent 21 4 3 5 2 3" xfId="9161"/>
    <cellStyle name="Percent 21 4 3 5 2 3 2" xfId="15865"/>
    <cellStyle name="Percent 21 4 3 5 2 3 2 2" xfId="39286"/>
    <cellStyle name="Percent 21 4 3 5 2 3 3" xfId="32654"/>
    <cellStyle name="Percent 21 4 3 5 2 4" xfId="12549"/>
    <cellStyle name="Percent 21 4 3 5 2 4 2" xfId="35970"/>
    <cellStyle name="Percent 21 4 3 5 2 5" xfId="18265"/>
    <cellStyle name="Percent 21 4 3 5 2 6" xfId="29338"/>
    <cellStyle name="Percent 21 4 3 5 3" xfId="6591"/>
    <cellStyle name="Percent 21 4 3 5 3 2" xfId="9923"/>
    <cellStyle name="Percent 21 4 3 5 3 2 2" xfId="16627"/>
    <cellStyle name="Percent 21 4 3 5 3 2 2 2" xfId="40048"/>
    <cellStyle name="Percent 21 4 3 5 3 2 3" xfId="33416"/>
    <cellStyle name="Percent 21 4 3 5 3 3" xfId="13311"/>
    <cellStyle name="Percent 21 4 3 5 3 3 2" xfId="36732"/>
    <cellStyle name="Percent 21 4 3 5 3 4" xfId="30100"/>
    <cellStyle name="Percent 21 4 3 5 4" xfId="8257"/>
    <cellStyle name="Percent 21 4 3 5 4 2" xfId="14969"/>
    <cellStyle name="Percent 21 4 3 5 4 2 2" xfId="38390"/>
    <cellStyle name="Percent 21 4 3 5 4 3" xfId="31758"/>
    <cellStyle name="Percent 21 4 3 5 5" xfId="11651"/>
    <cellStyle name="Percent 21 4 3 5 5 2" xfId="35074"/>
    <cellStyle name="Percent 21 4 3 5 6" xfId="20418"/>
    <cellStyle name="Percent 21 4 3 5 7" xfId="28442"/>
    <cellStyle name="Percent 21 4 3 6" xfId="5308"/>
    <cellStyle name="Percent 21 4 3 6 2" xfId="7199"/>
    <cellStyle name="Percent 21 4 3 6 2 2" xfId="10530"/>
    <cellStyle name="Percent 21 4 3 6 2 2 2" xfId="17234"/>
    <cellStyle name="Percent 21 4 3 6 2 2 2 2" xfId="40655"/>
    <cellStyle name="Percent 21 4 3 6 2 2 3" xfId="34023"/>
    <cellStyle name="Percent 21 4 3 6 2 3" xfId="13918"/>
    <cellStyle name="Percent 21 4 3 6 2 3 2" xfId="37339"/>
    <cellStyle name="Percent 21 4 3 6 2 4" xfId="30707"/>
    <cellStyle name="Percent 21 4 3 6 3" xfId="8872"/>
    <cellStyle name="Percent 21 4 3 6 3 2" xfId="15576"/>
    <cellStyle name="Percent 21 4 3 6 3 2 2" xfId="38997"/>
    <cellStyle name="Percent 21 4 3 6 3 3" xfId="32365"/>
    <cellStyle name="Percent 21 4 3 6 4" xfId="12259"/>
    <cellStyle name="Percent 21 4 3 6 4 2" xfId="35681"/>
    <cellStyle name="Percent 21 4 3 6 5" xfId="29049"/>
    <cellStyle name="Percent 21 4 3 7" xfId="6118"/>
    <cellStyle name="Percent 21 4 3 7 2" xfId="9452"/>
    <cellStyle name="Percent 21 4 3 7 2 2" xfId="16156"/>
    <cellStyle name="Percent 21 4 3 7 2 2 2" xfId="39577"/>
    <cellStyle name="Percent 21 4 3 7 2 3" xfId="32945"/>
    <cellStyle name="Percent 21 4 3 7 3" xfId="12840"/>
    <cellStyle name="Percent 21 4 3 7 3 2" xfId="36261"/>
    <cellStyle name="Percent 21 4 3 7 4" xfId="29629"/>
    <cellStyle name="Percent 21 4 3 8" xfId="7784"/>
    <cellStyle name="Percent 21 4 3 8 2" xfId="14498"/>
    <cellStyle name="Percent 21 4 3 8 2 2" xfId="37919"/>
    <cellStyle name="Percent 21 4 3 8 3" xfId="31287"/>
    <cellStyle name="Percent 21 4 3 9" xfId="11180"/>
    <cellStyle name="Percent 21 4 3 9 2" xfId="34603"/>
    <cellStyle name="Percent 21 4 4" xfId="1656"/>
    <cellStyle name="Percent 21 4 5" xfId="1713"/>
    <cellStyle name="Percent 21 4 5 2" xfId="2436"/>
    <cellStyle name="Percent 21 4 5 3" xfId="2711"/>
    <cellStyle name="Percent 21 4 5 3 2" xfId="5803"/>
    <cellStyle name="Percent 21 4 5 3 2 2" xfId="7585"/>
    <cellStyle name="Percent 21 4 5 3 2 2 2" xfId="10914"/>
    <cellStyle name="Percent 21 4 5 3 2 2 2 2" xfId="17618"/>
    <cellStyle name="Percent 21 4 5 3 2 2 2 2 2" xfId="41039"/>
    <cellStyle name="Percent 21 4 5 3 2 2 2 3" xfId="34407"/>
    <cellStyle name="Percent 21 4 5 3 2 2 3" xfId="14302"/>
    <cellStyle name="Percent 21 4 5 3 2 2 3 2" xfId="37723"/>
    <cellStyle name="Percent 21 4 5 3 2 2 4" xfId="31091"/>
    <cellStyle name="Percent 21 4 5 3 2 3" xfId="9256"/>
    <cellStyle name="Percent 21 4 5 3 2 3 2" xfId="15960"/>
    <cellStyle name="Percent 21 4 5 3 2 3 2 2" xfId="39381"/>
    <cellStyle name="Percent 21 4 5 3 2 3 3" xfId="32749"/>
    <cellStyle name="Percent 21 4 5 3 2 4" xfId="12644"/>
    <cellStyle name="Percent 21 4 5 3 2 4 2" xfId="36065"/>
    <cellStyle name="Percent 21 4 5 3 2 5" xfId="29433"/>
    <cellStyle name="Percent 21 4 5 3 3" xfId="6686"/>
    <cellStyle name="Percent 21 4 5 3 3 2" xfId="10018"/>
    <cellStyle name="Percent 21 4 5 3 3 2 2" xfId="16722"/>
    <cellStyle name="Percent 21 4 5 3 3 2 2 2" xfId="40143"/>
    <cellStyle name="Percent 21 4 5 3 3 2 3" xfId="33511"/>
    <cellStyle name="Percent 21 4 5 3 3 3" xfId="13406"/>
    <cellStyle name="Percent 21 4 5 3 3 3 2" xfId="36827"/>
    <cellStyle name="Percent 21 4 5 3 3 4" xfId="30195"/>
    <cellStyle name="Percent 21 4 5 3 4" xfId="8352"/>
    <cellStyle name="Percent 21 4 5 3 4 2" xfId="15064"/>
    <cellStyle name="Percent 21 4 5 3 4 2 2" xfId="38485"/>
    <cellStyle name="Percent 21 4 5 3 4 3" xfId="31853"/>
    <cellStyle name="Percent 21 4 5 3 5" xfId="11746"/>
    <cellStyle name="Percent 21 4 5 3 5 2" xfId="35169"/>
    <cellStyle name="Percent 21 4 5 3 6" xfId="28537"/>
    <cellStyle name="Percent 21 4 5 4" xfId="5363"/>
    <cellStyle name="Percent 21 4 5 4 2" xfId="7217"/>
    <cellStyle name="Percent 21 4 5 4 2 2" xfId="10548"/>
    <cellStyle name="Percent 21 4 5 4 2 2 2" xfId="17252"/>
    <cellStyle name="Percent 21 4 5 4 2 2 2 2" xfId="40673"/>
    <cellStyle name="Percent 21 4 5 4 2 2 3" xfId="34041"/>
    <cellStyle name="Percent 21 4 5 4 2 3" xfId="13936"/>
    <cellStyle name="Percent 21 4 5 4 2 3 2" xfId="37357"/>
    <cellStyle name="Percent 21 4 5 4 2 4" xfId="30725"/>
    <cellStyle name="Percent 21 4 5 4 3" xfId="8890"/>
    <cellStyle name="Percent 21 4 5 4 3 2" xfId="15594"/>
    <cellStyle name="Percent 21 4 5 4 3 2 2" xfId="39015"/>
    <cellStyle name="Percent 21 4 5 4 3 3" xfId="32383"/>
    <cellStyle name="Percent 21 4 5 4 4" xfId="12277"/>
    <cellStyle name="Percent 21 4 5 4 4 2" xfId="35699"/>
    <cellStyle name="Percent 21 4 5 4 5" xfId="29067"/>
    <cellStyle name="Percent 21 4 5 5" xfId="6213"/>
    <cellStyle name="Percent 21 4 5 5 2" xfId="9547"/>
    <cellStyle name="Percent 21 4 5 5 2 2" xfId="16251"/>
    <cellStyle name="Percent 21 4 5 5 2 2 2" xfId="39672"/>
    <cellStyle name="Percent 21 4 5 5 2 3" xfId="33040"/>
    <cellStyle name="Percent 21 4 5 5 3" xfId="12935"/>
    <cellStyle name="Percent 21 4 5 5 3 2" xfId="36356"/>
    <cellStyle name="Percent 21 4 5 5 4" xfId="29724"/>
    <cellStyle name="Percent 21 4 5 6" xfId="7879"/>
    <cellStyle name="Percent 21 4 5 6 2" xfId="14593"/>
    <cellStyle name="Percent 21 4 5 6 2 2" xfId="38014"/>
    <cellStyle name="Percent 21 4 5 6 3" xfId="31382"/>
    <cellStyle name="Percent 21 4 5 7" xfId="11275"/>
    <cellStyle name="Percent 21 4 5 7 2" xfId="34698"/>
    <cellStyle name="Percent 21 4 5 8" xfId="28066"/>
    <cellStyle name="Percent 21 4 6" xfId="2437"/>
    <cellStyle name="Percent 21 4 6 2" xfId="18197"/>
    <cellStyle name="Percent 21 4 7" xfId="2578"/>
    <cellStyle name="Percent 21 4 7 2" xfId="5672"/>
    <cellStyle name="Percent 21 4 7 2 2" xfId="7455"/>
    <cellStyle name="Percent 21 4 7 2 2 2" xfId="10784"/>
    <cellStyle name="Percent 21 4 7 2 2 2 2" xfId="17488"/>
    <cellStyle name="Percent 21 4 7 2 2 2 2 2" xfId="40909"/>
    <cellStyle name="Percent 21 4 7 2 2 2 3" xfId="34277"/>
    <cellStyle name="Percent 21 4 7 2 2 3" xfId="14172"/>
    <cellStyle name="Percent 21 4 7 2 2 3 2" xfId="37593"/>
    <cellStyle name="Percent 21 4 7 2 2 4" xfId="30961"/>
    <cellStyle name="Percent 21 4 7 2 3" xfId="9126"/>
    <cellStyle name="Percent 21 4 7 2 3 2" xfId="15830"/>
    <cellStyle name="Percent 21 4 7 2 3 2 2" xfId="39251"/>
    <cellStyle name="Percent 21 4 7 2 3 3" xfId="32619"/>
    <cellStyle name="Percent 21 4 7 2 4" xfId="12514"/>
    <cellStyle name="Percent 21 4 7 2 4 2" xfId="35935"/>
    <cellStyle name="Percent 21 4 7 2 5" xfId="17834"/>
    <cellStyle name="Percent 21 4 7 2 6" xfId="29303"/>
    <cellStyle name="Percent 21 4 7 3" xfId="6555"/>
    <cellStyle name="Percent 21 4 7 3 2" xfId="9887"/>
    <cellStyle name="Percent 21 4 7 3 2 2" xfId="16591"/>
    <cellStyle name="Percent 21 4 7 3 2 2 2" xfId="40012"/>
    <cellStyle name="Percent 21 4 7 3 2 3" xfId="33380"/>
    <cellStyle name="Percent 21 4 7 3 3" xfId="13275"/>
    <cellStyle name="Percent 21 4 7 3 3 2" xfId="36696"/>
    <cellStyle name="Percent 21 4 7 3 4" xfId="30064"/>
    <cellStyle name="Percent 21 4 7 4" xfId="8221"/>
    <cellStyle name="Percent 21 4 7 4 2" xfId="14933"/>
    <cellStyle name="Percent 21 4 7 4 2 2" xfId="38354"/>
    <cellStyle name="Percent 21 4 7 4 3" xfId="31722"/>
    <cellStyle name="Percent 21 4 7 5" xfId="11615"/>
    <cellStyle name="Percent 21 4 7 5 2" xfId="35038"/>
    <cellStyle name="Percent 21 4 7 6" xfId="20438"/>
    <cellStyle name="Percent 21 4 7 7" xfId="28406"/>
    <cellStyle name="Percent 21 4 8" xfId="5265"/>
    <cellStyle name="Percent 21 4 8 2" xfId="7186"/>
    <cellStyle name="Percent 21 4 8 2 2" xfId="10517"/>
    <cellStyle name="Percent 21 4 8 2 2 2" xfId="17221"/>
    <cellStyle name="Percent 21 4 8 2 2 2 2" xfId="40642"/>
    <cellStyle name="Percent 21 4 8 2 2 3" xfId="34010"/>
    <cellStyle name="Percent 21 4 8 2 3" xfId="13905"/>
    <cellStyle name="Percent 21 4 8 2 3 2" xfId="37326"/>
    <cellStyle name="Percent 21 4 8 2 4" xfId="30694"/>
    <cellStyle name="Percent 21 4 8 3" xfId="8858"/>
    <cellStyle name="Percent 21 4 8 3 2" xfId="15563"/>
    <cellStyle name="Percent 21 4 8 3 2 2" xfId="38984"/>
    <cellStyle name="Percent 21 4 8 3 3" xfId="32352"/>
    <cellStyle name="Percent 21 4 8 4" xfId="12246"/>
    <cellStyle name="Percent 21 4 8 4 2" xfId="35668"/>
    <cellStyle name="Percent 21 4 8 5" xfId="29036"/>
    <cellStyle name="Percent 21 4 9" xfId="4394"/>
    <cellStyle name="Percent 21 5" xfId="1252"/>
    <cellStyle name="Percent 21 5 10" xfId="11151"/>
    <cellStyle name="Percent 21 5 10 2" xfId="34574"/>
    <cellStyle name="Percent 21 5 11" xfId="27942"/>
    <cellStyle name="Percent 21 5 2" xfId="1442"/>
    <cellStyle name="Percent 21 5 2 10" xfId="27978"/>
    <cellStyle name="Percent 21 5 2 2" xfId="1661"/>
    <cellStyle name="Percent 21 5 2 3" xfId="1757"/>
    <cellStyle name="Percent 21 5 2 3 2" xfId="2438"/>
    <cellStyle name="Percent 21 5 2 3 3" xfId="2754"/>
    <cellStyle name="Percent 21 5 2 3 3 2" xfId="5846"/>
    <cellStyle name="Percent 21 5 2 3 3 2 2" xfId="7628"/>
    <cellStyle name="Percent 21 5 2 3 3 2 2 2" xfId="10957"/>
    <cellStyle name="Percent 21 5 2 3 3 2 2 2 2" xfId="17661"/>
    <cellStyle name="Percent 21 5 2 3 3 2 2 2 2 2" xfId="41082"/>
    <cellStyle name="Percent 21 5 2 3 3 2 2 2 3" xfId="34450"/>
    <cellStyle name="Percent 21 5 2 3 3 2 2 3" xfId="14345"/>
    <cellStyle name="Percent 21 5 2 3 3 2 2 3 2" xfId="37766"/>
    <cellStyle name="Percent 21 5 2 3 3 2 2 4" xfId="31134"/>
    <cellStyle name="Percent 21 5 2 3 3 2 3" xfId="9299"/>
    <cellStyle name="Percent 21 5 2 3 3 2 3 2" xfId="16003"/>
    <cellStyle name="Percent 21 5 2 3 3 2 3 2 2" xfId="39424"/>
    <cellStyle name="Percent 21 5 2 3 3 2 3 3" xfId="32792"/>
    <cellStyle name="Percent 21 5 2 3 3 2 4" xfId="12687"/>
    <cellStyle name="Percent 21 5 2 3 3 2 4 2" xfId="36108"/>
    <cellStyle name="Percent 21 5 2 3 3 2 5" xfId="29476"/>
    <cellStyle name="Percent 21 5 2 3 3 3" xfId="6729"/>
    <cellStyle name="Percent 21 5 2 3 3 3 2" xfId="10061"/>
    <cellStyle name="Percent 21 5 2 3 3 3 2 2" xfId="16765"/>
    <cellStyle name="Percent 21 5 2 3 3 3 2 2 2" xfId="40186"/>
    <cellStyle name="Percent 21 5 2 3 3 3 2 3" xfId="33554"/>
    <cellStyle name="Percent 21 5 2 3 3 3 3" xfId="13449"/>
    <cellStyle name="Percent 21 5 2 3 3 3 3 2" xfId="36870"/>
    <cellStyle name="Percent 21 5 2 3 3 3 4" xfId="30238"/>
    <cellStyle name="Percent 21 5 2 3 3 4" xfId="8395"/>
    <cellStyle name="Percent 21 5 2 3 3 4 2" xfId="15107"/>
    <cellStyle name="Percent 21 5 2 3 3 4 2 2" xfId="38528"/>
    <cellStyle name="Percent 21 5 2 3 3 4 3" xfId="31896"/>
    <cellStyle name="Percent 21 5 2 3 3 5" xfId="11789"/>
    <cellStyle name="Percent 21 5 2 3 3 5 2" xfId="35212"/>
    <cellStyle name="Percent 21 5 2 3 3 6" xfId="28580"/>
    <cellStyle name="Percent 21 5 2 3 4" xfId="5379"/>
    <cellStyle name="Percent 21 5 2 3 4 2" xfId="7232"/>
    <cellStyle name="Percent 21 5 2 3 4 2 2" xfId="10563"/>
    <cellStyle name="Percent 21 5 2 3 4 2 2 2" xfId="17267"/>
    <cellStyle name="Percent 21 5 2 3 4 2 2 2 2" xfId="40688"/>
    <cellStyle name="Percent 21 5 2 3 4 2 2 3" xfId="34056"/>
    <cellStyle name="Percent 21 5 2 3 4 2 3" xfId="13951"/>
    <cellStyle name="Percent 21 5 2 3 4 2 3 2" xfId="37372"/>
    <cellStyle name="Percent 21 5 2 3 4 2 4" xfId="30740"/>
    <cellStyle name="Percent 21 5 2 3 4 3" xfId="8905"/>
    <cellStyle name="Percent 21 5 2 3 4 3 2" xfId="15609"/>
    <cellStyle name="Percent 21 5 2 3 4 3 2 2" xfId="39030"/>
    <cellStyle name="Percent 21 5 2 3 4 3 3" xfId="32398"/>
    <cellStyle name="Percent 21 5 2 3 4 4" xfId="12292"/>
    <cellStyle name="Percent 21 5 2 3 4 4 2" xfId="35714"/>
    <cellStyle name="Percent 21 5 2 3 4 5" xfId="29082"/>
    <cellStyle name="Percent 21 5 2 3 5" xfId="6256"/>
    <cellStyle name="Percent 21 5 2 3 5 2" xfId="9590"/>
    <cellStyle name="Percent 21 5 2 3 5 2 2" xfId="16294"/>
    <cellStyle name="Percent 21 5 2 3 5 2 2 2" xfId="39715"/>
    <cellStyle name="Percent 21 5 2 3 5 2 3" xfId="33083"/>
    <cellStyle name="Percent 21 5 2 3 5 3" xfId="12978"/>
    <cellStyle name="Percent 21 5 2 3 5 3 2" xfId="36399"/>
    <cellStyle name="Percent 21 5 2 3 5 4" xfId="29767"/>
    <cellStyle name="Percent 21 5 2 3 6" xfId="7922"/>
    <cellStyle name="Percent 21 5 2 3 6 2" xfId="14636"/>
    <cellStyle name="Percent 21 5 2 3 6 2 2" xfId="38057"/>
    <cellStyle name="Percent 21 5 2 3 6 3" xfId="31425"/>
    <cellStyle name="Percent 21 5 2 3 7" xfId="11318"/>
    <cellStyle name="Percent 21 5 2 3 7 2" xfId="34741"/>
    <cellStyle name="Percent 21 5 2 3 8" xfId="28109"/>
    <cellStyle name="Percent 21 5 2 4" xfId="2439"/>
    <cellStyle name="Percent 21 5 2 4 2" xfId="18202"/>
    <cellStyle name="Percent 21 5 2 5" xfId="2622"/>
    <cellStyle name="Percent 21 5 2 5 2" xfId="5715"/>
    <cellStyle name="Percent 21 5 2 5 2 2" xfId="7497"/>
    <cellStyle name="Percent 21 5 2 5 2 2 2" xfId="10826"/>
    <cellStyle name="Percent 21 5 2 5 2 2 2 2" xfId="17530"/>
    <cellStyle name="Percent 21 5 2 5 2 2 2 2 2" xfId="40951"/>
    <cellStyle name="Percent 21 5 2 5 2 2 2 3" xfId="34319"/>
    <cellStyle name="Percent 21 5 2 5 2 2 3" xfId="14214"/>
    <cellStyle name="Percent 21 5 2 5 2 2 3 2" xfId="37635"/>
    <cellStyle name="Percent 21 5 2 5 2 2 4" xfId="31003"/>
    <cellStyle name="Percent 21 5 2 5 2 3" xfId="9168"/>
    <cellStyle name="Percent 21 5 2 5 2 3 2" xfId="15872"/>
    <cellStyle name="Percent 21 5 2 5 2 3 2 2" xfId="39293"/>
    <cellStyle name="Percent 21 5 2 5 2 3 3" xfId="32661"/>
    <cellStyle name="Percent 21 5 2 5 2 4" xfId="12556"/>
    <cellStyle name="Percent 21 5 2 5 2 4 2" xfId="35977"/>
    <cellStyle name="Percent 21 5 2 5 2 5" xfId="18360"/>
    <cellStyle name="Percent 21 5 2 5 2 6" xfId="29345"/>
    <cellStyle name="Percent 21 5 2 5 3" xfId="6598"/>
    <cellStyle name="Percent 21 5 2 5 3 2" xfId="9930"/>
    <cellStyle name="Percent 21 5 2 5 3 2 2" xfId="16634"/>
    <cellStyle name="Percent 21 5 2 5 3 2 2 2" xfId="40055"/>
    <cellStyle name="Percent 21 5 2 5 3 2 3" xfId="33423"/>
    <cellStyle name="Percent 21 5 2 5 3 3" xfId="13318"/>
    <cellStyle name="Percent 21 5 2 5 3 3 2" xfId="36739"/>
    <cellStyle name="Percent 21 5 2 5 3 4" xfId="30107"/>
    <cellStyle name="Percent 21 5 2 5 4" xfId="8264"/>
    <cellStyle name="Percent 21 5 2 5 4 2" xfId="14976"/>
    <cellStyle name="Percent 21 5 2 5 4 2 2" xfId="38397"/>
    <cellStyle name="Percent 21 5 2 5 4 3" xfId="31765"/>
    <cellStyle name="Percent 21 5 2 5 5" xfId="11658"/>
    <cellStyle name="Percent 21 5 2 5 5 2" xfId="35081"/>
    <cellStyle name="Percent 21 5 2 5 6" xfId="17897"/>
    <cellStyle name="Percent 21 5 2 5 7" xfId="28449"/>
    <cellStyle name="Percent 21 5 2 6" xfId="5312"/>
    <cellStyle name="Percent 21 5 2 6 2" xfId="7201"/>
    <cellStyle name="Percent 21 5 2 6 2 2" xfId="10532"/>
    <cellStyle name="Percent 21 5 2 6 2 2 2" xfId="17236"/>
    <cellStyle name="Percent 21 5 2 6 2 2 2 2" xfId="40657"/>
    <cellStyle name="Percent 21 5 2 6 2 2 3" xfId="34025"/>
    <cellStyle name="Percent 21 5 2 6 2 3" xfId="13920"/>
    <cellStyle name="Percent 21 5 2 6 2 3 2" xfId="37341"/>
    <cellStyle name="Percent 21 5 2 6 2 4" xfId="30709"/>
    <cellStyle name="Percent 21 5 2 6 3" xfId="8874"/>
    <cellStyle name="Percent 21 5 2 6 3 2" xfId="15578"/>
    <cellStyle name="Percent 21 5 2 6 3 2 2" xfId="38999"/>
    <cellStyle name="Percent 21 5 2 6 3 3" xfId="32367"/>
    <cellStyle name="Percent 21 5 2 6 4" xfId="12261"/>
    <cellStyle name="Percent 21 5 2 6 4 2" xfId="35683"/>
    <cellStyle name="Percent 21 5 2 6 5" xfId="29051"/>
    <cellStyle name="Percent 21 5 2 7" xfId="6125"/>
    <cellStyle name="Percent 21 5 2 7 2" xfId="9459"/>
    <cellStyle name="Percent 21 5 2 7 2 2" xfId="16163"/>
    <cellStyle name="Percent 21 5 2 7 2 2 2" xfId="39584"/>
    <cellStyle name="Percent 21 5 2 7 2 3" xfId="32952"/>
    <cellStyle name="Percent 21 5 2 7 3" xfId="12847"/>
    <cellStyle name="Percent 21 5 2 7 3 2" xfId="36268"/>
    <cellStyle name="Percent 21 5 2 7 4" xfId="29636"/>
    <cellStyle name="Percent 21 5 2 8" xfId="7791"/>
    <cellStyle name="Percent 21 5 2 8 2" xfId="14505"/>
    <cellStyle name="Percent 21 5 2 8 2 2" xfId="37926"/>
    <cellStyle name="Percent 21 5 2 8 3" xfId="31294"/>
    <cellStyle name="Percent 21 5 2 9" xfId="11187"/>
    <cellStyle name="Percent 21 5 2 9 2" xfId="34610"/>
    <cellStyle name="Percent 21 5 3" xfId="1660"/>
    <cellStyle name="Percent 21 5 4" xfId="1720"/>
    <cellStyle name="Percent 21 5 4 2" xfId="2441"/>
    <cellStyle name="Percent 21 5 4 3" xfId="2718"/>
    <cellStyle name="Percent 21 5 4 3 2" xfId="5810"/>
    <cellStyle name="Percent 21 5 4 3 2 2" xfId="7592"/>
    <cellStyle name="Percent 21 5 4 3 2 2 2" xfId="10921"/>
    <cellStyle name="Percent 21 5 4 3 2 2 2 2" xfId="17625"/>
    <cellStyle name="Percent 21 5 4 3 2 2 2 2 2" xfId="41046"/>
    <cellStyle name="Percent 21 5 4 3 2 2 2 3" xfId="34414"/>
    <cellStyle name="Percent 21 5 4 3 2 2 3" xfId="14309"/>
    <cellStyle name="Percent 21 5 4 3 2 2 3 2" xfId="37730"/>
    <cellStyle name="Percent 21 5 4 3 2 2 4" xfId="31098"/>
    <cellStyle name="Percent 21 5 4 3 2 3" xfId="9263"/>
    <cellStyle name="Percent 21 5 4 3 2 3 2" xfId="15967"/>
    <cellStyle name="Percent 21 5 4 3 2 3 2 2" xfId="39388"/>
    <cellStyle name="Percent 21 5 4 3 2 3 3" xfId="32756"/>
    <cellStyle name="Percent 21 5 4 3 2 4" xfId="12651"/>
    <cellStyle name="Percent 21 5 4 3 2 4 2" xfId="36072"/>
    <cellStyle name="Percent 21 5 4 3 2 5" xfId="29440"/>
    <cellStyle name="Percent 21 5 4 3 3" xfId="6693"/>
    <cellStyle name="Percent 21 5 4 3 3 2" xfId="10025"/>
    <cellStyle name="Percent 21 5 4 3 3 2 2" xfId="16729"/>
    <cellStyle name="Percent 21 5 4 3 3 2 2 2" xfId="40150"/>
    <cellStyle name="Percent 21 5 4 3 3 2 3" xfId="33518"/>
    <cellStyle name="Percent 21 5 4 3 3 3" xfId="13413"/>
    <cellStyle name="Percent 21 5 4 3 3 3 2" xfId="36834"/>
    <cellStyle name="Percent 21 5 4 3 3 4" xfId="30202"/>
    <cellStyle name="Percent 21 5 4 3 4" xfId="8359"/>
    <cellStyle name="Percent 21 5 4 3 4 2" xfId="15071"/>
    <cellStyle name="Percent 21 5 4 3 4 2 2" xfId="38492"/>
    <cellStyle name="Percent 21 5 4 3 4 3" xfId="31860"/>
    <cellStyle name="Percent 21 5 4 3 5" xfId="11753"/>
    <cellStyle name="Percent 21 5 4 3 5 2" xfId="35176"/>
    <cellStyle name="Percent 21 5 4 3 6" xfId="28544"/>
    <cellStyle name="Percent 21 5 4 4" xfId="5365"/>
    <cellStyle name="Percent 21 5 4 4 2" xfId="7219"/>
    <cellStyle name="Percent 21 5 4 4 2 2" xfId="10550"/>
    <cellStyle name="Percent 21 5 4 4 2 2 2" xfId="17254"/>
    <cellStyle name="Percent 21 5 4 4 2 2 2 2" xfId="40675"/>
    <cellStyle name="Percent 21 5 4 4 2 2 3" xfId="34043"/>
    <cellStyle name="Percent 21 5 4 4 2 3" xfId="13938"/>
    <cellStyle name="Percent 21 5 4 4 2 3 2" xfId="37359"/>
    <cellStyle name="Percent 21 5 4 4 2 4" xfId="30727"/>
    <cellStyle name="Percent 21 5 4 4 3" xfId="8892"/>
    <cellStyle name="Percent 21 5 4 4 3 2" xfId="15596"/>
    <cellStyle name="Percent 21 5 4 4 3 2 2" xfId="39017"/>
    <cellStyle name="Percent 21 5 4 4 3 3" xfId="32385"/>
    <cellStyle name="Percent 21 5 4 4 4" xfId="12279"/>
    <cellStyle name="Percent 21 5 4 4 4 2" xfId="35701"/>
    <cellStyle name="Percent 21 5 4 4 5" xfId="29069"/>
    <cellStyle name="Percent 21 5 4 5" xfId="6220"/>
    <cellStyle name="Percent 21 5 4 5 2" xfId="9554"/>
    <cellStyle name="Percent 21 5 4 5 2 2" xfId="16258"/>
    <cellStyle name="Percent 21 5 4 5 2 2 2" xfId="39679"/>
    <cellStyle name="Percent 21 5 4 5 2 3" xfId="33047"/>
    <cellStyle name="Percent 21 5 4 5 3" xfId="12942"/>
    <cellStyle name="Percent 21 5 4 5 3 2" xfId="36363"/>
    <cellStyle name="Percent 21 5 4 5 4" xfId="29731"/>
    <cellStyle name="Percent 21 5 4 6" xfId="7886"/>
    <cellStyle name="Percent 21 5 4 6 2" xfId="14600"/>
    <cellStyle name="Percent 21 5 4 6 2 2" xfId="38021"/>
    <cellStyle name="Percent 21 5 4 6 3" xfId="31389"/>
    <cellStyle name="Percent 21 5 4 7" xfId="11282"/>
    <cellStyle name="Percent 21 5 4 7 2" xfId="34705"/>
    <cellStyle name="Percent 21 5 4 8" xfId="28073"/>
    <cellStyle name="Percent 21 5 5" xfId="2442"/>
    <cellStyle name="Percent 21 5 5 2" xfId="18205"/>
    <cellStyle name="Percent 21 5 6" xfId="2585"/>
    <cellStyle name="Percent 21 5 6 2" xfId="5679"/>
    <cellStyle name="Percent 21 5 6 2 2" xfId="7462"/>
    <cellStyle name="Percent 21 5 6 2 2 2" xfId="10791"/>
    <cellStyle name="Percent 21 5 6 2 2 2 2" xfId="17495"/>
    <cellStyle name="Percent 21 5 6 2 2 2 2 2" xfId="40916"/>
    <cellStyle name="Percent 21 5 6 2 2 2 3" xfId="34284"/>
    <cellStyle name="Percent 21 5 6 2 2 3" xfId="14179"/>
    <cellStyle name="Percent 21 5 6 2 2 3 2" xfId="37600"/>
    <cellStyle name="Percent 21 5 6 2 2 4" xfId="30968"/>
    <cellStyle name="Percent 21 5 6 2 3" xfId="9133"/>
    <cellStyle name="Percent 21 5 6 2 3 2" xfId="15837"/>
    <cellStyle name="Percent 21 5 6 2 3 2 2" xfId="39258"/>
    <cellStyle name="Percent 21 5 6 2 3 3" xfId="32626"/>
    <cellStyle name="Percent 21 5 6 2 4" xfId="12521"/>
    <cellStyle name="Percent 21 5 6 2 4 2" xfId="35942"/>
    <cellStyle name="Percent 21 5 6 2 5" xfId="18266"/>
    <cellStyle name="Percent 21 5 6 2 6" xfId="29310"/>
    <cellStyle name="Percent 21 5 6 3" xfId="6562"/>
    <cellStyle name="Percent 21 5 6 3 2" xfId="9894"/>
    <cellStyle name="Percent 21 5 6 3 2 2" xfId="16598"/>
    <cellStyle name="Percent 21 5 6 3 2 2 2" xfId="40019"/>
    <cellStyle name="Percent 21 5 6 3 2 3" xfId="33387"/>
    <cellStyle name="Percent 21 5 6 3 3" xfId="13282"/>
    <cellStyle name="Percent 21 5 6 3 3 2" xfId="36703"/>
    <cellStyle name="Percent 21 5 6 3 4" xfId="30071"/>
    <cellStyle name="Percent 21 5 6 4" xfId="8228"/>
    <cellStyle name="Percent 21 5 6 4 2" xfId="14940"/>
    <cellStyle name="Percent 21 5 6 4 2 2" xfId="38361"/>
    <cellStyle name="Percent 21 5 6 4 3" xfId="31729"/>
    <cellStyle name="Percent 21 5 6 5" xfId="11622"/>
    <cellStyle name="Percent 21 5 6 5 2" xfId="35045"/>
    <cellStyle name="Percent 21 5 6 6" xfId="20396"/>
    <cellStyle name="Percent 21 5 6 7" xfId="28413"/>
    <cellStyle name="Percent 21 5 7" xfId="5281"/>
    <cellStyle name="Percent 21 5 7 2" xfId="7188"/>
    <cellStyle name="Percent 21 5 7 2 2" xfId="10519"/>
    <cellStyle name="Percent 21 5 7 2 2 2" xfId="17223"/>
    <cellStyle name="Percent 21 5 7 2 2 2 2" xfId="40644"/>
    <cellStyle name="Percent 21 5 7 2 2 3" xfId="34012"/>
    <cellStyle name="Percent 21 5 7 2 3" xfId="13907"/>
    <cellStyle name="Percent 21 5 7 2 3 2" xfId="37328"/>
    <cellStyle name="Percent 21 5 7 2 4" xfId="30696"/>
    <cellStyle name="Percent 21 5 7 3" xfId="8860"/>
    <cellStyle name="Percent 21 5 7 3 2" xfId="15565"/>
    <cellStyle name="Percent 21 5 7 3 2 2" xfId="38986"/>
    <cellStyle name="Percent 21 5 7 3 3" xfId="32354"/>
    <cellStyle name="Percent 21 5 7 4" xfId="12248"/>
    <cellStyle name="Percent 21 5 7 4 2" xfId="35670"/>
    <cellStyle name="Percent 21 5 7 5" xfId="29038"/>
    <cellStyle name="Percent 21 5 8" xfId="6089"/>
    <cellStyle name="Percent 21 5 8 2" xfId="9423"/>
    <cellStyle name="Percent 21 5 8 2 2" xfId="16127"/>
    <cellStyle name="Percent 21 5 8 2 2 2" xfId="39548"/>
    <cellStyle name="Percent 21 5 8 2 3" xfId="32916"/>
    <cellStyle name="Percent 21 5 8 3" xfId="12811"/>
    <cellStyle name="Percent 21 5 8 3 2" xfId="36232"/>
    <cellStyle name="Percent 21 5 8 4" xfId="29600"/>
    <cellStyle name="Percent 21 5 9" xfId="7754"/>
    <cellStyle name="Percent 21 5 9 2" xfId="14469"/>
    <cellStyle name="Percent 21 5 9 2 2" xfId="37890"/>
    <cellStyle name="Percent 21 5 9 3" xfId="31258"/>
    <cellStyle name="Percent 21 6" xfId="1478"/>
    <cellStyle name="Percent 21 6 2" xfId="1786"/>
    <cellStyle name="Percent 21 6 2 2" xfId="2444"/>
    <cellStyle name="Percent 21 6 2 3" xfId="2783"/>
    <cellStyle name="Percent 21 6 2 3 2" xfId="5875"/>
    <cellStyle name="Percent 21 6 2 3 2 2" xfId="7657"/>
    <cellStyle name="Percent 21 6 2 3 2 2 2" xfId="10986"/>
    <cellStyle name="Percent 21 6 2 3 2 2 2 2" xfId="17690"/>
    <cellStyle name="Percent 21 6 2 3 2 2 2 2 2" xfId="41111"/>
    <cellStyle name="Percent 21 6 2 3 2 2 2 3" xfId="34479"/>
    <cellStyle name="Percent 21 6 2 3 2 2 3" xfId="14374"/>
    <cellStyle name="Percent 21 6 2 3 2 2 3 2" xfId="37795"/>
    <cellStyle name="Percent 21 6 2 3 2 2 4" xfId="31163"/>
    <cellStyle name="Percent 21 6 2 3 2 3" xfId="9328"/>
    <cellStyle name="Percent 21 6 2 3 2 3 2" xfId="16032"/>
    <cellStyle name="Percent 21 6 2 3 2 3 2 2" xfId="39453"/>
    <cellStyle name="Percent 21 6 2 3 2 3 3" xfId="32821"/>
    <cellStyle name="Percent 21 6 2 3 2 4" xfId="12716"/>
    <cellStyle name="Percent 21 6 2 3 2 4 2" xfId="36137"/>
    <cellStyle name="Percent 21 6 2 3 2 5" xfId="29505"/>
    <cellStyle name="Percent 21 6 2 3 3" xfId="6758"/>
    <cellStyle name="Percent 21 6 2 3 3 2" xfId="10090"/>
    <cellStyle name="Percent 21 6 2 3 3 2 2" xfId="16794"/>
    <cellStyle name="Percent 21 6 2 3 3 2 2 2" xfId="40215"/>
    <cellStyle name="Percent 21 6 2 3 3 2 3" xfId="33583"/>
    <cellStyle name="Percent 21 6 2 3 3 3" xfId="13478"/>
    <cellStyle name="Percent 21 6 2 3 3 3 2" xfId="36899"/>
    <cellStyle name="Percent 21 6 2 3 3 4" xfId="30267"/>
    <cellStyle name="Percent 21 6 2 3 4" xfId="8424"/>
    <cellStyle name="Percent 21 6 2 3 4 2" xfId="15136"/>
    <cellStyle name="Percent 21 6 2 3 4 2 2" xfId="38557"/>
    <cellStyle name="Percent 21 6 2 3 4 3" xfId="31925"/>
    <cellStyle name="Percent 21 6 2 3 5" xfId="11818"/>
    <cellStyle name="Percent 21 6 2 3 5 2" xfId="35241"/>
    <cellStyle name="Percent 21 6 2 3 6" xfId="28609"/>
    <cellStyle name="Percent 21 6 2 4" xfId="5392"/>
    <cellStyle name="Percent 21 6 2 4 2" xfId="7243"/>
    <cellStyle name="Percent 21 6 2 4 2 2" xfId="10574"/>
    <cellStyle name="Percent 21 6 2 4 2 2 2" xfId="17278"/>
    <cellStyle name="Percent 21 6 2 4 2 2 2 2" xfId="40699"/>
    <cellStyle name="Percent 21 6 2 4 2 2 3" xfId="34067"/>
    <cellStyle name="Percent 21 6 2 4 2 3" xfId="13962"/>
    <cellStyle name="Percent 21 6 2 4 2 3 2" xfId="37383"/>
    <cellStyle name="Percent 21 6 2 4 2 4" xfId="30751"/>
    <cellStyle name="Percent 21 6 2 4 3" xfId="8916"/>
    <cellStyle name="Percent 21 6 2 4 3 2" xfId="15620"/>
    <cellStyle name="Percent 21 6 2 4 3 2 2" xfId="39041"/>
    <cellStyle name="Percent 21 6 2 4 3 3" xfId="32409"/>
    <cellStyle name="Percent 21 6 2 4 4" xfId="12304"/>
    <cellStyle name="Percent 21 6 2 4 4 2" xfId="35725"/>
    <cellStyle name="Percent 21 6 2 4 5" xfId="29093"/>
    <cellStyle name="Percent 21 6 2 5" xfId="6285"/>
    <cellStyle name="Percent 21 6 2 5 2" xfId="9619"/>
    <cellStyle name="Percent 21 6 2 5 2 2" xfId="16323"/>
    <cellStyle name="Percent 21 6 2 5 2 2 2" xfId="39744"/>
    <cellStyle name="Percent 21 6 2 5 2 3" xfId="33112"/>
    <cellStyle name="Percent 21 6 2 5 3" xfId="13007"/>
    <cellStyle name="Percent 21 6 2 5 3 2" xfId="36428"/>
    <cellStyle name="Percent 21 6 2 5 4" xfId="29796"/>
    <cellStyle name="Percent 21 6 2 6" xfId="7951"/>
    <cellStyle name="Percent 21 6 2 6 2" xfId="14665"/>
    <cellStyle name="Percent 21 6 2 6 2 2" xfId="38086"/>
    <cellStyle name="Percent 21 6 2 6 3" xfId="31454"/>
    <cellStyle name="Percent 21 6 2 7" xfId="11347"/>
    <cellStyle name="Percent 21 6 2 7 2" xfId="34770"/>
    <cellStyle name="Percent 21 6 2 8" xfId="28138"/>
    <cellStyle name="Percent 21 6 3" xfId="2443"/>
    <cellStyle name="Percent 21 6 4" xfId="2651"/>
    <cellStyle name="Percent 21 6 4 2" xfId="5744"/>
    <cellStyle name="Percent 21 6 4 2 2" xfId="7526"/>
    <cellStyle name="Percent 21 6 4 2 2 2" xfId="10855"/>
    <cellStyle name="Percent 21 6 4 2 2 2 2" xfId="17559"/>
    <cellStyle name="Percent 21 6 4 2 2 2 2 2" xfId="40980"/>
    <cellStyle name="Percent 21 6 4 2 2 2 3" xfId="34348"/>
    <cellStyle name="Percent 21 6 4 2 2 3" xfId="14243"/>
    <cellStyle name="Percent 21 6 4 2 2 3 2" xfId="37664"/>
    <cellStyle name="Percent 21 6 4 2 2 4" xfId="31032"/>
    <cellStyle name="Percent 21 6 4 2 3" xfId="9197"/>
    <cellStyle name="Percent 21 6 4 2 3 2" xfId="15901"/>
    <cellStyle name="Percent 21 6 4 2 3 2 2" xfId="39322"/>
    <cellStyle name="Percent 21 6 4 2 3 3" xfId="32690"/>
    <cellStyle name="Percent 21 6 4 2 4" xfId="12585"/>
    <cellStyle name="Percent 21 6 4 2 4 2" xfId="36006"/>
    <cellStyle name="Percent 21 6 4 2 5" xfId="29374"/>
    <cellStyle name="Percent 21 6 4 3" xfId="6627"/>
    <cellStyle name="Percent 21 6 4 3 2" xfId="9959"/>
    <cellStyle name="Percent 21 6 4 3 2 2" xfId="16663"/>
    <cellStyle name="Percent 21 6 4 3 2 2 2" xfId="40084"/>
    <cellStyle name="Percent 21 6 4 3 2 3" xfId="33452"/>
    <cellStyle name="Percent 21 6 4 3 3" xfId="13347"/>
    <cellStyle name="Percent 21 6 4 3 3 2" xfId="36768"/>
    <cellStyle name="Percent 21 6 4 3 4" xfId="30136"/>
    <cellStyle name="Percent 21 6 4 4" xfId="8293"/>
    <cellStyle name="Percent 21 6 4 4 2" xfId="15005"/>
    <cellStyle name="Percent 21 6 4 4 2 2" xfId="38426"/>
    <cellStyle name="Percent 21 6 4 4 3" xfId="31794"/>
    <cellStyle name="Percent 21 6 4 5" xfId="11687"/>
    <cellStyle name="Percent 21 6 4 5 2" xfId="35110"/>
    <cellStyle name="Percent 21 6 4 6" xfId="28478"/>
    <cellStyle name="Percent 21 6 5" xfId="5326"/>
    <cellStyle name="Percent 21 6 5 2" xfId="7212"/>
    <cellStyle name="Percent 21 6 5 2 2" xfId="10543"/>
    <cellStyle name="Percent 21 6 5 2 2 2" xfId="17247"/>
    <cellStyle name="Percent 21 6 5 2 2 2 2" xfId="40668"/>
    <cellStyle name="Percent 21 6 5 2 2 3" xfId="34036"/>
    <cellStyle name="Percent 21 6 5 2 3" xfId="13931"/>
    <cellStyle name="Percent 21 6 5 2 3 2" xfId="37352"/>
    <cellStyle name="Percent 21 6 5 2 4" xfId="30720"/>
    <cellStyle name="Percent 21 6 5 3" xfId="8885"/>
    <cellStyle name="Percent 21 6 5 3 2" xfId="15589"/>
    <cellStyle name="Percent 21 6 5 3 2 2" xfId="39010"/>
    <cellStyle name="Percent 21 6 5 3 3" xfId="32378"/>
    <cellStyle name="Percent 21 6 5 4" xfId="12272"/>
    <cellStyle name="Percent 21 6 5 4 2" xfId="35694"/>
    <cellStyle name="Percent 21 6 5 5" xfId="29062"/>
    <cellStyle name="Percent 21 6 6" xfId="6154"/>
    <cellStyle name="Percent 21 6 6 2" xfId="9488"/>
    <cellStyle name="Percent 21 6 6 2 2" xfId="16192"/>
    <cellStyle name="Percent 21 6 6 2 2 2" xfId="39613"/>
    <cellStyle name="Percent 21 6 6 2 3" xfId="32981"/>
    <cellStyle name="Percent 21 6 6 3" xfId="12876"/>
    <cellStyle name="Percent 21 6 6 3 2" xfId="36297"/>
    <cellStyle name="Percent 21 6 6 4" xfId="29665"/>
    <cellStyle name="Percent 21 6 7" xfId="7820"/>
    <cellStyle name="Percent 21 6 7 2" xfId="14534"/>
    <cellStyle name="Percent 21 6 7 2 2" xfId="37955"/>
    <cellStyle name="Percent 21 6 7 3" xfId="31323"/>
    <cellStyle name="Percent 21 6 8" xfId="11216"/>
    <cellStyle name="Percent 21 6 8 2" xfId="34639"/>
    <cellStyle name="Percent 21 6 9" xfId="28007"/>
    <cellStyle name="Percent 21 7" xfId="1653"/>
    <cellStyle name="Percent 21 7 2" xfId="1837"/>
    <cellStyle name="Percent 21 7 2 2" xfId="2446"/>
    <cellStyle name="Percent 21 7 2 3" xfId="2834"/>
    <cellStyle name="Percent 21 7 2 3 2" xfId="5926"/>
    <cellStyle name="Percent 21 7 2 3 2 2" xfId="7708"/>
    <cellStyle name="Percent 21 7 2 3 2 2 2" xfId="11037"/>
    <cellStyle name="Percent 21 7 2 3 2 2 2 2" xfId="17741"/>
    <cellStyle name="Percent 21 7 2 3 2 2 2 2 2" xfId="41162"/>
    <cellStyle name="Percent 21 7 2 3 2 2 2 3" xfId="34530"/>
    <cellStyle name="Percent 21 7 2 3 2 2 3" xfId="14425"/>
    <cellStyle name="Percent 21 7 2 3 2 2 3 2" xfId="37846"/>
    <cellStyle name="Percent 21 7 2 3 2 2 4" xfId="31214"/>
    <cellStyle name="Percent 21 7 2 3 2 3" xfId="9379"/>
    <cellStyle name="Percent 21 7 2 3 2 3 2" xfId="16083"/>
    <cellStyle name="Percent 21 7 2 3 2 3 2 2" xfId="39504"/>
    <cellStyle name="Percent 21 7 2 3 2 3 3" xfId="32872"/>
    <cellStyle name="Percent 21 7 2 3 2 4" xfId="12767"/>
    <cellStyle name="Percent 21 7 2 3 2 4 2" xfId="36188"/>
    <cellStyle name="Percent 21 7 2 3 2 5" xfId="29556"/>
    <cellStyle name="Percent 21 7 2 3 3" xfId="6809"/>
    <cellStyle name="Percent 21 7 2 3 3 2" xfId="10141"/>
    <cellStyle name="Percent 21 7 2 3 3 2 2" xfId="16845"/>
    <cellStyle name="Percent 21 7 2 3 3 2 2 2" xfId="40266"/>
    <cellStyle name="Percent 21 7 2 3 3 2 3" xfId="33634"/>
    <cellStyle name="Percent 21 7 2 3 3 3" xfId="13529"/>
    <cellStyle name="Percent 21 7 2 3 3 3 2" xfId="36950"/>
    <cellStyle name="Percent 21 7 2 3 3 4" xfId="30318"/>
    <cellStyle name="Percent 21 7 2 3 4" xfId="8475"/>
    <cellStyle name="Percent 21 7 2 3 4 2" xfId="15187"/>
    <cellStyle name="Percent 21 7 2 3 4 2 2" xfId="38608"/>
    <cellStyle name="Percent 21 7 2 3 4 3" xfId="31976"/>
    <cellStyle name="Percent 21 7 2 3 5" xfId="11869"/>
    <cellStyle name="Percent 21 7 2 3 5 2" xfId="35292"/>
    <cellStyle name="Percent 21 7 2 3 6" xfId="28660"/>
    <cellStyle name="Percent 21 7 2 4" xfId="5398"/>
    <cellStyle name="Percent 21 7 2 4 2" xfId="7245"/>
    <cellStyle name="Percent 21 7 2 4 2 2" xfId="10576"/>
    <cellStyle name="Percent 21 7 2 4 2 2 2" xfId="17280"/>
    <cellStyle name="Percent 21 7 2 4 2 2 2 2" xfId="40701"/>
    <cellStyle name="Percent 21 7 2 4 2 2 3" xfId="34069"/>
    <cellStyle name="Percent 21 7 2 4 2 3" xfId="13964"/>
    <cellStyle name="Percent 21 7 2 4 2 3 2" xfId="37385"/>
    <cellStyle name="Percent 21 7 2 4 2 4" xfId="30753"/>
    <cellStyle name="Percent 21 7 2 4 3" xfId="8918"/>
    <cellStyle name="Percent 21 7 2 4 3 2" xfId="15622"/>
    <cellStyle name="Percent 21 7 2 4 3 2 2" xfId="39043"/>
    <cellStyle name="Percent 21 7 2 4 3 3" xfId="32411"/>
    <cellStyle name="Percent 21 7 2 4 4" xfId="12306"/>
    <cellStyle name="Percent 21 7 2 4 4 2" xfId="35727"/>
    <cellStyle name="Percent 21 7 2 4 5" xfId="29095"/>
    <cellStyle name="Percent 21 7 2 5" xfId="6336"/>
    <cellStyle name="Percent 21 7 2 5 2" xfId="9670"/>
    <cellStyle name="Percent 21 7 2 5 2 2" xfId="16374"/>
    <cellStyle name="Percent 21 7 2 5 2 2 2" xfId="39795"/>
    <cellStyle name="Percent 21 7 2 5 2 3" xfId="33163"/>
    <cellStyle name="Percent 21 7 2 5 3" xfId="13058"/>
    <cellStyle name="Percent 21 7 2 5 3 2" xfId="36479"/>
    <cellStyle name="Percent 21 7 2 5 4" xfId="29847"/>
    <cellStyle name="Percent 21 7 2 6" xfId="8002"/>
    <cellStyle name="Percent 21 7 2 6 2" xfId="14716"/>
    <cellStyle name="Percent 21 7 2 6 2 2" xfId="38137"/>
    <cellStyle name="Percent 21 7 2 6 3" xfId="31505"/>
    <cellStyle name="Percent 21 7 2 7" xfId="11398"/>
    <cellStyle name="Percent 21 7 2 7 2" xfId="34821"/>
    <cellStyle name="Percent 21 7 2 8" xfId="28189"/>
    <cellStyle name="Percent 21 7 3" xfId="2445"/>
    <cellStyle name="Percent 21 7 4" xfId="2703"/>
    <cellStyle name="Percent 21 7 4 2" xfId="5795"/>
    <cellStyle name="Percent 21 7 4 2 2" xfId="7577"/>
    <cellStyle name="Percent 21 7 4 2 2 2" xfId="10906"/>
    <cellStyle name="Percent 21 7 4 2 2 2 2" xfId="17610"/>
    <cellStyle name="Percent 21 7 4 2 2 2 2 2" xfId="41031"/>
    <cellStyle name="Percent 21 7 4 2 2 2 3" xfId="34399"/>
    <cellStyle name="Percent 21 7 4 2 2 3" xfId="14294"/>
    <cellStyle name="Percent 21 7 4 2 2 3 2" xfId="37715"/>
    <cellStyle name="Percent 21 7 4 2 2 4" xfId="31083"/>
    <cellStyle name="Percent 21 7 4 2 3" xfId="9248"/>
    <cellStyle name="Percent 21 7 4 2 3 2" xfId="15952"/>
    <cellStyle name="Percent 21 7 4 2 3 2 2" xfId="39373"/>
    <cellStyle name="Percent 21 7 4 2 3 3" xfId="32741"/>
    <cellStyle name="Percent 21 7 4 2 4" xfId="12636"/>
    <cellStyle name="Percent 21 7 4 2 4 2" xfId="36057"/>
    <cellStyle name="Percent 21 7 4 2 5" xfId="29425"/>
    <cellStyle name="Percent 21 7 4 3" xfId="6678"/>
    <cellStyle name="Percent 21 7 4 3 2" xfId="10010"/>
    <cellStyle name="Percent 21 7 4 3 2 2" xfId="16714"/>
    <cellStyle name="Percent 21 7 4 3 2 2 2" xfId="40135"/>
    <cellStyle name="Percent 21 7 4 3 2 3" xfId="33503"/>
    <cellStyle name="Percent 21 7 4 3 3" xfId="13398"/>
    <cellStyle name="Percent 21 7 4 3 3 2" xfId="36819"/>
    <cellStyle name="Percent 21 7 4 3 4" xfId="30187"/>
    <cellStyle name="Percent 21 7 4 4" xfId="8344"/>
    <cellStyle name="Percent 21 7 4 4 2" xfId="15056"/>
    <cellStyle name="Percent 21 7 4 4 2 2" xfId="38477"/>
    <cellStyle name="Percent 21 7 4 4 3" xfId="31845"/>
    <cellStyle name="Percent 21 7 4 5" xfId="11738"/>
    <cellStyle name="Percent 21 7 4 5 2" xfId="35161"/>
    <cellStyle name="Percent 21 7 4 6" xfId="28529"/>
    <cellStyle name="Percent 21 7 5" xfId="5352"/>
    <cellStyle name="Percent 21 7 5 2" xfId="7214"/>
    <cellStyle name="Percent 21 7 5 2 2" xfId="10545"/>
    <cellStyle name="Percent 21 7 5 2 2 2" xfId="17249"/>
    <cellStyle name="Percent 21 7 5 2 2 2 2" xfId="40670"/>
    <cellStyle name="Percent 21 7 5 2 2 3" xfId="34038"/>
    <cellStyle name="Percent 21 7 5 2 3" xfId="13933"/>
    <cellStyle name="Percent 21 7 5 2 3 2" xfId="37354"/>
    <cellStyle name="Percent 21 7 5 2 4" xfId="30722"/>
    <cellStyle name="Percent 21 7 5 3" xfId="8887"/>
    <cellStyle name="Percent 21 7 5 3 2" xfId="15591"/>
    <cellStyle name="Percent 21 7 5 3 2 2" xfId="39012"/>
    <cellStyle name="Percent 21 7 5 3 3" xfId="32380"/>
    <cellStyle name="Percent 21 7 5 4" xfId="12274"/>
    <cellStyle name="Percent 21 7 5 4 2" xfId="35696"/>
    <cellStyle name="Percent 21 7 5 5" xfId="29064"/>
    <cellStyle name="Percent 21 7 6" xfId="6205"/>
    <cellStyle name="Percent 21 7 6 2" xfId="9539"/>
    <cellStyle name="Percent 21 7 6 2 2" xfId="16243"/>
    <cellStyle name="Percent 21 7 6 2 2 2" xfId="39664"/>
    <cellStyle name="Percent 21 7 6 2 3" xfId="33032"/>
    <cellStyle name="Percent 21 7 6 3" xfId="12927"/>
    <cellStyle name="Percent 21 7 6 3 2" xfId="36348"/>
    <cellStyle name="Percent 21 7 6 4" xfId="29716"/>
    <cellStyle name="Percent 21 7 7" xfId="7871"/>
    <cellStyle name="Percent 21 7 7 2" xfId="14585"/>
    <cellStyle name="Percent 21 7 7 2 2" xfId="38006"/>
    <cellStyle name="Percent 21 7 7 3" xfId="31374"/>
    <cellStyle name="Percent 21 7 8" xfId="11267"/>
    <cellStyle name="Percent 21 7 8 2" xfId="34690"/>
    <cellStyle name="Percent 21 7 9" xfId="28058"/>
    <cellStyle name="Percent 21 8" xfId="18941"/>
    <cellStyle name="Percent 22" xfId="595"/>
    <cellStyle name="Percent 22 2" xfId="596"/>
    <cellStyle name="Percent 22 2 2" xfId="4395"/>
    <cellStyle name="Percent 22 3" xfId="4396"/>
    <cellStyle name="Percent 22 3 2" xfId="4397"/>
    <cellStyle name="Percent 22 4" xfId="4778"/>
    <cellStyle name="Percent 22 4 2" xfId="7158"/>
    <cellStyle name="Percent 22 4 2 2" xfId="10490"/>
    <cellStyle name="Percent 22 4 2 2 2" xfId="17194"/>
    <cellStyle name="Percent 22 4 2 2 2 2" xfId="40615"/>
    <cellStyle name="Percent 22 4 2 2 3" xfId="33983"/>
    <cellStyle name="Percent 22 4 2 3" xfId="13878"/>
    <cellStyle name="Percent 22 4 2 3 2" xfId="37299"/>
    <cellStyle name="Percent 22 4 2 4" xfId="26001"/>
    <cellStyle name="Percent 22 4 2 4 2" xfId="48246"/>
    <cellStyle name="Percent 22 4 2 5" xfId="30667"/>
    <cellStyle name="Percent 22 4 3" xfId="8827"/>
    <cellStyle name="Percent 22 4 3 2" xfId="15536"/>
    <cellStyle name="Percent 22 4 3 2 2" xfId="38957"/>
    <cellStyle name="Percent 22 4 3 3" xfId="32325"/>
    <cellStyle name="Percent 22 4 4" xfId="12218"/>
    <cellStyle name="Percent 22 4 4 2" xfId="35641"/>
    <cellStyle name="Percent 22 4 5" xfId="23458"/>
    <cellStyle name="Percent 22 4 5 2" xfId="45794"/>
    <cellStyle name="Percent 22 4 6" xfId="29009"/>
    <cellStyle name="Percent 22 5" xfId="23253"/>
    <cellStyle name="Percent 22 5 2" xfId="45646"/>
    <cellStyle name="Percent 23" xfId="597"/>
    <cellStyle name="Percent 23 2" xfId="598"/>
    <cellStyle name="Percent 23 2 2" xfId="1332"/>
    <cellStyle name="Percent 23 2 2 2" xfId="5226"/>
    <cellStyle name="Percent 23 2 3" xfId="5241"/>
    <cellStyle name="Percent 23 3" xfId="1333"/>
    <cellStyle name="Percent 23 3 2" xfId="5356"/>
    <cellStyle name="Percent 23 4" xfId="4398"/>
    <cellStyle name="Percent 23 4 2" xfId="5130"/>
    <cellStyle name="Percent 23 4 3" xfId="23817"/>
    <cellStyle name="Percent 23 5" xfId="4777"/>
    <cellStyle name="Percent 23 5 2" xfId="7157"/>
    <cellStyle name="Percent 23 5 2 2" xfId="10489"/>
    <cellStyle name="Percent 23 5 2 2 2" xfId="17193"/>
    <cellStyle name="Percent 23 5 2 2 2 2" xfId="40614"/>
    <cellStyle name="Percent 23 5 2 2 3" xfId="33982"/>
    <cellStyle name="Percent 23 5 2 3" xfId="13877"/>
    <cellStyle name="Percent 23 5 2 3 2" xfId="37298"/>
    <cellStyle name="Percent 23 5 2 4" xfId="26000"/>
    <cellStyle name="Percent 23 5 2 4 2" xfId="48245"/>
    <cellStyle name="Percent 23 5 2 5" xfId="30666"/>
    <cellStyle name="Percent 23 5 3" xfId="8826"/>
    <cellStyle name="Percent 23 5 3 2" xfId="15535"/>
    <cellStyle name="Percent 23 5 3 2 2" xfId="38956"/>
    <cellStyle name="Percent 23 5 3 3" xfId="32324"/>
    <cellStyle name="Percent 23 5 4" xfId="12217"/>
    <cellStyle name="Percent 23 5 4 2" xfId="35640"/>
    <cellStyle name="Percent 23 5 5" xfId="23457"/>
    <cellStyle name="Percent 23 5 5 2" xfId="45793"/>
    <cellStyle name="Percent 23 5 6" xfId="29008"/>
    <cellStyle name="Percent 23 6" xfId="23252"/>
    <cellStyle name="Percent 23 6 2" xfId="45645"/>
    <cellStyle name="Percent 24" xfId="599"/>
    <cellStyle name="Percent 24 2" xfId="600"/>
    <cellStyle name="Percent 24 2 2" xfId="4399"/>
    <cellStyle name="Percent 24 3" xfId="4400"/>
    <cellStyle name="Percent 25" xfId="601"/>
    <cellStyle name="Percent 25 2" xfId="602"/>
    <cellStyle name="Percent 25 2 2" xfId="1334"/>
    <cellStyle name="Percent 25 2 2 2" xfId="5301"/>
    <cellStyle name="Percent 25 2 3" xfId="5240"/>
    <cellStyle name="Percent 25 3" xfId="1335"/>
    <cellStyle name="Percent 25 3 2" xfId="5291"/>
    <cellStyle name="Percent 25 4" xfId="2306"/>
    <cellStyle name="Percent 25 4 2" xfId="5267"/>
    <cellStyle name="Percent 25 5" xfId="18132"/>
    <cellStyle name="Percent 26" xfId="603"/>
    <cellStyle name="Percent 26 2" xfId="604"/>
    <cellStyle name="Percent 26 2 2" xfId="2309"/>
    <cellStyle name="Percent 26 2 2 2" xfId="18358"/>
    <cellStyle name="Percent 26 2 3" xfId="2308"/>
    <cellStyle name="Percent 26 2 4" xfId="20379"/>
    <cellStyle name="Percent 26 3" xfId="2310"/>
    <cellStyle name="Percent 26 3 2" xfId="18359"/>
    <cellStyle name="Percent 26 4" xfId="2307"/>
    <cellStyle name="Percent 26 4 2" xfId="5551"/>
    <cellStyle name="Percent 26 4 3" xfId="5062"/>
    <cellStyle name="Percent 26 5" xfId="20378"/>
    <cellStyle name="Percent 27" xfId="605"/>
    <cellStyle name="Percent 27 2" xfId="606"/>
    <cellStyle name="Percent 27 2 2" xfId="4401"/>
    <cellStyle name="Percent 27 3" xfId="2311"/>
    <cellStyle name="Percent 27 3 2" xfId="18267"/>
    <cellStyle name="Percent 27 4" xfId="5046"/>
    <cellStyle name="Percent 27 4 2" xfId="18133"/>
    <cellStyle name="Percent 28" xfId="607"/>
    <cellStyle name="Percent 28 2" xfId="608"/>
    <cellStyle name="Percent 28 2 2" xfId="4402"/>
    <cellStyle name="Percent 28 3" xfId="4403"/>
    <cellStyle name="Percent 28 4" xfId="5061"/>
    <cellStyle name="Percent 29" xfId="609"/>
    <cellStyle name="Percent 29 2" xfId="610"/>
    <cellStyle name="Percent 29 2 2" xfId="4404"/>
    <cellStyle name="Percent 29 3" xfId="4405"/>
    <cellStyle name="Percent 3" xfId="611"/>
    <cellStyle name="Percent 3 2" xfId="612"/>
    <cellStyle name="Percent 3 2 2" xfId="613"/>
    <cellStyle name="Percent 3 2 2 2" xfId="893"/>
    <cellStyle name="Percent 3 2 2 2 2" xfId="18952"/>
    <cellStyle name="Percent 3 2 2 3" xfId="18951"/>
    <cellStyle name="Percent 3 2 3" xfId="894"/>
    <cellStyle name="Percent 3 2 3 2" xfId="18953"/>
    <cellStyle name="Percent 3 2 4" xfId="1664"/>
    <cellStyle name="Percent 3 2 4 2" xfId="18954"/>
    <cellStyle name="Percent 3 2 5" xfId="1663"/>
    <cellStyle name="Percent 3 3" xfId="614"/>
    <cellStyle name="Percent 3 3 2" xfId="895"/>
    <cellStyle name="Percent 3 3 2 2" xfId="18956"/>
    <cellStyle name="Percent 3 3 3" xfId="18955"/>
    <cellStyle name="Percent 3 4" xfId="896"/>
    <cellStyle name="Percent 3 4 2" xfId="18957"/>
    <cellStyle name="Percent 3 5" xfId="1392"/>
    <cellStyle name="Percent 3 5 10" xfId="7764"/>
    <cellStyle name="Percent 3 5 10 2" xfId="14479"/>
    <cellStyle name="Percent 3 5 10 2 2" xfId="37900"/>
    <cellStyle name="Percent 3 5 10 3" xfId="31268"/>
    <cellStyle name="Percent 3 5 11" xfId="11161"/>
    <cellStyle name="Percent 3 5 11 2" xfId="34584"/>
    <cellStyle name="Percent 3 5 12" xfId="27952"/>
    <cellStyle name="Percent 3 5 2" xfId="1452"/>
    <cellStyle name="Percent 3 5 2 10" xfId="27988"/>
    <cellStyle name="Percent 3 5 2 2" xfId="1666"/>
    <cellStyle name="Percent 3 5 2 3" xfId="1767"/>
    <cellStyle name="Percent 3 5 2 3 2" xfId="2456"/>
    <cellStyle name="Percent 3 5 2 3 3" xfId="2764"/>
    <cellStyle name="Percent 3 5 2 3 3 2" xfId="5856"/>
    <cellStyle name="Percent 3 5 2 3 3 2 2" xfId="7638"/>
    <cellStyle name="Percent 3 5 2 3 3 2 2 2" xfId="10967"/>
    <cellStyle name="Percent 3 5 2 3 3 2 2 2 2" xfId="17671"/>
    <cellStyle name="Percent 3 5 2 3 3 2 2 2 2 2" xfId="41092"/>
    <cellStyle name="Percent 3 5 2 3 3 2 2 2 3" xfId="34460"/>
    <cellStyle name="Percent 3 5 2 3 3 2 2 3" xfId="14355"/>
    <cellStyle name="Percent 3 5 2 3 3 2 2 3 2" xfId="37776"/>
    <cellStyle name="Percent 3 5 2 3 3 2 2 4" xfId="31144"/>
    <cellStyle name="Percent 3 5 2 3 3 2 3" xfId="9309"/>
    <cellStyle name="Percent 3 5 2 3 3 2 3 2" xfId="16013"/>
    <cellStyle name="Percent 3 5 2 3 3 2 3 2 2" xfId="39434"/>
    <cellStyle name="Percent 3 5 2 3 3 2 3 3" xfId="32802"/>
    <cellStyle name="Percent 3 5 2 3 3 2 4" xfId="12697"/>
    <cellStyle name="Percent 3 5 2 3 3 2 4 2" xfId="36118"/>
    <cellStyle name="Percent 3 5 2 3 3 2 5" xfId="29486"/>
    <cellStyle name="Percent 3 5 2 3 3 3" xfId="6739"/>
    <cellStyle name="Percent 3 5 2 3 3 3 2" xfId="10071"/>
    <cellStyle name="Percent 3 5 2 3 3 3 2 2" xfId="16775"/>
    <cellStyle name="Percent 3 5 2 3 3 3 2 2 2" xfId="40196"/>
    <cellStyle name="Percent 3 5 2 3 3 3 2 3" xfId="33564"/>
    <cellStyle name="Percent 3 5 2 3 3 3 3" xfId="13459"/>
    <cellStyle name="Percent 3 5 2 3 3 3 3 2" xfId="36880"/>
    <cellStyle name="Percent 3 5 2 3 3 3 4" xfId="30248"/>
    <cellStyle name="Percent 3 5 2 3 3 4" xfId="8405"/>
    <cellStyle name="Percent 3 5 2 3 3 4 2" xfId="15117"/>
    <cellStyle name="Percent 3 5 2 3 3 4 2 2" xfId="38538"/>
    <cellStyle name="Percent 3 5 2 3 3 4 3" xfId="31906"/>
    <cellStyle name="Percent 3 5 2 3 3 5" xfId="11799"/>
    <cellStyle name="Percent 3 5 2 3 3 5 2" xfId="35222"/>
    <cellStyle name="Percent 3 5 2 3 3 6" xfId="28590"/>
    <cellStyle name="Percent 3 5 2 3 4" xfId="5384"/>
    <cellStyle name="Percent 3 5 2 3 4 2" xfId="7237"/>
    <cellStyle name="Percent 3 5 2 3 4 2 2" xfId="10568"/>
    <cellStyle name="Percent 3 5 2 3 4 2 2 2" xfId="17272"/>
    <cellStyle name="Percent 3 5 2 3 4 2 2 2 2" xfId="40693"/>
    <cellStyle name="Percent 3 5 2 3 4 2 2 3" xfId="34061"/>
    <cellStyle name="Percent 3 5 2 3 4 2 3" xfId="13956"/>
    <cellStyle name="Percent 3 5 2 3 4 2 3 2" xfId="37377"/>
    <cellStyle name="Percent 3 5 2 3 4 2 4" xfId="30745"/>
    <cellStyle name="Percent 3 5 2 3 4 3" xfId="8910"/>
    <cellStyle name="Percent 3 5 2 3 4 3 2" xfId="15614"/>
    <cellStyle name="Percent 3 5 2 3 4 3 2 2" xfId="39035"/>
    <cellStyle name="Percent 3 5 2 3 4 3 3" xfId="32403"/>
    <cellStyle name="Percent 3 5 2 3 4 4" xfId="12297"/>
    <cellStyle name="Percent 3 5 2 3 4 4 2" xfId="35719"/>
    <cellStyle name="Percent 3 5 2 3 4 5" xfId="29087"/>
    <cellStyle name="Percent 3 5 2 3 5" xfId="6266"/>
    <cellStyle name="Percent 3 5 2 3 5 2" xfId="9600"/>
    <cellStyle name="Percent 3 5 2 3 5 2 2" xfId="16304"/>
    <cellStyle name="Percent 3 5 2 3 5 2 2 2" xfId="39725"/>
    <cellStyle name="Percent 3 5 2 3 5 2 3" xfId="33093"/>
    <cellStyle name="Percent 3 5 2 3 5 3" xfId="12988"/>
    <cellStyle name="Percent 3 5 2 3 5 3 2" xfId="36409"/>
    <cellStyle name="Percent 3 5 2 3 5 4" xfId="29777"/>
    <cellStyle name="Percent 3 5 2 3 6" xfId="7932"/>
    <cellStyle name="Percent 3 5 2 3 6 2" xfId="14646"/>
    <cellStyle name="Percent 3 5 2 3 6 2 2" xfId="38067"/>
    <cellStyle name="Percent 3 5 2 3 6 3" xfId="31435"/>
    <cellStyle name="Percent 3 5 2 3 7" xfId="11328"/>
    <cellStyle name="Percent 3 5 2 3 7 2" xfId="34751"/>
    <cellStyle name="Percent 3 5 2 3 8" xfId="28119"/>
    <cellStyle name="Percent 3 5 2 4" xfId="2457"/>
    <cellStyle name="Percent 3 5 2 4 2" xfId="18222"/>
    <cellStyle name="Percent 3 5 2 5" xfId="2632"/>
    <cellStyle name="Percent 3 5 2 5 2" xfId="5725"/>
    <cellStyle name="Percent 3 5 2 5 2 2" xfId="7507"/>
    <cellStyle name="Percent 3 5 2 5 2 2 2" xfId="10836"/>
    <cellStyle name="Percent 3 5 2 5 2 2 2 2" xfId="17540"/>
    <cellStyle name="Percent 3 5 2 5 2 2 2 2 2" xfId="40961"/>
    <cellStyle name="Percent 3 5 2 5 2 2 2 3" xfId="34329"/>
    <cellStyle name="Percent 3 5 2 5 2 2 3" xfId="14224"/>
    <cellStyle name="Percent 3 5 2 5 2 2 3 2" xfId="37645"/>
    <cellStyle name="Percent 3 5 2 5 2 2 4" xfId="31013"/>
    <cellStyle name="Percent 3 5 2 5 2 3" xfId="9178"/>
    <cellStyle name="Percent 3 5 2 5 2 3 2" xfId="15882"/>
    <cellStyle name="Percent 3 5 2 5 2 3 2 2" xfId="39303"/>
    <cellStyle name="Percent 3 5 2 5 2 3 3" xfId="32671"/>
    <cellStyle name="Percent 3 5 2 5 2 4" xfId="12566"/>
    <cellStyle name="Percent 3 5 2 5 2 4 2" xfId="35987"/>
    <cellStyle name="Percent 3 5 2 5 2 5" xfId="18268"/>
    <cellStyle name="Percent 3 5 2 5 2 6" xfId="29355"/>
    <cellStyle name="Percent 3 5 2 5 3" xfId="6608"/>
    <cellStyle name="Percent 3 5 2 5 3 2" xfId="9940"/>
    <cellStyle name="Percent 3 5 2 5 3 2 2" xfId="16644"/>
    <cellStyle name="Percent 3 5 2 5 3 2 2 2" xfId="40065"/>
    <cellStyle name="Percent 3 5 2 5 3 2 3" xfId="33433"/>
    <cellStyle name="Percent 3 5 2 5 3 3" xfId="13328"/>
    <cellStyle name="Percent 3 5 2 5 3 3 2" xfId="36749"/>
    <cellStyle name="Percent 3 5 2 5 3 4" xfId="30117"/>
    <cellStyle name="Percent 3 5 2 5 4" xfId="8274"/>
    <cellStyle name="Percent 3 5 2 5 4 2" xfId="14986"/>
    <cellStyle name="Percent 3 5 2 5 4 2 2" xfId="38407"/>
    <cellStyle name="Percent 3 5 2 5 4 3" xfId="31775"/>
    <cellStyle name="Percent 3 5 2 5 5" xfId="11668"/>
    <cellStyle name="Percent 3 5 2 5 5 2" xfId="35091"/>
    <cellStyle name="Percent 3 5 2 5 6" xfId="17898"/>
    <cellStyle name="Percent 3 5 2 5 7" xfId="28459"/>
    <cellStyle name="Percent 3 5 2 6" xfId="5318"/>
    <cellStyle name="Percent 3 5 2 6 2" xfId="7206"/>
    <cellStyle name="Percent 3 5 2 6 2 2" xfId="10537"/>
    <cellStyle name="Percent 3 5 2 6 2 2 2" xfId="17241"/>
    <cellStyle name="Percent 3 5 2 6 2 2 2 2" xfId="40662"/>
    <cellStyle name="Percent 3 5 2 6 2 2 3" xfId="34030"/>
    <cellStyle name="Percent 3 5 2 6 2 3" xfId="13925"/>
    <cellStyle name="Percent 3 5 2 6 2 3 2" xfId="37346"/>
    <cellStyle name="Percent 3 5 2 6 2 4" xfId="30714"/>
    <cellStyle name="Percent 3 5 2 6 3" xfId="8879"/>
    <cellStyle name="Percent 3 5 2 6 3 2" xfId="15583"/>
    <cellStyle name="Percent 3 5 2 6 3 2 2" xfId="39004"/>
    <cellStyle name="Percent 3 5 2 6 3 3" xfId="32372"/>
    <cellStyle name="Percent 3 5 2 6 4" xfId="12266"/>
    <cellStyle name="Percent 3 5 2 6 4 2" xfId="35688"/>
    <cellStyle name="Percent 3 5 2 6 5" xfId="29056"/>
    <cellStyle name="Percent 3 5 2 7" xfId="6135"/>
    <cellStyle name="Percent 3 5 2 7 2" xfId="9469"/>
    <cellStyle name="Percent 3 5 2 7 2 2" xfId="16173"/>
    <cellStyle name="Percent 3 5 2 7 2 2 2" xfId="39594"/>
    <cellStyle name="Percent 3 5 2 7 2 3" xfId="32962"/>
    <cellStyle name="Percent 3 5 2 7 3" xfId="12857"/>
    <cellStyle name="Percent 3 5 2 7 3 2" xfId="36278"/>
    <cellStyle name="Percent 3 5 2 7 4" xfId="29646"/>
    <cellStyle name="Percent 3 5 2 8" xfId="7801"/>
    <cellStyle name="Percent 3 5 2 8 2" xfId="14515"/>
    <cellStyle name="Percent 3 5 2 8 2 2" xfId="37936"/>
    <cellStyle name="Percent 3 5 2 8 3" xfId="31304"/>
    <cellStyle name="Percent 3 5 2 9" xfId="11197"/>
    <cellStyle name="Percent 3 5 2 9 2" xfId="34620"/>
    <cellStyle name="Percent 3 5 3" xfId="1665"/>
    <cellStyle name="Percent 3 5 4" xfId="1731"/>
    <cellStyle name="Percent 3 5 4 2" xfId="2458"/>
    <cellStyle name="Percent 3 5 4 3" xfId="2728"/>
    <cellStyle name="Percent 3 5 4 3 2" xfId="5820"/>
    <cellStyle name="Percent 3 5 4 3 2 2" xfId="7602"/>
    <cellStyle name="Percent 3 5 4 3 2 2 2" xfId="10931"/>
    <cellStyle name="Percent 3 5 4 3 2 2 2 2" xfId="17635"/>
    <cellStyle name="Percent 3 5 4 3 2 2 2 2 2" xfId="41056"/>
    <cellStyle name="Percent 3 5 4 3 2 2 2 3" xfId="34424"/>
    <cellStyle name="Percent 3 5 4 3 2 2 3" xfId="14319"/>
    <cellStyle name="Percent 3 5 4 3 2 2 3 2" xfId="37740"/>
    <cellStyle name="Percent 3 5 4 3 2 2 4" xfId="31108"/>
    <cellStyle name="Percent 3 5 4 3 2 3" xfId="9273"/>
    <cellStyle name="Percent 3 5 4 3 2 3 2" xfId="15977"/>
    <cellStyle name="Percent 3 5 4 3 2 3 2 2" xfId="39398"/>
    <cellStyle name="Percent 3 5 4 3 2 3 3" xfId="32766"/>
    <cellStyle name="Percent 3 5 4 3 2 4" xfId="12661"/>
    <cellStyle name="Percent 3 5 4 3 2 4 2" xfId="36082"/>
    <cellStyle name="Percent 3 5 4 3 2 5" xfId="29450"/>
    <cellStyle name="Percent 3 5 4 3 3" xfId="6703"/>
    <cellStyle name="Percent 3 5 4 3 3 2" xfId="10035"/>
    <cellStyle name="Percent 3 5 4 3 3 2 2" xfId="16739"/>
    <cellStyle name="Percent 3 5 4 3 3 2 2 2" xfId="40160"/>
    <cellStyle name="Percent 3 5 4 3 3 2 3" xfId="33528"/>
    <cellStyle name="Percent 3 5 4 3 3 3" xfId="13423"/>
    <cellStyle name="Percent 3 5 4 3 3 3 2" xfId="36844"/>
    <cellStyle name="Percent 3 5 4 3 3 4" xfId="30212"/>
    <cellStyle name="Percent 3 5 4 3 4" xfId="8369"/>
    <cellStyle name="Percent 3 5 4 3 4 2" xfId="15081"/>
    <cellStyle name="Percent 3 5 4 3 4 2 2" xfId="38502"/>
    <cellStyle name="Percent 3 5 4 3 4 3" xfId="31870"/>
    <cellStyle name="Percent 3 5 4 3 5" xfId="11763"/>
    <cellStyle name="Percent 3 5 4 3 5 2" xfId="35186"/>
    <cellStyle name="Percent 3 5 4 3 6" xfId="28554"/>
    <cellStyle name="Percent 3 5 4 4" xfId="5370"/>
    <cellStyle name="Percent 3 5 4 4 2" xfId="7224"/>
    <cellStyle name="Percent 3 5 4 4 2 2" xfId="10555"/>
    <cellStyle name="Percent 3 5 4 4 2 2 2" xfId="17259"/>
    <cellStyle name="Percent 3 5 4 4 2 2 2 2" xfId="40680"/>
    <cellStyle name="Percent 3 5 4 4 2 2 3" xfId="34048"/>
    <cellStyle name="Percent 3 5 4 4 2 3" xfId="13943"/>
    <cellStyle name="Percent 3 5 4 4 2 3 2" xfId="37364"/>
    <cellStyle name="Percent 3 5 4 4 2 4" xfId="30732"/>
    <cellStyle name="Percent 3 5 4 4 3" xfId="8897"/>
    <cellStyle name="Percent 3 5 4 4 3 2" xfId="15601"/>
    <cellStyle name="Percent 3 5 4 4 3 2 2" xfId="39022"/>
    <cellStyle name="Percent 3 5 4 4 3 3" xfId="32390"/>
    <cellStyle name="Percent 3 5 4 4 4" xfId="12284"/>
    <cellStyle name="Percent 3 5 4 4 4 2" xfId="35706"/>
    <cellStyle name="Percent 3 5 4 4 5" xfId="29074"/>
    <cellStyle name="Percent 3 5 4 5" xfId="6230"/>
    <cellStyle name="Percent 3 5 4 5 2" xfId="9564"/>
    <cellStyle name="Percent 3 5 4 5 2 2" xfId="16268"/>
    <cellStyle name="Percent 3 5 4 5 2 2 2" xfId="39689"/>
    <cellStyle name="Percent 3 5 4 5 2 3" xfId="33057"/>
    <cellStyle name="Percent 3 5 4 5 3" xfId="12952"/>
    <cellStyle name="Percent 3 5 4 5 3 2" xfId="36373"/>
    <cellStyle name="Percent 3 5 4 5 4" xfId="29741"/>
    <cellStyle name="Percent 3 5 4 6" xfId="7896"/>
    <cellStyle name="Percent 3 5 4 6 2" xfId="14610"/>
    <cellStyle name="Percent 3 5 4 6 2 2" xfId="38031"/>
    <cellStyle name="Percent 3 5 4 6 3" xfId="31399"/>
    <cellStyle name="Percent 3 5 4 7" xfId="11292"/>
    <cellStyle name="Percent 3 5 4 7 2" xfId="34715"/>
    <cellStyle name="Percent 3 5 4 8" xfId="28083"/>
    <cellStyle name="Percent 3 5 5" xfId="2459"/>
    <cellStyle name="Percent 3 5 5 2" xfId="18223"/>
    <cellStyle name="Percent 3 5 6" xfId="2595"/>
    <cellStyle name="Percent 3 5 6 2" xfId="5689"/>
    <cellStyle name="Percent 3 5 6 2 2" xfId="7472"/>
    <cellStyle name="Percent 3 5 6 2 2 2" xfId="10801"/>
    <cellStyle name="Percent 3 5 6 2 2 2 2" xfId="17505"/>
    <cellStyle name="Percent 3 5 6 2 2 2 2 2" xfId="40926"/>
    <cellStyle name="Percent 3 5 6 2 2 2 3" xfId="34294"/>
    <cellStyle name="Percent 3 5 6 2 2 3" xfId="14189"/>
    <cellStyle name="Percent 3 5 6 2 2 3 2" xfId="37610"/>
    <cellStyle name="Percent 3 5 6 2 2 4" xfId="30978"/>
    <cellStyle name="Percent 3 5 6 2 3" xfId="9143"/>
    <cellStyle name="Percent 3 5 6 2 3 2" xfId="15847"/>
    <cellStyle name="Percent 3 5 6 2 3 2 2" xfId="39268"/>
    <cellStyle name="Percent 3 5 6 2 3 3" xfId="32636"/>
    <cellStyle name="Percent 3 5 6 2 4" xfId="12531"/>
    <cellStyle name="Percent 3 5 6 2 4 2" xfId="35952"/>
    <cellStyle name="Percent 3 5 6 2 5" xfId="18269"/>
    <cellStyle name="Percent 3 5 6 2 6" xfId="29320"/>
    <cellStyle name="Percent 3 5 6 3" xfId="6572"/>
    <cellStyle name="Percent 3 5 6 3 2" xfId="9904"/>
    <cellStyle name="Percent 3 5 6 3 2 2" xfId="16608"/>
    <cellStyle name="Percent 3 5 6 3 2 2 2" xfId="40029"/>
    <cellStyle name="Percent 3 5 6 3 2 3" xfId="33397"/>
    <cellStyle name="Percent 3 5 6 3 3" xfId="13292"/>
    <cellStyle name="Percent 3 5 6 3 3 2" xfId="36713"/>
    <cellStyle name="Percent 3 5 6 3 4" xfId="30081"/>
    <cellStyle name="Percent 3 5 6 4" xfId="8238"/>
    <cellStyle name="Percent 3 5 6 4 2" xfId="14950"/>
    <cellStyle name="Percent 3 5 6 4 2 2" xfId="38371"/>
    <cellStyle name="Percent 3 5 6 4 3" xfId="31739"/>
    <cellStyle name="Percent 3 5 6 5" xfId="11632"/>
    <cellStyle name="Percent 3 5 6 5 2" xfId="35055"/>
    <cellStyle name="Percent 3 5 6 6" xfId="20394"/>
    <cellStyle name="Percent 3 5 6 7" xfId="28423"/>
    <cellStyle name="Percent 3 5 7" xfId="5300"/>
    <cellStyle name="Percent 3 5 7 2" xfId="7193"/>
    <cellStyle name="Percent 3 5 7 2 2" xfId="10524"/>
    <cellStyle name="Percent 3 5 7 2 2 2" xfId="17228"/>
    <cellStyle name="Percent 3 5 7 2 2 2 2" xfId="40649"/>
    <cellStyle name="Percent 3 5 7 2 2 3" xfId="34017"/>
    <cellStyle name="Percent 3 5 7 2 3" xfId="13912"/>
    <cellStyle name="Percent 3 5 7 2 3 2" xfId="37333"/>
    <cellStyle name="Percent 3 5 7 2 4" xfId="30701"/>
    <cellStyle name="Percent 3 5 7 3" xfId="8866"/>
    <cellStyle name="Percent 3 5 7 3 2" xfId="15570"/>
    <cellStyle name="Percent 3 5 7 3 2 2" xfId="38991"/>
    <cellStyle name="Percent 3 5 7 3 3" xfId="32359"/>
    <cellStyle name="Percent 3 5 7 4" xfId="12253"/>
    <cellStyle name="Percent 3 5 7 4 2" xfId="35675"/>
    <cellStyle name="Percent 3 5 7 5" xfId="29043"/>
    <cellStyle name="Percent 3 5 8" xfId="4406"/>
    <cellStyle name="Percent 3 5 9" xfId="6099"/>
    <cellStyle name="Percent 3 5 9 2" xfId="9433"/>
    <cellStyle name="Percent 3 5 9 2 2" xfId="16137"/>
    <cellStyle name="Percent 3 5 9 2 2 2" xfId="39558"/>
    <cellStyle name="Percent 3 5 9 2 3" xfId="32926"/>
    <cellStyle name="Percent 3 5 9 3" xfId="12821"/>
    <cellStyle name="Percent 3 5 9 3 2" xfId="36242"/>
    <cellStyle name="Percent 3 5 9 4" xfId="29610"/>
    <cellStyle name="Percent 3 6" xfId="1662"/>
    <cellStyle name="Percent 3 6 2" xfId="2460"/>
    <cellStyle name="Percent 3 7" xfId="4774"/>
    <cellStyle name="Percent 3 7 2" xfId="18134"/>
    <cellStyle name="Percent 30" xfId="615"/>
    <cellStyle name="Percent 30 2" xfId="897"/>
    <cellStyle name="Percent 30 2 2" xfId="18959"/>
    <cellStyle name="Percent 30 3" xfId="18958"/>
    <cellStyle name="Percent 31" xfId="616"/>
    <cellStyle name="Percent 31 2" xfId="4407"/>
    <cellStyle name="Percent 32" xfId="617"/>
    <cellStyle name="Percent 32 2" xfId="1102"/>
    <cellStyle name="Percent 32 2 2" xfId="5934"/>
    <cellStyle name="Percent 32 3" xfId="5355"/>
    <cellStyle name="Percent 33" xfId="618"/>
    <cellStyle name="Percent 33 2" xfId="1103"/>
    <cellStyle name="Percent 33 2 2" xfId="5208"/>
    <cellStyle name="Percent 33 3" xfId="1157"/>
    <cellStyle name="Percent 33 3 2" xfId="18961"/>
    <cellStyle name="Percent 33 4" xfId="18960"/>
    <cellStyle name="Percent 34" xfId="619"/>
    <cellStyle name="Percent 34 2" xfId="898"/>
    <cellStyle name="Percent 34 2 2" xfId="18963"/>
    <cellStyle name="Percent 34 3" xfId="18962"/>
    <cellStyle name="Percent 35" xfId="620"/>
    <cellStyle name="Percent 35 2" xfId="899"/>
    <cellStyle name="Percent 35 2 2" xfId="18965"/>
    <cellStyle name="Percent 35 3" xfId="18964"/>
    <cellStyle name="Percent 36" xfId="621"/>
    <cellStyle name="Percent 36 2" xfId="1104"/>
    <cellStyle name="Percent 36 2 2" xfId="5211"/>
    <cellStyle name="Percent 36 3" xfId="1158"/>
    <cellStyle name="Percent 36 3 2" xfId="18967"/>
    <cellStyle name="Percent 36 4" xfId="18966"/>
    <cellStyle name="Percent 37" xfId="622"/>
    <cellStyle name="Percent 37 2" xfId="758"/>
    <cellStyle name="Percent 37 2 2" xfId="5354"/>
    <cellStyle name="Percent 37 3" xfId="1159"/>
    <cellStyle name="Percent 37 3 2" xfId="18969"/>
    <cellStyle name="Percent 37 4" xfId="18968"/>
    <cellStyle name="Percent 38" xfId="955"/>
    <cellStyle name="Percent 38 2" xfId="1105"/>
    <cellStyle name="Percent 38 2 2" xfId="4408"/>
    <cellStyle name="Percent 38 3" xfId="1170"/>
    <cellStyle name="Percent 38 3 2" xfId="18971"/>
    <cellStyle name="Percent 38 4" xfId="18970"/>
    <cellStyle name="Percent 39" xfId="951"/>
    <cellStyle name="Percent 39 2" xfId="1168"/>
    <cellStyle name="Percent 39 2 2" xfId="4409"/>
    <cellStyle name="Percent 39 3" xfId="4410"/>
    <cellStyle name="Percent 4" xfId="623"/>
    <cellStyle name="Percent 4 2" xfId="624"/>
    <cellStyle name="Percent 4 2 2" xfId="625"/>
    <cellStyle name="Percent 4 2 2 2" xfId="4411"/>
    <cellStyle name="Percent 4 2 3" xfId="4412"/>
    <cellStyle name="Percent 4 2 3 2" xfId="4413"/>
    <cellStyle name="Percent 4 3" xfId="626"/>
    <cellStyle name="Percent 4 3 2" xfId="4414"/>
    <cellStyle name="Percent 4 3 2 2" xfId="4415"/>
    <cellStyle name="Percent 4 3 3" xfId="4776"/>
    <cellStyle name="Percent 4 4" xfId="4416"/>
    <cellStyle name="Percent 4 4 2" xfId="4417"/>
    <cellStyle name="Percent 4 4 3" xfId="4418"/>
    <cellStyle name="Percent 4 5" xfId="4419"/>
    <cellStyle name="Percent 40" xfId="954"/>
    <cellStyle name="Percent 40 2" xfId="4420"/>
    <cellStyle name="Percent 40 2 2" xfId="4421"/>
    <cellStyle name="Percent 40 3" xfId="4422"/>
    <cellStyle name="Percent 41" xfId="950"/>
    <cellStyle name="Percent 41 2" xfId="4423"/>
    <cellStyle name="Percent 42" xfId="956"/>
    <cellStyle name="Percent 42 2" xfId="1171"/>
    <cellStyle name="Percent 42 2 2" xfId="5969"/>
    <cellStyle name="Percent 42 3" xfId="5286"/>
    <cellStyle name="Percent 43" xfId="949"/>
    <cellStyle name="Percent 43 2" xfId="1166"/>
    <cellStyle name="Percent 43 2 2" xfId="5632"/>
    <cellStyle name="Percent 43 3" xfId="5631"/>
    <cellStyle name="Percent 44" xfId="960"/>
    <cellStyle name="Percent 44 2" xfId="1337"/>
    <cellStyle name="Percent 44 2 2" xfId="4425"/>
    <cellStyle name="Percent 44 2 3" xfId="4424"/>
    <cellStyle name="Percent 44 3" xfId="1336"/>
    <cellStyle name="Percent 44 3 2" xfId="18972"/>
    <cellStyle name="Percent 45" xfId="962"/>
    <cellStyle name="Percent 45 2" xfId="1339"/>
    <cellStyle name="Percent 45 2 2" xfId="4427"/>
    <cellStyle name="Percent 45 2 3" xfId="4426"/>
    <cellStyle name="Percent 45 3" xfId="1338"/>
    <cellStyle name="Percent 45 3 2" xfId="18973"/>
    <cellStyle name="Percent 46" xfId="964"/>
    <cellStyle name="Percent 46 2" xfId="1341"/>
    <cellStyle name="Percent 46 2 2" xfId="4429"/>
    <cellStyle name="Percent 46 2 3" xfId="4428"/>
    <cellStyle name="Percent 46 3" xfId="1340"/>
    <cellStyle name="Percent 46 3 2" xfId="18974"/>
    <cellStyle name="Percent 47" xfId="966"/>
    <cellStyle name="Percent 47 2" xfId="1343"/>
    <cellStyle name="Percent 47 2 2" xfId="4431"/>
    <cellStyle name="Percent 47 2 3" xfId="4430"/>
    <cellStyle name="Percent 47 3" xfId="1342"/>
    <cellStyle name="Percent 47 3 2" xfId="18975"/>
    <cellStyle name="Percent 48" xfId="967"/>
    <cellStyle name="Percent 48 2" xfId="1345"/>
    <cellStyle name="Percent 48 2 2" xfId="4433"/>
    <cellStyle name="Percent 48 2 3" xfId="4432"/>
    <cellStyle name="Percent 48 3" xfId="1344"/>
    <cellStyle name="Percent 48 3 2" xfId="18976"/>
    <cellStyle name="Percent 49" xfId="1126"/>
    <cellStyle name="Percent 49 2" xfId="1346"/>
    <cellStyle name="Percent 49 2 2" xfId="5269"/>
    <cellStyle name="Percent 49 3" xfId="5945"/>
    <cellStyle name="Percent 5" xfId="627"/>
    <cellStyle name="Percent 5 2" xfId="628"/>
    <cellStyle name="Percent 5 2 2" xfId="629"/>
    <cellStyle name="Percent 5 2 2 2" xfId="4434"/>
    <cellStyle name="Percent 5 2 3" xfId="4435"/>
    <cellStyle name="Percent 5 3" xfId="630"/>
    <cellStyle name="Percent 5 3 2" xfId="4436"/>
    <cellStyle name="Percent 5 4" xfId="4437"/>
    <cellStyle name="Percent 5 4 2" xfId="4438"/>
    <cellStyle name="Percent 50" xfId="1167"/>
    <cellStyle name="Percent 50 2" xfId="1347"/>
    <cellStyle name="Percent 50 2 2" xfId="5261"/>
    <cellStyle name="Percent 50 3" xfId="5298"/>
    <cellStyle name="Percent 51" xfId="1173"/>
    <cellStyle name="Percent 51 2" xfId="1348"/>
    <cellStyle name="Percent 51 2 2" xfId="5947"/>
    <cellStyle name="Percent 51 3" xfId="5944"/>
    <cellStyle name="Percent 52" xfId="1263"/>
    <cellStyle name="Percent 52 10" xfId="6094"/>
    <cellStyle name="Percent 52 10 2" xfId="9428"/>
    <cellStyle name="Percent 52 10 2 2" xfId="16132"/>
    <cellStyle name="Percent 52 10 2 2 2" xfId="39553"/>
    <cellStyle name="Percent 52 10 2 3" xfId="32921"/>
    <cellStyle name="Percent 52 10 3" xfId="12816"/>
    <cellStyle name="Percent 52 10 3 2" xfId="36237"/>
    <cellStyle name="Percent 52 10 4" xfId="29605"/>
    <cellStyle name="Percent 52 11" xfId="7759"/>
    <cellStyle name="Percent 52 11 2" xfId="14474"/>
    <cellStyle name="Percent 52 11 2 2" xfId="37895"/>
    <cellStyle name="Percent 52 11 3" xfId="31263"/>
    <cellStyle name="Percent 52 12" xfId="11156"/>
    <cellStyle name="Percent 52 12 2" xfId="34579"/>
    <cellStyle name="Percent 52 13" xfId="27947"/>
    <cellStyle name="Percent 52 2" xfId="1350"/>
    <cellStyle name="Percent 52 2 2" xfId="5950"/>
    <cellStyle name="Percent 52 3" xfId="1349"/>
    <cellStyle name="Percent 52 3 2" xfId="18978"/>
    <cellStyle name="Percent 52 4" xfId="1447"/>
    <cellStyle name="Percent 52 4 10" xfId="27983"/>
    <cellStyle name="Percent 52 4 2" xfId="1668"/>
    <cellStyle name="Percent 52 4 3" xfId="1762"/>
    <cellStyle name="Percent 52 4 3 2" xfId="2461"/>
    <cellStyle name="Percent 52 4 3 3" xfId="2759"/>
    <cellStyle name="Percent 52 4 3 3 2" xfId="5851"/>
    <cellStyle name="Percent 52 4 3 3 2 2" xfId="7633"/>
    <cellStyle name="Percent 52 4 3 3 2 2 2" xfId="10962"/>
    <cellStyle name="Percent 52 4 3 3 2 2 2 2" xfId="17666"/>
    <cellStyle name="Percent 52 4 3 3 2 2 2 2 2" xfId="41087"/>
    <cellStyle name="Percent 52 4 3 3 2 2 2 3" xfId="34455"/>
    <cellStyle name="Percent 52 4 3 3 2 2 3" xfId="14350"/>
    <cellStyle name="Percent 52 4 3 3 2 2 3 2" xfId="37771"/>
    <cellStyle name="Percent 52 4 3 3 2 2 4" xfId="31139"/>
    <cellStyle name="Percent 52 4 3 3 2 3" xfId="9304"/>
    <cellStyle name="Percent 52 4 3 3 2 3 2" xfId="16008"/>
    <cellStyle name="Percent 52 4 3 3 2 3 2 2" xfId="39429"/>
    <cellStyle name="Percent 52 4 3 3 2 3 3" xfId="32797"/>
    <cellStyle name="Percent 52 4 3 3 2 4" xfId="12692"/>
    <cellStyle name="Percent 52 4 3 3 2 4 2" xfId="36113"/>
    <cellStyle name="Percent 52 4 3 3 2 5" xfId="29481"/>
    <cellStyle name="Percent 52 4 3 3 3" xfId="6734"/>
    <cellStyle name="Percent 52 4 3 3 3 2" xfId="10066"/>
    <cellStyle name="Percent 52 4 3 3 3 2 2" xfId="16770"/>
    <cellStyle name="Percent 52 4 3 3 3 2 2 2" xfId="40191"/>
    <cellStyle name="Percent 52 4 3 3 3 2 3" xfId="33559"/>
    <cellStyle name="Percent 52 4 3 3 3 3" xfId="13454"/>
    <cellStyle name="Percent 52 4 3 3 3 3 2" xfId="36875"/>
    <cellStyle name="Percent 52 4 3 3 3 4" xfId="30243"/>
    <cellStyle name="Percent 52 4 3 3 4" xfId="8400"/>
    <cellStyle name="Percent 52 4 3 3 4 2" xfId="15112"/>
    <cellStyle name="Percent 52 4 3 3 4 2 2" xfId="38533"/>
    <cellStyle name="Percent 52 4 3 3 4 3" xfId="31901"/>
    <cellStyle name="Percent 52 4 3 3 5" xfId="11794"/>
    <cellStyle name="Percent 52 4 3 3 5 2" xfId="35217"/>
    <cellStyle name="Percent 52 4 3 3 6" xfId="28585"/>
    <cellStyle name="Percent 52 4 3 4" xfId="5383"/>
    <cellStyle name="Percent 52 4 3 4 2" xfId="7236"/>
    <cellStyle name="Percent 52 4 3 4 2 2" xfId="10567"/>
    <cellStyle name="Percent 52 4 3 4 2 2 2" xfId="17271"/>
    <cellStyle name="Percent 52 4 3 4 2 2 2 2" xfId="40692"/>
    <cellStyle name="Percent 52 4 3 4 2 2 3" xfId="34060"/>
    <cellStyle name="Percent 52 4 3 4 2 3" xfId="13955"/>
    <cellStyle name="Percent 52 4 3 4 2 3 2" xfId="37376"/>
    <cellStyle name="Percent 52 4 3 4 2 4" xfId="30744"/>
    <cellStyle name="Percent 52 4 3 4 3" xfId="8909"/>
    <cellStyle name="Percent 52 4 3 4 3 2" xfId="15613"/>
    <cellStyle name="Percent 52 4 3 4 3 2 2" xfId="39034"/>
    <cellStyle name="Percent 52 4 3 4 3 3" xfId="32402"/>
    <cellStyle name="Percent 52 4 3 4 4" xfId="12296"/>
    <cellStyle name="Percent 52 4 3 4 4 2" xfId="35718"/>
    <cellStyle name="Percent 52 4 3 4 5" xfId="29086"/>
    <cellStyle name="Percent 52 4 3 5" xfId="6261"/>
    <cellStyle name="Percent 52 4 3 5 2" xfId="9595"/>
    <cellStyle name="Percent 52 4 3 5 2 2" xfId="16299"/>
    <cellStyle name="Percent 52 4 3 5 2 2 2" xfId="39720"/>
    <cellStyle name="Percent 52 4 3 5 2 3" xfId="33088"/>
    <cellStyle name="Percent 52 4 3 5 3" xfId="12983"/>
    <cellStyle name="Percent 52 4 3 5 3 2" xfId="36404"/>
    <cellStyle name="Percent 52 4 3 5 4" xfId="29772"/>
    <cellStyle name="Percent 52 4 3 6" xfId="7927"/>
    <cellStyle name="Percent 52 4 3 6 2" xfId="14641"/>
    <cellStyle name="Percent 52 4 3 6 2 2" xfId="38062"/>
    <cellStyle name="Percent 52 4 3 6 3" xfId="31430"/>
    <cellStyle name="Percent 52 4 3 7" xfId="11323"/>
    <cellStyle name="Percent 52 4 3 7 2" xfId="34746"/>
    <cellStyle name="Percent 52 4 3 8" xfId="28114"/>
    <cellStyle name="Percent 52 4 4" xfId="2462"/>
    <cellStyle name="Percent 52 4 4 2" xfId="18230"/>
    <cellStyle name="Percent 52 4 5" xfId="2627"/>
    <cellStyle name="Percent 52 4 5 2" xfId="5720"/>
    <cellStyle name="Percent 52 4 5 2 2" xfId="7502"/>
    <cellStyle name="Percent 52 4 5 2 2 2" xfId="10831"/>
    <cellStyle name="Percent 52 4 5 2 2 2 2" xfId="17535"/>
    <cellStyle name="Percent 52 4 5 2 2 2 2 2" xfId="40956"/>
    <cellStyle name="Percent 52 4 5 2 2 2 3" xfId="34324"/>
    <cellStyle name="Percent 52 4 5 2 2 3" xfId="14219"/>
    <cellStyle name="Percent 52 4 5 2 2 3 2" xfId="37640"/>
    <cellStyle name="Percent 52 4 5 2 2 4" xfId="31008"/>
    <cellStyle name="Percent 52 4 5 2 3" xfId="9173"/>
    <cellStyle name="Percent 52 4 5 2 3 2" xfId="15877"/>
    <cellStyle name="Percent 52 4 5 2 3 2 2" xfId="39298"/>
    <cellStyle name="Percent 52 4 5 2 3 3" xfId="32666"/>
    <cellStyle name="Percent 52 4 5 2 4" xfId="12561"/>
    <cellStyle name="Percent 52 4 5 2 4 2" xfId="35982"/>
    <cellStyle name="Percent 52 4 5 2 5" xfId="18270"/>
    <cellStyle name="Percent 52 4 5 2 6" xfId="29350"/>
    <cellStyle name="Percent 52 4 5 3" xfId="6603"/>
    <cellStyle name="Percent 52 4 5 3 2" xfId="9935"/>
    <cellStyle name="Percent 52 4 5 3 2 2" xfId="16639"/>
    <cellStyle name="Percent 52 4 5 3 2 2 2" xfId="40060"/>
    <cellStyle name="Percent 52 4 5 3 2 3" xfId="33428"/>
    <cellStyle name="Percent 52 4 5 3 3" xfId="13323"/>
    <cellStyle name="Percent 52 4 5 3 3 2" xfId="36744"/>
    <cellStyle name="Percent 52 4 5 3 4" xfId="30112"/>
    <cellStyle name="Percent 52 4 5 4" xfId="8269"/>
    <cellStyle name="Percent 52 4 5 4 2" xfId="14981"/>
    <cellStyle name="Percent 52 4 5 4 2 2" xfId="38402"/>
    <cellStyle name="Percent 52 4 5 4 3" xfId="31770"/>
    <cellStyle name="Percent 52 4 5 5" xfId="11663"/>
    <cellStyle name="Percent 52 4 5 5 2" xfId="35086"/>
    <cellStyle name="Percent 52 4 5 6" xfId="20393"/>
    <cellStyle name="Percent 52 4 5 7" xfId="28454"/>
    <cellStyle name="Percent 52 4 6" xfId="5316"/>
    <cellStyle name="Percent 52 4 6 2" xfId="7205"/>
    <cellStyle name="Percent 52 4 6 2 2" xfId="10536"/>
    <cellStyle name="Percent 52 4 6 2 2 2" xfId="17240"/>
    <cellStyle name="Percent 52 4 6 2 2 2 2" xfId="40661"/>
    <cellStyle name="Percent 52 4 6 2 2 3" xfId="34029"/>
    <cellStyle name="Percent 52 4 6 2 3" xfId="13924"/>
    <cellStyle name="Percent 52 4 6 2 3 2" xfId="37345"/>
    <cellStyle name="Percent 52 4 6 2 4" xfId="30713"/>
    <cellStyle name="Percent 52 4 6 3" xfId="8878"/>
    <cellStyle name="Percent 52 4 6 3 2" xfId="15582"/>
    <cellStyle name="Percent 52 4 6 3 2 2" xfId="39003"/>
    <cellStyle name="Percent 52 4 6 3 3" xfId="32371"/>
    <cellStyle name="Percent 52 4 6 4" xfId="12265"/>
    <cellStyle name="Percent 52 4 6 4 2" xfId="35687"/>
    <cellStyle name="Percent 52 4 6 5" xfId="29055"/>
    <cellStyle name="Percent 52 4 7" xfId="6130"/>
    <cellStyle name="Percent 52 4 7 2" xfId="9464"/>
    <cellStyle name="Percent 52 4 7 2 2" xfId="16168"/>
    <cellStyle name="Percent 52 4 7 2 2 2" xfId="39589"/>
    <cellStyle name="Percent 52 4 7 2 3" xfId="32957"/>
    <cellStyle name="Percent 52 4 7 3" xfId="12852"/>
    <cellStyle name="Percent 52 4 7 3 2" xfId="36273"/>
    <cellStyle name="Percent 52 4 7 4" xfId="29641"/>
    <cellStyle name="Percent 52 4 8" xfId="7796"/>
    <cellStyle name="Percent 52 4 8 2" xfId="14510"/>
    <cellStyle name="Percent 52 4 8 2 2" xfId="37931"/>
    <cellStyle name="Percent 52 4 8 3" xfId="31299"/>
    <cellStyle name="Percent 52 4 9" xfId="11192"/>
    <cellStyle name="Percent 52 4 9 2" xfId="34615"/>
    <cellStyle name="Percent 52 5" xfId="1667"/>
    <cellStyle name="Percent 52 6" xfId="1725"/>
    <cellStyle name="Percent 52 6 2" xfId="2463"/>
    <cellStyle name="Percent 52 6 3" xfId="2723"/>
    <cellStyle name="Percent 52 6 3 2" xfId="5815"/>
    <cellStyle name="Percent 52 6 3 2 2" xfId="7597"/>
    <cellStyle name="Percent 52 6 3 2 2 2" xfId="10926"/>
    <cellStyle name="Percent 52 6 3 2 2 2 2" xfId="17630"/>
    <cellStyle name="Percent 52 6 3 2 2 2 2 2" xfId="41051"/>
    <cellStyle name="Percent 52 6 3 2 2 2 3" xfId="34419"/>
    <cellStyle name="Percent 52 6 3 2 2 3" xfId="14314"/>
    <cellStyle name="Percent 52 6 3 2 2 3 2" xfId="37735"/>
    <cellStyle name="Percent 52 6 3 2 2 4" xfId="31103"/>
    <cellStyle name="Percent 52 6 3 2 3" xfId="9268"/>
    <cellStyle name="Percent 52 6 3 2 3 2" xfId="15972"/>
    <cellStyle name="Percent 52 6 3 2 3 2 2" xfId="39393"/>
    <cellStyle name="Percent 52 6 3 2 3 3" xfId="32761"/>
    <cellStyle name="Percent 52 6 3 2 4" xfId="12656"/>
    <cellStyle name="Percent 52 6 3 2 4 2" xfId="36077"/>
    <cellStyle name="Percent 52 6 3 2 5" xfId="29445"/>
    <cellStyle name="Percent 52 6 3 3" xfId="6698"/>
    <cellStyle name="Percent 52 6 3 3 2" xfId="10030"/>
    <cellStyle name="Percent 52 6 3 3 2 2" xfId="16734"/>
    <cellStyle name="Percent 52 6 3 3 2 2 2" xfId="40155"/>
    <cellStyle name="Percent 52 6 3 3 2 3" xfId="33523"/>
    <cellStyle name="Percent 52 6 3 3 3" xfId="13418"/>
    <cellStyle name="Percent 52 6 3 3 3 2" xfId="36839"/>
    <cellStyle name="Percent 52 6 3 3 4" xfId="30207"/>
    <cellStyle name="Percent 52 6 3 4" xfId="8364"/>
    <cellStyle name="Percent 52 6 3 4 2" xfId="15076"/>
    <cellStyle name="Percent 52 6 3 4 2 2" xfId="38497"/>
    <cellStyle name="Percent 52 6 3 4 3" xfId="31865"/>
    <cellStyle name="Percent 52 6 3 5" xfId="11758"/>
    <cellStyle name="Percent 52 6 3 5 2" xfId="35181"/>
    <cellStyle name="Percent 52 6 3 6" xfId="28549"/>
    <cellStyle name="Percent 52 6 4" xfId="5369"/>
    <cellStyle name="Percent 52 6 4 2" xfId="7223"/>
    <cellStyle name="Percent 52 6 4 2 2" xfId="10554"/>
    <cellStyle name="Percent 52 6 4 2 2 2" xfId="17258"/>
    <cellStyle name="Percent 52 6 4 2 2 2 2" xfId="40679"/>
    <cellStyle name="Percent 52 6 4 2 2 3" xfId="34047"/>
    <cellStyle name="Percent 52 6 4 2 3" xfId="13942"/>
    <cellStyle name="Percent 52 6 4 2 3 2" xfId="37363"/>
    <cellStyle name="Percent 52 6 4 2 4" xfId="30731"/>
    <cellStyle name="Percent 52 6 4 3" xfId="8896"/>
    <cellStyle name="Percent 52 6 4 3 2" xfId="15600"/>
    <cellStyle name="Percent 52 6 4 3 2 2" xfId="39021"/>
    <cellStyle name="Percent 52 6 4 3 3" xfId="32389"/>
    <cellStyle name="Percent 52 6 4 4" xfId="12283"/>
    <cellStyle name="Percent 52 6 4 4 2" xfId="35705"/>
    <cellStyle name="Percent 52 6 4 5" xfId="29073"/>
    <cellStyle name="Percent 52 6 5" xfId="6225"/>
    <cellStyle name="Percent 52 6 5 2" xfId="9559"/>
    <cellStyle name="Percent 52 6 5 2 2" xfId="16263"/>
    <cellStyle name="Percent 52 6 5 2 2 2" xfId="39684"/>
    <cellStyle name="Percent 52 6 5 2 3" xfId="33052"/>
    <cellStyle name="Percent 52 6 5 3" xfId="12947"/>
    <cellStyle name="Percent 52 6 5 3 2" xfId="36368"/>
    <cellStyle name="Percent 52 6 5 4" xfId="29736"/>
    <cellStyle name="Percent 52 6 6" xfId="7891"/>
    <cellStyle name="Percent 52 6 6 2" xfId="14605"/>
    <cellStyle name="Percent 52 6 6 2 2" xfId="38026"/>
    <cellStyle name="Percent 52 6 6 3" xfId="31394"/>
    <cellStyle name="Percent 52 6 7" xfId="11287"/>
    <cellStyle name="Percent 52 6 7 2" xfId="34710"/>
    <cellStyle name="Percent 52 6 8" xfId="28078"/>
    <cellStyle name="Percent 52 7" xfId="2464"/>
    <cellStyle name="Percent 52 7 2" xfId="18232"/>
    <cellStyle name="Percent 52 8" xfId="2590"/>
    <cellStyle name="Percent 52 8 2" xfId="5684"/>
    <cellStyle name="Percent 52 8 2 2" xfId="7467"/>
    <cellStyle name="Percent 52 8 2 2 2" xfId="10796"/>
    <cellStyle name="Percent 52 8 2 2 2 2" xfId="17500"/>
    <cellStyle name="Percent 52 8 2 2 2 2 2" xfId="40921"/>
    <cellStyle name="Percent 52 8 2 2 2 3" xfId="34289"/>
    <cellStyle name="Percent 52 8 2 2 3" xfId="14184"/>
    <cellStyle name="Percent 52 8 2 2 3 2" xfId="37605"/>
    <cellStyle name="Percent 52 8 2 2 4" xfId="30973"/>
    <cellStyle name="Percent 52 8 2 3" xfId="9138"/>
    <cellStyle name="Percent 52 8 2 3 2" xfId="15842"/>
    <cellStyle name="Percent 52 8 2 3 2 2" xfId="39263"/>
    <cellStyle name="Percent 52 8 2 3 3" xfId="32631"/>
    <cellStyle name="Percent 52 8 2 4" xfId="12526"/>
    <cellStyle name="Percent 52 8 2 4 2" xfId="35947"/>
    <cellStyle name="Percent 52 8 2 5" xfId="18271"/>
    <cellStyle name="Percent 52 8 2 6" xfId="29315"/>
    <cellStyle name="Percent 52 8 3" xfId="6567"/>
    <cellStyle name="Percent 52 8 3 2" xfId="9899"/>
    <cellStyle name="Percent 52 8 3 2 2" xfId="16603"/>
    <cellStyle name="Percent 52 8 3 2 2 2" xfId="40024"/>
    <cellStyle name="Percent 52 8 3 2 3" xfId="33392"/>
    <cellStyle name="Percent 52 8 3 3" xfId="13287"/>
    <cellStyle name="Percent 52 8 3 3 2" xfId="36708"/>
    <cellStyle name="Percent 52 8 3 4" xfId="30076"/>
    <cellStyle name="Percent 52 8 4" xfId="8233"/>
    <cellStyle name="Percent 52 8 4 2" xfId="14945"/>
    <cellStyle name="Percent 52 8 4 2 2" xfId="38366"/>
    <cellStyle name="Percent 52 8 4 3" xfId="31734"/>
    <cellStyle name="Percent 52 8 5" xfId="11627"/>
    <cellStyle name="Percent 52 8 5 2" xfId="35050"/>
    <cellStyle name="Percent 52 8 6" xfId="17933"/>
    <cellStyle name="Percent 52 8 7" xfId="28418"/>
    <cellStyle name="Percent 52 9" xfId="5285"/>
    <cellStyle name="Percent 52 9 2" xfId="7192"/>
    <cellStyle name="Percent 52 9 2 2" xfId="10523"/>
    <cellStyle name="Percent 52 9 2 2 2" xfId="17227"/>
    <cellStyle name="Percent 52 9 2 2 2 2" xfId="40648"/>
    <cellStyle name="Percent 52 9 2 2 3" xfId="34016"/>
    <cellStyle name="Percent 52 9 2 3" xfId="13911"/>
    <cellStyle name="Percent 52 9 2 3 2" xfId="37332"/>
    <cellStyle name="Percent 52 9 2 4" xfId="30700"/>
    <cellStyle name="Percent 52 9 3" xfId="8864"/>
    <cellStyle name="Percent 52 9 3 2" xfId="15569"/>
    <cellStyle name="Percent 52 9 3 2 2" xfId="38990"/>
    <cellStyle name="Percent 52 9 3 3" xfId="32358"/>
    <cellStyle name="Percent 52 9 4" xfId="12252"/>
    <cellStyle name="Percent 52 9 4 2" xfId="35674"/>
    <cellStyle name="Percent 52 9 5" xfId="29042"/>
    <cellStyle name="Percent 53" xfId="1259"/>
    <cellStyle name="Percent 53 10" xfId="6091"/>
    <cellStyle name="Percent 53 10 2" xfId="9425"/>
    <cellStyle name="Percent 53 10 2 2" xfId="16129"/>
    <cellStyle name="Percent 53 10 2 2 2" xfId="39550"/>
    <cellStyle name="Percent 53 10 2 3" xfId="32918"/>
    <cellStyle name="Percent 53 10 3" xfId="12813"/>
    <cellStyle name="Percent 53 10 3 2" xfId="36234"/>
    <cellStyle name="Percent 53 10 4" xfId="29602"/>
    <cellStyle name="Percent 53 11" xfId="7756"/>
    <cellStyle name="Percent 53 11 2" xfId="14471"/>
    <cellStyle name="Percent 53 11 2 2" xfId="37892"/>
    <cellStyle name="Percent 53 11 3" xfId="31260"/>
    <cellStyle name="Percent 53 12" xfId="11153"/>
    <cellStyle name="Percent 53 12 2" xfId="34576"/>
    <cellStyle name="Percent 53 13" xfId="27944"/>
    <cellStyle name="Percent 53 2" xfId="1352"/>
    <cellStyle name="Percent 53 2 2" xfId="6006"/>
    <cellStyle name="Percent 53 3" xfId="1351"/>
    <cellStyle name="Percent 53 3 2" xfId="18980"/>
    <cellStyle name="Percent 53 4" xfId="1444"/>
    <cellStyle name="Percent 53 4 10" xfId="27980"/>
    <cellStyle name="Percent 53 4 2" xfId="1670"/>
    <cellStyle name="Percent 53 4 3" xfId="1759"/>
    <cellStyle name="Percent 53 4 3 2" xfId="2465"/>
    <cellStyle name="Percent 53 4 3 3" xfId="2756"/>
    <cellStyle name="Percent 53 4 3 3 2" xfId="5848"/>
    <cellStyle name="Percent 53 4 3 3 2 2" xfId="7630"/>
    <cellStyle name="Percent 53 4 3 3 2 2 2" xfId="10959"/>
    <cellStyle name="Percent 53 4 3 3 2 2 2 2" xfId="17663"/>
    <cellStyle name="Percent 53 4 3 3 2 2 2 2 2" xfId="41084"/>
    <cellStyle name="Percent 53 4 3 3 2 2 2 3" xfId="34452"/>
    <cellStyle name="Percent 53 4 3 3 2 2 3" xfId="14347"/>
    <cellStyle name="Percent 53 4 3 3 2 2 3 2" xfId="37768"/>
    <cellStyle name="Percent 53 4 3 3 2 2 4" xfId="31136"/>
    <cellStyle name="Percent 53 4 3 3 2 3" xfId="9301"/>
    <cellStyle name="Percent 53 4 3 3 2 3 2" xfId="16005"/>
    <cellStyle name="Percent 53 4 3 3 2 3 2 2" xfId="39426"/>
    <cellStyle name="Percent 53 4 3 3 2 3 3" xfId="32794"/>
    <cellStyle name="Percent 53 4 3 3 2 4" xfId="12689"/>
    <cellStyle name="Percent 53 4 3 3 2 4 2" xfId="36110"/>
    <cellStyle name="Percent 53 4 3 3 2 5" xfId="29478"/>
    <cellStyle name="Percent 53 4 3 3 3" xfId="6731"/>
    <cellStyle name="Percent 53 4 3 3 3 2" xfId="10063"/>
    <cellStyle name="Percent 53 4 3 3 3 2 2" xfId="16767"/>
    <cellStyle name="Percent 53 4 3 3 3 2 2 2" xfId="40188"/>
    <cellStyle name="Percent 53 4 3 3 3 2 3" xfId="33556"/>
    <cellStyle name="Percent 53 4 3 3 3 3" xfId="13451"/>
    <cellStyle name="Percent 53 4 3 3 3 3 2" xfId="36872"/>
    <cellStyle name="Percent 53 4 3 3 3 4" xfId="30240"/>
    <cellStyle name="Percent 53 4 3 3 4" xfId="8397"/>
    <cellStyle name="Percent 53 4 3 3 4 2" xfId="15109"/>
    <cellStyle name="Percent 53 4 3 3 4 2 2" xfId="38530"/>
    <cellStyle name="Percent 53 4 3 3 4 3" xfId="31898"/>
    <cellStyle name="Percent 53 4 3 3 5" xfId="11791"/>
    <cellStyle name="Percent 53 4 3 3 5 2" xfId="35214"/>
    <cellStyle name="Percent 53 4 3 3 6" xfId="28582"/>
    <cellStyle name="Percent 53 4 3 4" xfId="5381"/>
    <cellStyle name="Percent 53 4 3 4 2" xfId="7234"/>
    <cellStyle name="Percent 53 4 3 4 2 2" xfId="10565"/>
    <cellStyle name="Percent 53 4 3 4 2 2 2" xfId="17269"/>
    <cellStyle name="Percent 53 4 3 4 2 2 2 2" xfId="40690"/>
    <cellStyle name="Percent 53 4 3 4 2 2 3" xfId="34058"/>
    <cellStyle name="Percent 53 4 3 4 2 3" xfId="13953"/>
    <cellStyle name="Percent 53 4 3 4 2 3 2" xfId="37374"/>
    <cellStyle name="Percent 53 4 3 4 2 4" xfId="30742"/>
    <cellStyle name="Percent 53 4 3 4 3" xfId="8907"/>
    <cellStyle name="Percent 53 4 3 4 3 2" xfId="15611"/>
    <cellStyle name="Percent 53 4 3 4 3 2 2" xfId="39032"/>
    <cellStyle name="Percent 53 4 3 4 3 3" xfId="32400"/>
    <cellStyle name="Percent 53 4 3 4 4" xfId="12294"/>
    <cellStyle name="Percent 53 4 3 4 4 2" xfId="35716"/>
    <cellStyle name="Percent 53 4 3 4 5" xfId="29084"/>
    <cellStyle name="Percent 53 4 3 5" xfId="6258"/>
    <cellStyle name="Percent 53 4 3 5 2" xfId="9592"/>
    <cellStyle name="Percent 53 4 3 5 2 2" xfId="16296"/>
    <cellStyle name="Percent 53 4 3 5 2 2 2" xfId="39717"/>
    <cellStyle name="Percent 53 4 3 5 2 3" xfId="33085"/>
    <cellStyle name="Percent 53 4 3 5 3" xfId="12980"/>
    <cellStyle name="Percent 53 4 3 5 3 2" xfId="36401"/>
    <cellStyle name="Percent 53 4 3 5 4" xfId="29769"/>
    <cellStyle name="Percent 53 4 3 6" xfId="7924"/>
    <cellStyle name="Percent 53 4 3 6 2" xfId="14638"/>
    <cellStyle name="Percent 53 4 3 6 2 2" xfId="38059"/>
    <cellStyle name="Percent 53 4 3 6 3" xfId="31427"/>
    <cellStyle name="Percent 53 4 3 7" xfId="11320"/>
    <cellStyle name="Percent 53 4 3 7 2" xfId="34743"/>
    <cellStyle name="Percent 53 4 3 8" xfId="28111"/>
    <cellStyle name="Percent 53 4 4" xfId="2466"/>
    <cellStyle name="Percent 53 4 4 2" xfId="18239"/>
    <cellStyle name="Percent 53 4 5" xfId="2624"/>
    <cellStyle name="Percent 53 4 5 2" xfId="5717"/>
    <cellStyle name="Percent 53 4 5 2 2" xfId="7499"/>
    <cellStyle name="Percent 53 4 5 2 2 2" xfId="10828"/>
    <cellStyle name="Percent 53 4 5 2 2 2 2" xfId="17532"/>
    <cellStyle name="Percent 53 4 5 2 2 2 2 2" xfId="40953"/>
    <cellStyle name="Percent 53 4 5 2 2 2 3" xfId="34321"/>
    <cellStyle name="Percent 53 4 5 2 2 3" xfId="14216"/>
    <cellStyle name="Percent 53 4 5 2 2 3 2" xfId="37637"/>
    <cellStyle name="Percent 53 4 5 2 2 4" xfId="31005"/>
    <cellStyle name="Percent 53 4 5 2 3" xfId="9170"/>
    <cellStyle name="Percent 53 4 5 2 3 2" xfId="15874"/>
    <cellStyle name="Percent 53 4 5 2 3 2 2" xfId="39295"/>
    <cellStyle name="Percent 53 4 5 2 3 3" xfId="32663"/>
    <cellStyle name="Percent 53 4 5 2 4" xfId="12558"/>
    <cellStyle name="Percent 53 4 5 2 4 2" xfId="35979"/>
    <cellStyle name="Percent 53 4 5 2 5" xfId="18272"/>
    <cellStyle name="Percent 53 4 5 2 6" xfId="29347"/>
    <cellStyle name="Percent 53 4 5 3" xfId="6600"/>
    <cellStyle name="Percent 53 4 5 3 2" xfId="9932"/>
    <cellStyle name="Percent 53 4 5 3 2 2" xfId="16636"/>
    <cellStyle name="Percent 53 4 5 3 2 2 2" xfId="40057"/>
    <cellStyle name="Percent 53 4 5 3 2 3" xfId="33425"/>
    <cellStyle name="Percent 53 4 5 3 3" xfId="13320"/>
    <cellStyle name="Percent 53 4 5 3 3 2" xfId="36741"/>
    <cellStyle name="Percent 53 4 5 3 4" xfId="30109"/>
    <cellStyle name="Percent 53 4 5 4" xfId="8266"/>
    <cellStyle name="Percent 53 4 5 4 2" xfId="14978"/>
    <cellStyle name="Percent 53 4 5 4 2 2" xfId="38399"/>
    <cellStyle name="Percent 53 4 5 4 3" xfId="31767"/>
    <cellStyle name="Percent 53 4 5 5" xfId="11660"/>
    <cellStyle name="Percent 53 4 5 5 2" xfId="35083"/>
    <cellStyle name="Percent 53 4 5 6" xfId="20392"/>
    <cellStyle name="Percent 53 4 5 7" xfId="28451"/>
    <cellStyle name="Percent 53 4 6" xfId="5314"/>
    <cellStyle name="Percent 53 4 6 2" xfId="7203"/>
    <cellStyle name="Percent 53 4 6 2 2" xfId="10534"/>
    <cellStyle name="Percent 53 4 6 2 2 2" xfId="17238"/>
    <cellStyle name="Percent 53 4 6 2 2 2 2" xfId="40659"/>
    <cellStyle name="Percent 53 4 6 2 2 3" xfId="34027"/>
    <cellStyle name="Percent 53 4 6 2 3" xfId="13922"/>
    <cellStyle name="Percent 53 4 6 2 3 2" xfId="37343"/>
    <cellStyle name="Percent 53 4 6 2 4" xfId="30711"/>
    <cellStyle name="Percent 53 4 6 3" xfId="8876"/>
    <cellStyle name="Percent 53 4 6 3 2" xfId="15580"/>
    <cellStyle name="Percent 53 4 6 3 2 2" xfId="39001"/>
    <cellStyle name="Percent 53 4 6 3 3" xfId="32369"/>
    <cellStyle name="Percent 53 4 6 4" xfId="12263"/>
    <cellStyle name="Percent 53 4 6 4 2" xfId="35685"/>
    <cellStyle name="Percent 53 4 6 5" xfId="29053"/>
    <cellStyle name="Percent 53 4 7" xfId="6127"/>
    <cellStyle name="Percent 53 4 7 2" xfId="9461"/>
    <cellStyle name="Percent 53 4 7 2 2" xfId="16165"/>
    <cellStyle name="Percent 53 4 7 2 2 2" xfId="39586"/>
    <cellStyle name="Percent 53 4 7 2 3" xfId="32954"/>
    <cellStyle name="Percent 53 4 7 3" xfId="12849"/>
    <cellStyle name="Percent 53 4 7 3 2" xfId="36270"/>
    <cellStyle name="Percent 53 4 7 4" xfId="29638"/>
    <cellStyle name="Percent 53 4 8" xfId="7793"/>
    <cellStyle name="Percent 53 4 8 2" xfId="14507"/>
    <cellStyle name="Percent 53 4 8 2 2" xfId="37928"/>
    <cellStyle name="Percent 53 4 8 3" xfId="31296"/>
    <cellStyle name="Percent 53 4 9" xfId="11189"/>
    <cellStyle name="Percent 53 4 9 2" xfId="34612"/>
    <cellStyle name="Percent 53 5" xfId="1669"/>
    <cellStyle name="Percent 53 6" xfId="1722"/>
    <cellStyle name="Percent 53 6 2" xfId="2467"/>
    <cellStyle name="Percent 53 6 3" xfId="2720"/>
    <cellStyle name="Percent 53 6 3 2" xfId="5812"/>
    <cellStyle name="Percent 53 6 3 2 2" xfId="7594"/>
    <cellStyle name="Percent 53 6 3 2 2 2" xfId="10923"/>
    <cellStyle name="Percent 53 6 3 2 2 2 2" xfId="17627"/>
    <cellStyle name="Percent 53 6 3 2 2 2 2 2" xfId="41048"/>
    <cellStyle name="Percent 53 6 3 2 2 2 3" xfId="34416"/>
    <cellStyle name="Percent 53 6 3 2 2 3" xfId="14311"/>
    <cellStyle name="Percent 53 6 3 2 2 3 2" xfId="37732"/>
    <cellStyle name="Percent 53 6 3 2 2 4" xfId="31100"/>
    <cellStyle name="Percent 53 6 3 2 3" xfId="9265"/>
    <cellStyle name="Percent 53 6 3 2 3 2" xfId="15969"/>
    <cellStyle name="Percent 53 6 3 2 3 2 2" xfId="39390"/>
    <cellStyle name="Percent 53 6 3 2 3 3" xfId="32758"/>
    <cellStyle name="Percent 53 6 3 2 4" xfId="12653"/>
    <cellStyle name="Percent 53 6 3 2 4 2" xfId="36074"/>
    <cellStyle name="Percent 53 6 3 2 5" xfId="29442"/>
    <cellStyle name="Percent 53 6 3 3" xfId="6695"/>
    <cellStyle name="Percent 53 6 3 3 2" xfId="10027"/>
    <cellStyle name="Percent 53 6 3 3 2 2" xfId="16731"/>
    <cellStyle name="Percent 53 6 3 3 2 2 2" xfId="40152"/>
    <cellStyle name="Percent 53 6 3 3 2 3" xfId="33520"/>
    <cellStyle name="Percent 53 6 3 3 3" xfId="13415"/>
    <cellStyle name="Percent 53 6 3 3 3 2" xfId="36836"/>
    <cellStyle name="Percent 53 6 3 3 4" xfId="30204"/>
    <cellStyle name="Percent 53 6 3 4" xfId="8361"/>
    <cellStyle name="Percent 53 6 3 4 2" xfId="15073"/>
    <cellStyle name="Percent 53 6 3 4 2 2" xfId="38494"/>
    <cellStyle name="Percent 53 6 3 4 3" xfId="31862"/>
    <cellStyle name="Percent 53 6 3 5" xfId="11755"/>
    <cellStyle name="Percent 53 6 3 5 2" xfId="35178"/>
    <cellStyle name="Percent 53 6 3 6" xfId="28546"/>
    <cellStyle name="Percent 53 6 4" xfId="5367"/>
    <cellStyle name="Percent 53 6 4 2" xfId="7221"/>
    <cellStyle name="Percent 53 6 4 2 2" xfId="10552"/>
    <cellStyle name="Percent 53 6 4 2 2 2" xfId="17256"/>
    <cellStyle name="Percent 53 6 4 2 2 2 2" xfId="40677"/>
    <cellStyle name="Percent 53 6 4 2 2 3" xfId="34045"/>
    <cellStyle name="Percent 53 6 4 2 3" xfId="13940"/>
    <cellStyle name="Percent 53 6 4 2 3 2" xfId="37361"/>
    <cellStyle name="Percent 53 6 4 2 4" xfId="30729"/>
    <cellStyle name="Percent 53 6 4 3" xfId="8894"/>
    <cellStyle name="Percent 53 6 4 3 2" xfId="15598"/>
    <cellStyle name="Percent 53 6 4 3 2 2" xfId="39019"/>
    <cellStyle name="Percent 53 6 4 3 3" xfId="32387"/>
    <cellStyle name="Percent 53 6 4 4" xfId="12281"/>
    <cellStyle name="Percent 53 6 4 4 2" xfId="35703"/>
    <cellStyle name="Percent 53 6 4 5" xfId="29071"/>
    <cellStyle name="Percent 53 6 5" xfId="6222"/>
    <cellStyle name="Percent 53 6 5 2" xfId="9556"/>
    <cellStyle name="Percent 53 6 5 2 2" xfId="16260"/>
    <cellStyle name="Percent 53 6 5 2 2 2" xfId="39681"/>
    <cellStyle name="Percent 53 6 5 2 3" xfId="33049"/>
    <cellStyle name="Percent 53 6 5 3" xfId="12944"/>
    <cellStyle name="Percent 53 6 5 3 2" xfId="36365"/>
    <cellStyle name="Percent 53 6 5 4" xfId="29733"/>
    <cellStyle name="Percent 53 6 6" xfId="7888"/>
    <cellStyle name="Percent 53 6 6 2" xfId="14602"/>
    <cellStyle name="Percent 53 6 6 2 2" xfId="38023"/>
    <cellStyle name="Percent 53 6 6 3" xfId="31391"/>
    <cellStyle name="Percent 53 6 7" xfId="11284"/>
    <cellStyle name="Percent 53 6 7 2" xfId="34707"/>
    <cellStyle name="Percent 53 6 8" xfId="28075"/>
    <cellStyle name="Percent 53 7" xfId="2468"/>
    <cellStyle name="Percent 53 7 2" xfId="18240"/>
    <cellStyle name="Percent 53 8" xfId="2587"/>
    <cellStyle name="Percent 53 8 2" xfId="5681"/>
    <cellStyle name="Percent 53 8 2 2" xfId="7464"/>
    <cellStyle name="Percent 53 8 2 2 2" xfId="10793"/>
    <cellStyle name="Percent 53 8 2 2 2 2" xfId="17497"/>
    <cellStyle name="Percent 53 8 2 2 2 2 2" xfId="40918"/>
    <cellStyle name="Percent 53 8 2 2 2 3" xfId="34286"/>
    <cellStyle name="Percent 53 8 2 2 3" xfId="14181"/>
    <cellStyle name="Percent 53 8 2 2 3 2" xfId="37602"/>
    <cellStyle name="Percent 53 8 2 2 4" xfId="30970"/>
    <cellStyle name="Percent 53 8 2 3" xfId="9135"/>
    <cellStyle name="Percent 53 8 2 3 2" xfId="15839"/>
    <cellStyle name="Percent 53 8 2 3 2 2" xfId="39260"/>
    <cellStyle name="Percent 53 8 2 3 3" xfId="32628"/>
    <cellStyle name="Percent 53 8 2 4" xfId="12523"/>
    <cellStyle name="Percent 53 8 2 4 2" xfId="35944"/>
    <cellStyle name="Percent 53 8 2 5" xfId="18273"/>
    <cellStyle name="Percent 53 8 2 6" xfId="29312"/>
    <cellStyle name="Percent 53 8 3" xfId="6564"/>
    <cellStyle name="Percent 53 8 3 2" xfId="9896"/>
    <cellStyle name="Percent 53 8 3 2 2" xfId="16600"/>
    <cellStyle name="Percent 53 8 3 2 2 2" xfId="40021"/>
    <cellStyle name="Percent 53 8 3 2 3" xfId="33389"/>
    <cellStyle name="Percent 53 8 3 3" xfId="13284"/>
    <cellStyle name="Percent 53 8 3 3 2" xfId="36705"/>
    <cellStyle name="Percent 53 8 3 4" xfId="30073"/>
    <cellStyle name="Percent 53 8 4" xfId="8230"/>
    <cellStyle name="Percent 53 8 4 2" xfId="14942"/>
    <cellStyle name="Percent 53 8 4 2 2" xfId="38363"/>
    <cellStyle name="Percent 53 8 4 3" xfId="31731"/>
    <cellStyle name="Percent 53 8 5" xfId="11624"/>
    <cellStyle name="Percent 53 8 5 2" xfId="35047"/>
    <cellStyle name="Percent 53 8 6" xfId="20391"/>
    <cellStyle name="Percent 53 8 7" xfId="28415"/>
    <cellStyle name="Percent 53 9" xfId="5283"/>
    <cellStyle name="Percent 53 9 2" xfId="7190"/>
    <cellStyle name="Percent 53 9 2 2" xfId="10521"/>
    <cellStyle name="Percent 53 9 2 2 2" xfId="17225"/>
    <cellStyle name="Percent 53 9 2 2 2 2" xfId="40646"/>
    <cellStyle name="Percent 53 9 2 2 3" xfId="34014"/>
    <cellStyle name="Percent 53 9 2 3" xfId="13909"/>
    <cellStyle name="Percent 53 9 2 3 2" xfId="37330"/>
    <cellStyle name="Percent 53 9 2 4" xfId="30698"/>
    <cellStyle name="Percent 53 9 3" xfId="8862"/>
    <cellStyle name="Percent 53 9 3 2" xfId="15567"/>
    <cellStyle name="Percent 53 9 3 2 2" xfId="38988"/>
    <cellStyle name="Percent 53 9 3 3" xfId="32356"/>
    <cellStyle name="Percent 53 9 4" xfId="12250"/>
    <cellStyle name="Percent 53 9 4 2" xfId="35672"/>
    <cellStyle name="Percent 53 9 5" xfId="29040"/>
    <cellStyle name="Percent 54" xfId="1353"/>
    <cellStyle name="Percent 54 2" xfId="1354"/>
    <cellStyle name="Percent 54 2 2" xfId="5970"/>
    <cellStyle name="Percent 54 3" xfId="5999"/>
    <cellStyle name="Percent 55" xfId="1355"/>
    <cellStyle name="Percent 55 2" xfId="1356"/>
    <cellStyle name="Percent 55 2 2" xfId="5166"/>
    <cellStyle name="Percent 55 3" xfId="6000"/>
    <cellStyle name="Percent 56" xfId="1357"/>
    <cellStyle name="Percent 56 2" xfId="4439"/>
    <cellStyle name="Percent 57" xfId="1358"/>
    <cellStyle name="Percent 57 2" xfId="4440"/>
    <cellStyle name="Percent 58" xfId="1359"/>
    <cellStyle name="Percent 58 2" xfId="4441"/>
    <cellStyle name="Percent 59" xfId="1360"/>
    <cellStyle name="Percent 59 2" xfId="4442"/>
    <cellStyle name="Percent 6" xfId="631"/>
    <cellStyle name="Percent 6 2" xfId="632"/>
    <cellStyle name="Percent 6 2 2" xfId="633"/>
    <cellStyle name="Percent 6 2 2 2" xfId="4444"/>
    <cellStyle name="Percent 6 2 3" xfId="4445"/>
    <cellStyle name="Percent 6 3" xfId="634"/>
    <cellStyle name="Percent 6 3 2" xfId="4446"/>
    <cellStyle name="Percent 6 4" xfId="4447"/>
    <cellStyle name="Percent 6 4 2" xfId="4448"/>
    <cellStyle name="Percent 6 4 3" xfId="4449"/>
    <cellStyle name="Percent 6 5" xfId="4450"/>
    <cellStyle name="Percent 60" xfId="1361"/>
    <cellStyle name="Percent 60 2" xfId="4451"/>
    <cellStyle name="Percent 61" xfId="1362"/>
    <cellStyle name="Percent 61 2" xfId="4452"/>
    <cellStyle name="Percent 61 2 2" xfId="4453"/>
    <cellStyle name="Percent 61 3" xfId="4454"/>
    <cellStyle name="Percent 62" xfId="1363"/>
    <cellStyle name="Percent 62 2" xfId="4455"/>
    <cellStyle name="Percent 63" xfId="1364"/>
    <cellStyle name="Percent 63 2" xfId="4456"/>
    <cellStyle name="Percent 64" xfId="1365"/>
    <cellStyle name="Percent 64 2" xfId="1366"/>
    <cellStyle name="Percent 64 2 2" xfId="5186"/>
    <cellStyle name="Percent 64 2 2 2" xfId="5297"/>
    <cellStyle name="Percent 64 2 3" xfId="5232"/>
    <cellStyle name="Percent 64 3" xfId="4457"/>
    <cellStyle name="Percent 64 3 2" xfId="4458"/>
    <cellStyle name="Percent 64 4" xfId="5296"/>
    <cellStyle name="Percent 65" xfId="1367"/>
    <cellStyle name="Percent 65 2" xfId="1368"/>
    <cellStyle name="Percent 65 2 2" xfId="5218"/>
    <cellStyle name="Percent 65 2 2 2" xfId="5210"/>
    <cellStyle name="Percent 65 2 3" xfId="5149"/>
    <cellStyle name="Percent 65 3" xfId="4459"/>
    <cellStyle name="Percent 65 3 2" xfId="4460"/>
    <cellStyle name="Percent 65 4" xfId="5159"/>
    <cellStyle name="Percent 66" xfId="1369"/>
    <cellStyle name="Percent 66 2" xfId="1370"/>
    <cellStyle name="Percent 66 2 2" xfId="5161"/>
    <cellStyle name="Percent 66 2 2 2" xfId="5344"/>
    <cellStyle name="Percent 66 2 3" xfId="5935"/>
    <cellStyle name="Percent 66 3" xfId="4461"/>
    <cellStyle name="Percent 66 3 2" xfId="4462"/>
    <cellStyle name="Percent 66 4" xfId="5295"/>
    <cellStyle name="Percent 67" xfId="1371"/>
    <cellStyle name="Percent 67 2" xfId="1372"/>
    <cellStyle name="Percent 67 2 2" xfId="4463"/>
    <cellStyle name="Percent 67 2 2 2" xfId="5982"/>
    <cellStyle name="Percent 67 2 3" xfId="5294"/>
    <cellStyle name="Percent 67 3" xfId="4464"/>
    <cellStyle name="Percent 67 3 2" xfId="4465"/>
    <cellStyle name="Percent 67 4" xfId="5975"/>
    <cellStyle name="Percent 68" xfId="1373"/>
    <cellStyle name="Percent 68 2" xfId="1374"/>
    <cellStyle name="Percent 68 2 2" xfId="4466"/>
    <cellStyle name="Percent 68 2 2 2" xfId="5236"/>
    <cellStyle name="Percent 68 2 3" xfId="5952"/>
    <cellStyle name="Percent 68 3" xfId="4467"/>
    <cellStyle name="Percent 68 3 2" xfId="4468"/>
    <cellStyle name="Percent 68 4" xfId="5949"/>
    <cellStyle name="Percent 69" xfId="1375"/>
    <cellStyle name="Percent 69 2" xfId="1376"/>
    <cellStyle name="Percent 69 2 2" xfId="5176"/>
    <cellStyle name="Percent 69 2 2 2" xfId="5359"/>
    <cellStyle name="Percent 69 2 3" xfId="5274"/>
    <cellStyle name="Percent 69 3" xfId="4469"/>
    <cellStyle name="Percent 69 3 2" xfId="4470"/>
    <cellStyle name="Percent 69 4" xfId="5268"/>
    <cellStyle name="Percent 7" xfId="635"/>
    <cellStyle name="Percent 7 2" xfId="636"/>
    <cellStyle name="Percent 7 2 2" xfId="637"/>
    <cellStyle name="Percent 7 2 2 2" xfId="4471"/>
    <cellStyle name="Percent 7 2 3" xfId="4472"/>
    <cellStyle name="Percent 7 3" xfId="638"/>
    <cellStyle name="Percent 7 3 2" xfId="4474"/>
    <cellStyle name="Percent 7 3 3" xfId="4475"/>
    <cellStyle name="Percent 7 3 4" xfId="4473"/>
    <cellStyle name="Percent 7 4" xfId="4476"/>
    <cellStyle name="Percent 70" xfId="1377"/>
    <cellStyle name="Percent 70 2" xfId="1378"/>
    <cellStyle name="Percent 70 2 2" xfId="6005"/>
    <cellStyle name="Percent 70 2 2 2" xfId="5209"/>
    <cellStyle name="Percent 70 2 3" xfId="5342"/>
    <cellStyle name="Percent 70 3" xfId="4477"/>
    <cellStyle name="Percent 70 3 2" xfId="4478"/>
    <cellStyle name="Percent 70 4" xfId="5293"/>
    <cellStyle name="Percent 71" xfId="1379"/>
    <cellStyle name="Percent 71 2" xfId="4479"/>
    <cellStyle name="Percent 71 2 2" xfId="4480"/>
    <cellStyle name="Percent 71 2 3" xfId="4481"/>
    <cellStyle name="Percent 71 3" xfId="4482"/>
    <cellStyle name="Percent 72" xfId="1380"/>
    <cellStyle name="Percent 72 2" xfId="4483"/>
    <cellStyle name="Percent 72 2 2" xfId="4484"/>
    <cellStyle name="Percent 72 2 3" xfId="4485"/>
    <cellStyle name="Percent 72 3" xfId="4486"/>
    <cellStyle name="Percent 73" xfId="1381"/>
    <cellStyle name="Percent 73 2" xfId="4487"/>
    <cellStyle name="Percent 73 2 2" xfId="4488"/>
    <cellStyle name="Percent 73 2 3" xfId="4489"/>
    <cellStyle name="Percent 73 3" xfId="4490"/>
    <cellStyle name="Percent 74" xfId="1382"/>
    <cellStyle name="Percent 74 2" xfId="4491"/>
    <cellStyle name="Percent 74 2 2" xfId="4492"/>
    <cellStyle name="Percent 74 2 3" xfId="4493"/>
    <cellStyle name="Percent 74 3" xfId="4494"/>
    <cellStyle name="Percent 75" xfId="1383"/>
    <cellStyle name="Percent 75 2" xfId="4495"/>
    <cellStyle name="Percent 75 2 2" xfId="4496"/>
    <cellStyle name="Percent 75 2 3" xfId="4497"/>
    <cellStyle name="Percent 75 3" xfId="4498"/>
    <cellStyle name="Percent 76" xfId="1409"/>
    <cellStyle name="Percent 76 2" xfId="4499"/>
    <cellStyle name="Percent 76 2 2" xfId="4500"/>
    <cellStyle name="Percent 76 2 3" xfId="4501"/>
    <cellStyle name="Percent 76 3" xfId="4502"/>
    <cellStyle name="Percent 77" xfId="1411"/>
    <cellStyle name="Percent 77 10" xfId="7768"/>
    <cellStyle name="Percent 77 10 2" xfId="14482"/>
    <cellStyle name="Percent 77 10 2 2" xfId="37903"/>
    <cellStyle name="Percent 77 10 3" xfId="31271"/>
    <cellStyle name="Percent 77 11" xfId="11164"/>
    <cellStyle name="Percent 77 11 2" xfId="34587"/>
    <cellStyle name="Percent 77 12" xfId="27955"/>
    <cellStyle name="Percent 77 2" xfId="1455"/>
    <cellStyle name="Percent 77 2 10" xfId="11200"/>
    <cellStyle name="Percent 77 2 10 2" xfId="34623"/>
    <cellStyle name="Percent 77 2 11" xfId="27991"/>
    <cellStyle name="Percent 77 2 2" xfId="1672"/>
    <cellStyle name="Percent 77 2 2 2" xfId="4506"/>
    <cellStyle name="Percent 77 2 2 3" xfId="4505"/>
    <cellStyle name="Percent 77 2 3" xfId="1770"/>
    <cellStyle name="Percent 77 2 3 2" xfId="2469"/>
    <cellStyle name="Percent 77 2 3 3" xfId="2767"/>
    <cellStyle name="Percent 77 2 3 3 2" xfId="5859"/>
    <cellStyle name="Percent 77 2 3 3 2 2" xfId="7641"/>
    <cellStyle name="Percent 77 2 3 3 2 2 2" xfId="10970"/>
    <cellStyle name="Percent 77 2 3 3 2 2 2 2" xfId="17674"/>
    <cellStyle name="Percent 77 2 3 3 2 2 2 2 2" xfId="41095"/>
    <cellStyle name="Percent 77 2 3 3 2 2 2 3" xfId="34463"/>
    <cellStyle name="Percent 77 2 3 3 2 2 3" xfId="14358"/>
    <cellStyle name="Percent 77 2 3 3 2 2 3 2" xfId="37779"/>
    <cellStyle name="Percent 77 2 3 3 2 2 4" xfId="31147"/>
    <cellStyle name="Percent 77 2 3 3 2 3" xfId="9312"/>
    <cellStyle name="Percent 77 2 3 3 2 3 2" xfId="16016"/>
    <cellStyle name="Percent 77 2 3 3 2 3 2 2" xfId="39437"/>
    <cellStyle name="Percent 77 2 3 3 2 3 3" xfId="32805"/>
    <cellStyle name="Percent 77 2 3 3 2 4" xfId="12700"/>
    <cellStyle name="Percent 77 2 3 3 2 4 2" xfId="36121"/>
    <cellStyle name="Percent 77 2 3 3 2 5" xfId="29489"/>
    <cellStyle name="Percent 77 2 3 3 3" xfId="6742"/>
    <cellStyle name="Percent 77 2 3 3 3 2" xfId="10074"/>
    <cellStyle name="Percent 77 2 3 3 3 2 2" xfId="16778"/>
    <cellStyle name="Percent 77 2 3 3 3 2 2 2" xfId="40199"/>
    <cellStyle name="Percent 77 2 3 3 3 2 3" xfId="33567"/>
    <cellStyle name="Percent 77 2 3 3 3 3" xfId="13462"/>
    <cellStyle name="Percent 77 2 3 3 3 3 2" xfId="36883"/>
    <cellStyle name="Percent 77 2 3 3 3 4" xfId="30251"/>
    <cellStyle name="Percent 77 2 3 3 4" xfId="8408"/>
    <cellStyle name="Percent 77 2 3 3 4 2" xfId="15120"/>
    <cellStyle name="Percent 77 2 3 3 4 2 2" xfId="38541"/>
    <cellStyle name="Percent 77 2 3 3 4 3" xfId="31909"/>
    <cellStyle name="Percent 77 2 3 3 5" xfId="11802"/>
    <cellStyle name="Percent 77 2 3 3 5 2" xfId="35225"/>
    <cellStyle name="Percent 77 2 3 3 6" xfId="28593"/>
    <cellStyle name="Percent 77 2 3 4" xfId="5386"/>
    <cellStyle name="Percent 77 2 3 4 2" xfId="7239"/>
    <cellStyle name="Percent 77 2 3 4 2 2" xfId="10570"/>
    <cellStyle name="Percent 77 2 3 4 2 2 2" xfId="17274"/>
    <cellStyle name="Percent 77 2 3 4 2 2 2 2" xfId="40695"/>
    <cellStyle name="Percent 77 2 3 4 2 2 3" xfId="34063"/>
    <cellStyle name="Percent 77 2 3 4 2 3" xfId="13958"/>
    <cellStyle name="Percent 77 2 3 4 2 3 2" xfId="37379"/>
    <cellStyle name="Percent 77 2 3 4 2 4" xfId="30747"/>
    <cellStyle name="Percent 77 2 3 4 3" xfId="8912"/>
    <cellStyle name="Percent 77 2 3 4 3 2" xfId="15616"/>
    <cellStyle name="Percent 77 2 3 4 3 2 2" xfId="39037"/>
    <cellStyle name="Percent 77 2 3 4 3 3" xfId="32405"/>
    <cellStyle name="Percent 77 2 3 4 4" xfId="12299"/>
    <cellStyle name="Percent 77 2 3 4 4 2" xfId="35721"/>
    <cellStyle name="Percent 77 2 3 4 5" xfId="29089"/>
    <cellStyle name="Percent 77 2 3 5" xfId="4507"/>
    <cellStyle name="Percent 77 2 3 6" xfId="6269"/>
    <cellStyle name="Percent 77 2 3 6 2" xfId="9603"/>
    <cellStyle name="Percent 77 2 3 6 2 2" xfId="16307"/>
    <cellStyle name="Percent 77 2 3 6 2 2 2" xfId="39728"/>
    <cellStyle name="Percent 77 2 3 6 2 3" xfId="33096"/>
    <cellStyle name="Percent 77 2 3 6 3" xfId="12991"/>
    <cellStyle name="Percent 77 2 3 6 3 2" xfId="36412"/>
    <cellStyle name="Percent 77 2 3 6 4" xfId="29780"/>
    <cellStyle name="Percent 77 2 3 7" xfId="7935"/>
    <cellStyle name="Percent 77 2 3 7 2" xfId="14649"/>
    <cellStyle name="Percent 77 2 3 7 2 2" xfId="38070"/>
    <cellStyle name="Percent 77 2 3 7 3" xfId="31438"/>
    <cellStyle name="Percent 77 2 3 8" xfId="11331"/>
    <cellStyle name="Percent 77 2 3 8 2" xfId="34754"/>
    <cellStyle name="Percent 77 2 3 9" xfId="28122"/>
    <cellStyle name="Percent 77 2 4" xfId="2470"/>
    <cellStyle name="Percent 77 2 4 2" xfId="18243"/>
    <cellStyle name="Percent 77 2 5" xfId="2635"/>
    <cellStyle name="Percent 77 2 5 2" xfId="5728"/>
    <cellStyle name="Percent 77 2 5 2 2" xfId="7510"/>
    <cellStyle name="Percent 77 2 5 2 2 2" xfId="10839"/>
    <cellStyle name="Percent 77 2 5 2 2 2 2" xfId="17543"/>
    <cellStyle name="Percent 77 2 5 2 2 2 2 2" xfId="40964"/>
    <cellStyle name="Percent 77 2 5 2 2 2 3" xfId="34332"/>
    <cellStyle name="Percent 77 2 5 2 2 3" xfId="14227"/>
    <cellStyle name="Percent 77 2 5 2 2 3 2" xfId="37648"/>
    <cellStyle name="Percent 77 2 5 2 2 4" xfId="31016"/>
    <cellStyle name="Percent 77 2 5 2 3" xfId="9181"/>
    <cellStyle name="Percent 77 2 5 2 3 2" xfId="15885"/>
    <cellStyle name="Percent 77 2 5 2 3 2 2" xfId="39306"/>
    <cellStyle name="Percent 77 2 5 2 3 3" xfId="32674"/>
    <cellStyle name="Percent 77 2 5 2 4" xfId="12569"/>
    <cellStyle name="Percent 77 2 5 2 4 2" xfId="35990"/>
    <cellStyle name="Percent 77 2 5 2 5" xfId="18274"/>
    <cellStyle name="Percent 77 2 5 2 6" xfId="29358"/>
    <cellStyle name="Percent 77 2 5 3" xfId="6611"/>
    <cellStyle name="Percent 77 2 5 3 2" xfId="9943"/>
    <cellStyle name="Percent 77 2 5 3 2 2" xfId="16647"/>
    <cellStyle name="Percent 77 2 5 3 2 2 2" xfId="40068"/>
    <cellStyle name="Percent 77 2 5 3 2 3" xfId="33436"/>
    <cellStyle name="Percent 77 2 5 3 3" xfId="13331"/>
    <cellStyle name="Percent 77 2 5 3 3 2" xfId="36752"/>
    <cellStyle name="Percent 77 2 5 3 4" xfId="30120"/>
    <cellStyle name="Percent 77 2 5 4" xfId="8277"/>
    <cellStyle name="Percent 77 2 5 4 2" xfId="14989"/>
    <cellStyle name="Percent 77 2 5 4 2 2" xfId="38410"/>
    <cellStyle name="Percent 77 2 5 4 3" xfId="31778"/>
    <cellStyle name="Percent 77 2 5 5" xfId="11671"/>
    <cellStyle name="Percent 77 2 5 5 2" xfId="35094"/>
    <cellStyle name="Percent 77 2 5 6" xfId="17968"/>
    <cellStyle name="Percent 77 2 5 7" xfId="28462"/>
    <cellStyle name="Percent 77 2 6" xfId="5320"/>
    <cellStyle name="Percent 77 2 6 2" xfId="7208"/>
    <cellStyle name="Percent 77 2 6 2 2" xfId="10539"/>
    <cellStyle name="Percent 77 2 6 2 2 2" xfId="17243"/>
    <cellStyle name="Percent 77 2 6 2 2 2 2" xfId="40664"/>
    <cellStyle name="Percent 77 2 6 2 2 3" xfId="34032"/>
    <cellStyle name="Percent 77 2 6 2 3" xfId="13927"/>
    <cellStyle name="Percent 77 2 6 2 3 2" xfId="37348"/>
    <cellStyle name="Percent 77 2 6 2 4" xfId="30716"/>
    <cellStyle name="Percent 77 2 6 3" xfId="8881"/>
    <cellStyle name="Percent 77 2 6 3 2" xfId="15585"/>
    <cellStyle name="Percent 77 2 6 3 2 2" xfId="39006"/>
    <cellStyle name="Percent 77 2 6 3 3" xfId="32374"/>
    <cellStyle name="Percent 77 2 6 4" xfId="12268"/>
    <cellStyle name="Percent 77 2 6 4 2" xfId="35690"/>
    <cellStyle name="Percent 77 2 6 5" xfId="29058"/>
    <cellStyle name="Percent 77 2 7" xfId="4504"/>
    <cellStyle name="Percent 77 2 8" xfId="6138"/>
    <cellStyle name="Percent 77 2 8 2" xfId="9472"/>
    <cellStyle name="Percent 77 2 8 2 2" xfId="16176"/>
    <cellStyle name="Percent 77 2 8 2 2 2" xfId="39597"/>
    <cellStyle name="Percent 77 2 8 2 3" xfId="32965"/>
    <cellStyle name="Percent 77 2 8 3" xfId="12860"/>
    <cellStyle name="Percent 77 2 8 3 2" xfId="36281"/>
    <cellStyle name="Percent 77 2 8 4" xfId="29649"/>
    <cellStyle name="Percent 77 2 9" xfId="7804"/>
    <cellStyle name="Percent 77 2 9 2" xfId="14518"/>
    <cellStyle name="Percent 77 2 9 2 2" xfId="37939"/>
    <cellStyle name="Percent 77 2 9 3" xfId="31307"/>
    <cellStyle name="Percent 77 3" xfId="1671"/>
    <cellStyle name="Percent 77 3 2" xfId="4509"/>
    <cellStyle name="Percent 77 3 3" xfId="4508"/>
    <cellStyle name="Percent 77 4" xfId="1734"/>
    <cellStyle name="Percent 77 4 2" xfId="2471"/>
    <cellStyle name="Percent 77 4 3" xfId="2731"/>
    <cellStyle name="Percent 77 4 3 2" xfId="5823"/>
    <cellStyle name="Percent 77 4 3 2 2" xfId="7605"/>
    <cellStyle name="Percent 77 4 3 2 2 2" xfId="10934"/>
    <cellStyle name="Percent 77 4 3 2 2 2 2" xfId="17638"/>
    <cellStyle name="Percent 77 4 3 2 2 2 2 2" xfId="41059"/>
    <cellStyle name="Percent 77 4 3 2 2 2 3" xfId="34427"/>
    <cellStyle name="Percent 77 4 3 2 2 3" xfId="14322"/>
    <cellStyle name="Percent 77 4 3 2 2 3 2" xfId="37743"/>
    <cellStyle name="Percent 77 4 3 2 2 4" xfId="31111"/>
    <cellStyle name="Percent 77 4 3 2 3" xfId="9276"/>
    <cellStyle name="Percent 77 4 3 2 3 2" xfId="15980"/>
    <cellStyle name="Percent 77 4 3 2 3 2 2" xfId="39401"/>
    <cellStyle name="Percent 77 4 3 2 3 3" xfId="32769"/>
    <cellStyle name="Percent 77 4 3 2 4" xfId="12664"/>
    <cellStyle name="Percent 77 4 3 2 4 2" xfId="36085"/>
    <cellStyle name="Percent 77 4 3 2 5" xfId="29453"/>
    <cellStyle name="Percent 77 4 3 3" xfId="6706"/>
    <cellStyle name="Percent 77 4 3 3 2" xfId="10038"/>
    <cellStyle name="Percent 77 4 3 3 2 2" xfId="16742"/>
    <cellStyle name="Percent 77 4 3 3 2 2 2" xfId="40163"/>
    <cellStyle name="Percent 77 4 3 3 2 3" xfId="33531"/>
    <cellStyle name="Percent 77 4 3 3 3" xfId="13426"/>
    <cellStyle name="Percent 77 4 3 3 3 2" xfId="36847"/>
    <cellStyle name="Percent 77 4 3 3 4" xfId="30215"/>
    <cellStyle name="Percent 77 4 3 4" xfId="8372"/>
    <cellStyle name="Percent 77 4 3 4 2" xfId="15084"/>
    <cellStyle name="Percent 77 4 3 4 2 2" xfId="38505"/>
    <cellStyle name="Percent 77 4 3 4 3" xfId="31873"/>
    <cellStyle name="Percent 77 4 3 5" xfId="11766"/>
    <cellStyle name="Percent 77 4 3 5 2" xfId="35189"/>
    <cellStyle name="Percent 77 4 3 6" xfId="28557"/>
    <cellStyle name="Percent 77 4 4" xfId="5372"/>
    <cellStyle name="Percent 77 4 4 2" xfId="7226"/>
    <cellStyle name="Percent 77 4 4 2 2" xfId="10557"/>
    <cellStyle name="Percent 77 4 4 2 2 2" xfId="17261"/>
    <cellStyle name="Percent 77 4 4 2 2 2 2" xfId="40682"/>
    <cellStyle name="Percent 77 4 4 2 2 3" xfId="34050"/>
    <cellStyle name="Percent 77 4 4 2 3" xfId="13945"/>
    <cellStyle name="Percent 77 4 4 2 3 2" xfId="37366"/>
    <cellStyle name="Percent 77 4 4 2 4" xfId="30734"/>
    <cellStyle name="Percent 77 4 4 3" xfId="8899"/>
    <cellStyle name="Percent 77 4 4 3 2" xfId="15603"/>
    <cellStyle name="Percent 77 4 4 3 2 2" xfId="39024"/>
    <cellStyle name="Percent 77 4 4 3 3" xfId="32392"/>
    <cellStyle name="Percent 77 4 4 4" xfId="12286"/>
    <cellStyle name="Percent 77 4 4 4 2" xfId="35708"/>
    <cellStyle name="Percent 77 4 4 5" xfId="29076"/>
    <cellStyle name="Percent 77 4 5" xfId="6233"/>
    <cellStyle name="Percent 77 4 5 2" xfId="9567"/>
    <cellStyle name="Percent 77 4 5 2 2" xfId="16271"/>
    <cellStyle name="Percent 77 4 5 2 2 2" xfId="39692"/>
    <cellStyle name="Percent 77 4 5 2 3" xfId="33060"/>
    <cellStyle name="Percent 77 4 5 3" xfId="12955"/>
    <cellStyle name="Percent 77 4 5 3 2" xfId="36376"/>
    <cellStyle name="Percent 77 4 5 4" xfId="29744"/>
    <cellStyle name="Percent 77 4 6" xfId="7899"/>
    <cellStyle name="Percent 77 4 6 2" xfId="14613"/>
    <cellStyle name="Percent 77 4 6 2 2" xfId="38034"/>
    <cellStyle name="Percent 77 4 6 3" xfId="31402"/>
    <cellStyle name="Percent 77 4 7" xfId="11295"/>
    <cellStyle name="Percent 77 4 7 2" xfId="34718"/>
    <cellStyle name="Percent 77 4 8" xfId="28086"/>
    <cellStyle name="Percent 77 5" xfId="2472"/>
    <cellStyle name="Percent 77 5 2" xfId="18244"/>
    <cellStyle name="Percent 77 6" xfId="2599"/>
    <cellStyle name="Percent 77 6 2" xfId="5692"/>
    <cellStyle name="Percent 77 6 2 2" xfId="7474"/>
    <cellStyle name="Percent 77 6 2 2 2" xfId="10803"/>
    <cellStyle name="Percent 77 6 2 2 2 2" xfId="17507"/>
    <cellStyle name="Percent 77 6 2 2 2 2 2" xfId="40928"/>
    <cellStyle name="Percent 77 6 2 2 2 3" xfId="34296"/>
    <cellStyle name="Percent 77 6 2 2 3" xfId="14191"/>
    <cellStyle name="Percent 77 6 2 2 3 2" xfId="37612"/>
    <cellStyle name="Percent 77 6 2 2 4" xfId="30980"/>
    <cellStyle name="Percent 77 6 2 3" xfId="9145"/>
    <cellStyle name="Percent 77 6 2 3 2" xfId="15849"/>
    <cellStyle name="Percent 77 6 2 3 2 2" xfId="39270"/>
    <cellStyle name="Percent 77 6 2 3 3" xfId="32638"/>
    <cellStyle name="Percent 77 6 2 4" xfId="12533"/>
    <cellStyle name="Percent 77 6 2 4 2" xfId="35954"/>
    <cellStyle name="Percent 77 6 2 5" xfId="18275"/>
    <cellStyle name="Percent 77 6 2 6" xfId="29322"/>
    <cellStyle name="Percent 77 6 3" xfId="6575"/>
    <cellStyle name="Percent 77 6 3 2" xfId="9907"/>
    <cellStyle name="Percent 77 6 3 2 2" xfId="16611"/>
    <cellStyle name="Percent 77 6 3 2 2 2" xfId="40032"/>
    <cellStyle name="Percent 77 6 3 2 3" xfId="33400"/>
    <cellStyle name="Percent 77 6 3 3" xfId="13295"/>
    <cellStyle name="Percent 77 6 3 3 2" xfId="36716"/>
    <cellStyle name="Percent 77 6 3 4" xfId="30084"/>
    <cellStyle name="Percent 77 6 4" xfId="8241"/>
    <cellStyle name="Percent 77 6 4 2" xfId="14953"/>
    <cellStyle name="Percent 77 6 4 2 2" xfId="38374"/>
    <cellStyle name="Percent 77 6 4 3" xfId="31742"/>
    <cellStyle name="Percent 77 6 5" xfId="11635"/>
    <cellStyle name="Percent 77 6 5 2" xfId="35058"/>
    <cellStyle name="Percent 77 6 6" xfId="20440"/>
    <cellStyle name="Percent 77 6 7" xfId="28426"/>
    <cellStyle name="Percent 77 7" xfId="5304"/>
    <cellStyle name="Percent 77 7 2" xfId="7195"/>
    <cellStyle name="Percent 77 7 2 2" xfId="10526"/>
    <cellStyle name="Percent 77 7 2 2 2" xfId="17230"/>
    <cellStyle name="Percent 77 7 2 2 2 2" xfId="40651"/>
    <cellStyle name="Percent 77 7 2 2 3" xfId="34019"/>
    <cellStyle name="Percent 77 7 2 3" xfId="13914"/>
    <cellStyle name="Percent 77 7 2 3 2" xfId="37335"/>
    <cellStyle name="Percent 77 7 2 4" xfId="30703"/>
    <cellStyle name="Percent 77 7 3" xfId="8868"/>
    <cellStyle name="Percent 77 7 3 2" xfId="15572"/>
    <cellStyle name="Percent 77 7 3 2 2" xfId="38993"/>
    <cellStyle name="Percent 77 7 3 3" xfId="32361"/>
    <cellStyle name="Percent 77 7 4" xfId="12255"/>
    <cellStyle name="Percent 77 7 4 2" xfId="35677"/>
    <cellStyle name="Percent 77 7 5" xfId="29045"/>
    <cellStyle name="Percent 77 8" xfId="4503"/>
    <cellStyle name="Percent 77 9" xfId="6102"/>
    <cellStyle name="Percent 77 9 2" xfId="9436"/>
    <cellStyle name="Percent 77 9 2 2" xfId="16140"/>
    <cellStyle name="Percent 77 9 2 2 2" xfId="39561"/>
    <cellStyle name="Percent 77 9 2 3" xfId="32929"/>
    <cellStyle name="Percent 77 9 3" xfId="12824"/>
    <cellStyle name="Percent 77 9 3 2" xfId="36245"/>
    <cellStyle name="Percent 77 9 4" xfId="29613"/>
    <cellStyle name="Percent 78" xfId="1467"/>
    <cellStyle name="Percent 78 2" xfId="1673"/>
    <cellStyle name="Percent 78 2 2" xfId="4510"/>
    <cellStyle name="Percent 78 2 3" xfId="4511"/>
    <cellStyle name="Percent 78 3" xfId="2473"/>
    <cellStyle name="Percent 78 3 2" xfId="5633"/>
    <cellStyle name="Percent 78 3 3" xfId="4512"/>
    <cellStyle name="Percent 78 4" xfId="4513"/>
    <cellStyle name="Percent 78 4 2" xfId="18983"/>
    <cellStyle name="Percent 78 5" xfId="18138"/>
    <cellStyle name="Percent 79" xfId="1674"/>
    <cellStyle name="Percent 79 2" xfId="4514"/>
    <cellStyle name="Percent 79 2 2" xfId="4515"/>
    <cellStyle name="Percent 79 2 3" xfId="4516"/>
    <cellStyle name="Percent 79 3" xfId="4517"/>
    <cellStyle name="Percent 8" xfId="639"/>
    <cellStyle name="Percent 8 2" xfId="640"/>
    <cellStyle name="Percent 8 2 2" xfId="4518"/>
    <cellStyle name="Percent 8 3" xfId="901"/>
    <cellStyle name="Percent 8 3 2" xfId="18985"/>
    <cellStyle name="Percent 8 4" xfId="4519"/>
    <cellStyle name="Percent 8 4 2" xfId="4520"/>
    <cellStyle name="Percent 8 4 2 2" xfId="23484"/>
    <cellStyle name="Percent 8 4 2 2 2" xfId="45818"/>
    <cellStyle name="Percent 8 4 3" xfId="5133"/>
    <cellStyle name="Percent 8 4 3 2" xfId="7183"/>
    <cellStyle name="Percent 8 4 3 2 2" xfId="10514"/>
    <cellStyle name="Percent 8 4 3 2 2 2" xfId="17218"/>
    <cellStyle name="Percent 8 4 3 2 2 2 2" xfId="40639"/>
    <cellStyle name="Percent 8 4 3 2 2 3" xfId="34007"/>
    <cellStyle name="Percent 8 4 3 2 3" xfId="13902"/>
    <cellStyle name="Percent 8 4 3 2 3 2" xfId="37323"/>
    <cellStyle name="Percent 8 4 3 2 4" xfId="26025"/>
    <cellStyle name="Percent 8 4 3 2 4 2" xfId="48270"/>
    <cellStyle name="Percent 8 4 3 2 5" xfId="30691"/>
    <cellStyle name="Percent 8 4 3 3" xfId="8854"/>
    <cellStyle name="Percent 8 4 3 3 2" xfId="15560"/>
    <cellStyle name="Percent 8 4 3 3 2 2" xfId="38981"/>
    <cellStyle name="Percent 8 4 3 3 3" xfId="32349"/>
    <cellStyle name="Percent 8 4 3 4" xfId="12243"/>
    <cellStyle name="Percent 8 4 3 4 2" xfId="35665"/>
    <cellStyle name="Percent 8 4 3 5" xfId="23815"/>
    <cellStyle name="Percent 8 4 3 5 2" xfId="46078"/>
    <cellStyle name="Percent 8 4 3 6" xfId="29033"/>
    <cellStyle name="Percent 8 4 4" xfId="18984"/>
    <cellStyle name="Percent 8 4 5" xfId="23446"/>
    <cellStyle name="Percent 8 4 5 2" xfId="45785"/>
    <cellStyle name="Percent 8 5" xfId="4521"/>
    <cellStyle name="Percent 8 5 2" xfId="5132"/>
    <cellStyle name="Percent 80" xfId="1675"/>
    <cellStyle name="Percent 80 2" xfId="4522"/>
    <cellStyle name="Percent 80 2 2" xfId="4523"/>
    <cellStyle name="Percent 80 2 3" xfId="4524"/>
    <cellStyle name="Percent 80 3" xfId="4525"/>
    <cellStyle name="Percent 81" xfId="1676"/>
    <cellStyle name="Percent 81 2" xfId="4526"/>
    <cellStyle name="Percent 81 2 2" xfId="4527"/>
    <cellStyle name="Percent 81 2 3" xfId="4528"/>
    <cellStyle name="Percent 81 3" xfId="4529"/>
    <cellStyle name="Percent 82" xfId="1677"/>
    <cellStyle name="Percent 82 2" xfId="4530"/>
    <cellStyle name="Percent 82 2 2" xfId="4531"/>
    <cellStyle name="Percent 82 3" xfId="4532"/>
    <cellStyle name="Percent 83" xfId="2474"/>
    <cellStyle name="Percent 83 2" xfId="2475"/>
    <cellStyle name="Percent 83 2 2" xfId="4533"/>
    <cellStyle name="Percent 83 2 2 2" xfId="18988"/>
    <cellStyle name="Percent 83 2 2 3" xfId="18245"/>
    <cellStyle name="Percent 83 2 3" xfId="18987"/>
    <cellStyle name="Percent 83 3" xfId="2476"/>
    <cellStyle name="Percent 83 3 2" xfId="5636"/>
    <cellStyle name="Percent 83 3 2 2" xfId="18990"/>
    <cellStyle name="Percent 83 3 3" xfId="4534"/>
    <cellStyle name="Percent 83 3 3 2" xfId="18989"/>
    <cellStyle name="Percent 83 4" xfId="18246"/>
    <cellStyle name="Percent 83 4 2" xfId="18991"/>
    <cellStyle name="Percent 83 5" xfId="18986"/>
    <cellStyle name="Percent 84" xfId="2477"/>
    <cellStyle name="Percent 84 2" xfId="2478"/>
    <cellStyle name="Percent 84 2 2" xfId="4535"/>
    <cellStyle name="Percent 84 2 2 2" xfId="18994"/>
    <cellStyle name="Percent 84 2 2 3" xfId="18247"/>
    <cellStyle name="Percent 84 2 3" xfId="18993"/>
    <cellStyle name="Percent 84 3" xfId="2479"/>
    <cellStyle name="Percent 84 3 2" xfId="5637"/>
    <cellStyle name="Percent 84 3 2 2" xfId="18996"/>
    <cellStyle name="Percent 84 3 3" xfId="4536"/>
    <cellStyle name="Percent 84 3 3 2" xfId="18995"/>
    <cellStyle name="Percent 84 4" xfId="18248"/>
    <cellStyle name="Percent 84 4 2" xfId="18997"/>
    <cellStyle name="Percent 84 5" xfId="18992"/>
    <cellStyle name="Percent 85" xfId="2480"/>
    <cellStyle name="Percent 85 2" xfId="2481"/>
    <cellStyle name="Percent 85 2 2" xfId="5638"/>
    <cellStyle name="Percent 85 2 2 2" xfId="19000"/>
    <cellStyle name="Percent 85 2 3" xfId="4537"/>
    <cellStyle name="Percent 85 2 3 2" xfId="18999"/>
    <cellStyle name="Percent 85 3" xfId="2482"/>
    <cellStyle name="Percent 85 3 2" xfId="5639"/>
    <cellStyle name="Percent 85 3 2 2" xfId="19002"/>
    <cellStyle name="Percent 85 3 3" xfId="4538"/>
    <cellStyle name="Percent 85 3 3 2" xfId="19001"/>
    <cellStyle name="Percent 85 4" xfId="18249"/>
    <cellStyle name="Percent 85 4 2" xfId="19003"/>
    <cellStyle name="Percent 85 5" xfId="18998"/>
    <cellStyle name="Percent 86" xfId="2483"/>
    <cellStyle name="Percent 86 2" xfId="2484"/>
    <cellStyle name="Percent 86 2 2" xfId="5641"/>
    <cellStyle name="Percent 86 2 2 2" xfId="19006"/>
    <cellStyle name="Percent 86 2 3" xfId="4539"/>
    <cellStyle name="Percent 86 2 3 2" xfId="19005"/>
    <cellStyle name="Percent 86 3" xfId="4540"/>
    <cellStyle name="Percent 86 3 2" xfId="19004"/>
    <cellStyle name="Percent 87" xfId="2485"/>
    <cellStyle name="Percent 87 2" xfId="2486"/>
    <cellStyle name="Percent 87 2 2" xfId="18250"/>
    <cellStyle name="Percent 87 2 2 2" xfId="19008"/>
    <cellStyle name="Percent 87 2 3" xfId="19007"/>
    <cellStyle name="Percent 87 3" xfId="4541"/>
    <cellStyle name="Percent 88" xfId="2487"/>
    <cellStyle name="Percent 88 2" xfId="2488"/>
    <cellStyle name="Percent 88 2 2" xfId="18251"/>
    <cellStyle name="Percent 88 2 2 2" xfId="19010"/>
    <cellStyle name="Percent 88 2 3" xfId="19009"/>
    <cellStyle name="Percent 88 3" xfId="4542"/>
    <cellStyle name="Percent 89" xfId="2489"/>
    <cellStyle name="Percent 89 2" xfId="2490"/>
    <cellStyle name="Percent 89 2 2" xfId="18252"/>
    <cellStyle name="Percent 89 2 2 2" xfId="19012"/>
    <cellStyle name="Percent 89 2 3" xfId="19011"/>
    <cellStyle name="Percent 89 3" xfId="4543"/>
    <cellStyle name="Percent 89 3 2" xfId="17969"/>
    <cellStyle name="Percent 89 4" xfId="5643"/>
    <cellStyle name="Percent 89 4 2" xfId="20377"/>
    <cellStyle name="Percent 9" xfId="641"/>
    <cellStyle name="Percent 9 2" xfId="642"/>
    <cellStyle name="Percent 9 2 2" xfId="1161"/>
    <cellStyle name="Percent 9 2 2 2" xfId="4545"/>
    <cellStyle name="Percent 9 2 2 3" xfId="4544"/>
    <cellStyle name="Percent 9 2 3" xfId="1107"/>
    <cellStyle name="Percent 9 2 3 2" xfId="23818"/>
    <cellStyle name="Percent 9 2 3 3" xfId="23241"/>
    <cellStyle name="Percent 9 2 4" xfId="19014"/>
    <cellStyle name="Percent 9 3" xfId="902"/>
    <cellStyle name="Percent 9 3 2" xfId="5420"/>
    <cellStyle name="Percent 9 4" xfId="903"/>
    <cellStyle name="Percent 9 4 2" xfId="4547"/>
    <cellStyle name="Percent 9 4 3" xfId="4546"/>
    <cellStyle name="Percent 9 5" xfId="1160"/>
    <cellStyle name="Percent 9 5 2" xfId="4549"/>
    <cellStyle name="Percent 9 5 2 2" xfId="23485"/>
    <cellStyle name="Percent 9 5 2 2 2" xfId="45819"/>
    <cellStyle name="Percent 9 5 3" xfId="4550"/>
    <cellStyle name="Percent 9 5 4" xfId="5134"/>
    <cellStyle name="Percent 9 5 4 2" xfId="7184"/>
    <cellStyle name="Percent 9 5 4 2 2" xfId="10515"/>
    <cellStyle name="Percent 9 5 4 2 2 2" xfId="17219"/>
    <cellStyle name="Percent 9 5 4 2 2 2 2" xfId="40640"/>
    <cellStyle name="Percent 9 5 4 2 2 3" xfId="34008"/>
    <cellStyle name="Percent 9 5 4 2 3" xfId="13903"/>
    <cellStyle name="Percent 9 5 4 2 3 2" xfId="37324"/>
    <cellStyle name="Percent 9 5 4 2 4" xfId="26026"/>
    <cellStyle name="Percent 9 5 4 2 4 2" xfId="48271"/>
    <cellStyle name="Percent 9 5 4 2 5" xfId="30692"/>
    <cellStyle name="Percent 9 5 4 3" xfId="8855"/>
    <cellStyle name="Percent 9 5 4 3 2" xfId="15561"/>
    <cellStyle name="Percent 9 5 4 3 2 2" xfId="38982"/>
    <cellStyle name="Percent 9 5 4 3 3" xfId="32350"/>
    <cellStyle name="Percent 9 5 4 4" xfId="12244"/>
    <cellStyle name="Percent 9 5 4 4 2" xfId="35666"/>
    <cellStyle name="Percent 9 5 4 5" xfId="23816"/>
    <cellStyle name="Percent 9 5 4 5 2" xfId="46079"/>
    <cellStyle name="Percent 9 5 4 6" xfId="29034"/>
    <cellStyle name="Percent 9 5 5" xfId="4548"/>
    <cellStyle name="Percent 9 5 6" xfId="23449"/>
    <cellStyle name="Percent 9 5 6 2" xfId="45788"/>
    <cellStyle name="Percent 9 6" xfId="1106"/>
    <cellStyle name="Percent 9 7" xfId="19013"/>
    <cellStyle name="Percent 90" xfId="2491"/>
    <cellStyle name="Percent 90 2" xfId="2492"/>
    <cellStyle name="Percent 90 2 2" xfId="18253"/>
    <cellStyle name="Percent 90 2 2 2" xfId="19016"/>
    <cellStyle name="Percent 90 2 3" xfId="19015"/>
    <cellStyle name="Percent 90 3" xfId="4551"/>
    <cellStyle name="Percent 90 3 2" xfId="20390"/>
    <cellStyle name="Percent 90 4" xfId="5644"/>
    <cellStyle name="Percent 90 4 2" xfId="20376"/>
    <cellStyle name="Percent 91" xfId="2493"/>
    <cellStyle name="Percent 91 2" xfId="2494"/>
    <cellStyle name="Percent 91 2 2" xfId="18254"/>
    <cellStyle name="Percent 91 2 2 2" xfId="19018"/>
    <cellStyle name="Percent 91 2 3" xfId="19017"/>
    <cellStyle name="Percent 91 3" xfId="4552"/>
    <cellStyle name="Percent 91 3 2" xfId="17970"/>
    <cellStyle name="Percent 91 4" xfId="5645"/>
    <cellStyle name="Percent 91 4 2" xfId="18882"/>
    <cellStyle name="Percent 92" xfId="2495"/>
    <cellStyle name="Percent 92 2" xfId="2496"/>
    <cellStyle name="Percent 92 2 2" xfId="18255"/>
    <cellStyle name="Percent 92 2 2 2" xfId="19020"/>
    <cellStyle name="Percent 92 2 3" xfId="19019"/>
    <cellStyle name="Percent 92 3" xfId="4553"/>
    <cellStyle name="Percent 92 3 2" xfId="20389"/>
    <cellStyle name="Percent 92 4" xfId="4554"/>
    <cellStyle name="Percent 92 5" xfId="5646"/>
    <cellStyle name="Percent 93" xfId="2497"/>
    <cellStyle name="Percent 93 2" xfId="2498"/>
    <cellStyle name="Percent 93 2 2" xfId="18256"/>
    <cellStyle name="Percent 93 2 2 2" xfId="19022"/>
    <cellStyle name="Percent 93 2 3" xfId="19021"/>
    <cellStyle name="Percent 93 3" xfId="4555"/>
    <cellStyle name="Percent 93 4" xfId="4556"/>
    <cellStyle name="Percent 94" xfId="2499"/>
    <cellStyle name="Percent 94 2" xfId="2500"/>
    <cellStyle name="Percent 94 2 2" xfId="18257"/>
    <cellStyle name="Percent 94 2 2 2" xfId="19024"/>
    <cellStyle name="Percent 94 2 3" xfId="19023"/>
    <cellStyle name="Percent 94 3" xfId="4557"/>
    <cellStyle name="Percent 94 4" xfId="4558"/>
    <cellStyle name="Percent 95" xfId="2501"/>
    <cellStyle name="Percent 95 2" xfId="1917"/>
    <cellStyle name="Percent 95 2 2" xfId="19025"/>
    <cellStyle name="Percent 95 3" xfId="4559"/>
    <cellStyle name="Percent 95 4" xfId="4560"/>
    <cellStyle name="Percent 96" xfId="2502"/>
    <cellStyle name="Percent 96 2" xfId="1916"/>
    <cellStyle name="Percent 96 2 2" xfId="19026"/>
    <cellStyle name="Percent 96 3" xfId="4561"/>
    <cellStyle name="Percent 97" xfId="2503"/>
    <cellStyle name="Percent 97 2" xfId="1915"/>
    <cellStyle name="Percent 97 2 2" xfId="19027"/>
    <cellStyle name="Percent 97 3" xfId="4562"/>
    <cellStyle name="Percent 98" xfId="2504"/>
    <cellStyle name="Percent 98 2" xfId="1914"/>
    <cellStyle name="Percent 98 2 2" xfId="19029"/>
    <cellStyle name="Percent 98 2 2 2" xfId="26548"/>
    <cellStyle name="Percent 98 2 2 2 2" xfId="48793"/>
    <cellStyle name="Percent 98 2 3" xfId="24345"/>
    <cellStyle name="Percent 98 2 3 2" xfId="46590"/>
    <cellStyle name="Percent 98 3" xfId="19028"/>
    <cellStyle name="Percent 99" xfId="2505"/>
    <cellStyle name="Percent 99 2" xfId="18258"/>
    <cellStyle name="Percent 99 2 2" xfId="19031"/>
    <cellStyle name="Percent 99 3" xfId="19030"/>
    <cellStyle name="Percent.0" xfId="992"/>
    <cellStyle name="Percent.0 2" xfId="4563"/>
    <cellStyle name="Percent[1]" xfId="4564"/>
    <cellStyle name="Percent0" xfId="4565"/>
    <cellStyle name="Percent1" xfId="4566"/>
    <cellStyle name="Percent1 2" xfId="5014"/>
    <cellStyle name="Percent2" xfId="4567"/>
    <cellStyle name="Percent2 2" xfId="5015"/>
    <cellStyle name="percentage" xfId="4568"/>
    <cellStyle name="Percentage[1]" xfId="5016"/>
    <cellStyle name="PercentChange" xfId="5017"/>
    <cellStyle name="Percent-Input" xfId="4569"/>
    <cellStyle name="PercentPresentation" xfId="4570"/>
    <cellStyle name="POPS" xfId="4571"/>
    <cellStyle name="PresentationZero" xfId="4572"/>
    <cellStyle name="price" xfId="4573"/>
    <cellStyle name="ProgramVariable" xfId="5018"/>
    <cellStyle name="ProtectedDates" xfId="643"/>
    <cellStyle name="q_AA - BenefitsBonus " xfId="4574"/>
    <cellStyle name="Ratio" xfId="5019"/>
    <cellStyle name="Ratios" xfId="5020"/>
    <cellStyle name="RatioX" xfId="5021"/>
    <cellStyle name="RED" xfId="644"/>
    <cellStyle name="RED 2" xfId="645"/>
    <cellStyle name="RED 3" xfId="2371"/>
    <cellStyle name="Ref Numbers" xfId="993"/>
    <cellStyle name="Ref Numbers 2" xfId="1678"/>
    <cellStyle name="Report" xfId="5022"/>
    <cellStyle name="Restruct" xfId="646"/>
    <cellStyle name="Restruct 2" xfId="647"/>
    <cellStyle name="Restruct 2 2" xfId="648"/>
    <cellStyle name="Restruct 2 2 2" xfId="2506"/>
    <cellStyle name="Restruct 2 3" xfId="2507"/>
    <cellStyle name="Restruct 3" xfId="649"/>
    <cellStyle name="Restruct 3 2" xfId="759"/>
    <cellStyle name="Restruct 3 2 2" xfId="2508"/>
    <cellStyle name="Restruct 3 3" xfId="2509"/>
    <cellStyle name="Restruct 4" xfId="789"/>
    <cellStyle name="Restruct 4 2" xfId="800"/>
    <cellStyle name="Restruct 4 2 2" xfId="805"/>
    <cellStyle name="Restruct 4 2 2 2" xfId="2511"/>
    <cellStyle name="Restruct 4 2 2 2 2" xfId="5652"/>
    <cellStyle name="Restruct 4 2 2 2 2 2" xfId="18287"/>
    <cellStyle name="Restruct 4 2 2 2 3" xfId="18259"/>
    <cellStyle name="Restruct 4 2 2 2 3 2" xfId="19322"/>
    <cellStyle name="Restruct 4 2 2 3" xfId="2510"/>
    <cellStyle name="Restruct 4 2 2 4" xfId="2569"/>
    <cellStyle name="Restruct 4 2 2 4 2" xfId="5663"/>
    <cellStyle name="Restruct 4 2 2 4 2 2" xfId="7447"/>
    <cellStyle name="Restruct 4 2 2 4 3" xfId="6547"/>
    <cellStyle name="Restruct 4 2 3" xfId="1009"/>
    <cellStyle name="Restruct 4 2 3 2" xfId="2512"/>
    <cellStyle name="Restruct 4 3" xfId="803"/>
    <cellStyle name="Restruct 4 3 2" xfId="2513"/>
    <cellStyle name="Restruct 5" xfId="1904"/>
    <cellStyle name="Restruct 5 2" xfId="5404"/>
    <cellStyle name="Restruct 5 2 2" xfId="18385"/>
    <cellStyle name="Restruct 5 3" xfId="18276"/>
    <cellStyle name="RevList" xfId="4575"/>
    <cellStyle name="Right" xfId="650"/>
    <cellStyle name="Role" xfId="5023"/>
    <cellStyle name="RRSInstruction" xfId="651"/>
    <cellStyle name="RRSInstruction 2" xfId="652"/>
    <cellStyle name="RRSInstruction 2 2" xfId="4576"/>
    <cellStyle name="RRSInstruction 3" xfId="4577"/>
    <cellStyle name="s_DCFLBO Code_Wireline Tel Forecast " xfId="653"/>
    <cellStyle name="s_DCFLBO Code_Wireline Tel Forecast  2" xfId="654"/>
    <cellStyle name="s_DCFLBO Code_Wireline Tel Forecast  2 2" xfId="655"/>
    <cellStyle name="s_HardInc " xfId="656"/>
    <cellStyle name="s_HardInc  2" xfId="657"/>
    <cellStyle name="s_HardInc  2 2" xfId="658"/>
    <cellStyle name="s_HardInc _Catalog" xfId="4578"/>
    <cellStyle name="s_HardInc _JapaneseCatalog" xfId="4579"/>
    <cellStyle name="s_HardInc _RRST1" xfId="659"/>
    <cellStyle name="s_HardInc _RRST1 2" xfId="660"/>
    <cellStyle name="s_HardInc _RRST12" xfId="1384"/>
    <cellStyle name="s_HardInc _RRST12 2" xfId="2372"/>
    <cellStyle name="s_HardInc _RRST15" xfId="2374"/>
    <cellStyle name="s_HardInc _RRST15 2" xfId="2390"/>
    <cellStyle name="s_HardInc _RRST19" xfId="1108"/>
    <cellStyle name="s_HardInc _RRST19 2" xfId="1109"/>
    <cellStyle name="s_HardInc _RRST20" xfId="661"/>
    <cellStyle name="s_HardInc _RRST20 2" xfId="662"/>
    <cellStyle name="s_HardInc _RRST25" xfId="4580"/>
    <cellStyle name="s_HardInc _RRST25 2" xfId="4581"/>
    <cellStyle name="s_HardInc _RRST3" xfId="1385"/>
    <cellStyle name="s_HardInc _RRST6" xfId="905"/>
    <cellStyle name="s_HardInc _RRST6 2" xfId="906"/>
    <cellStyle name="s_HardInc _RRST9" xfId="907"/>
    <cellStyle name="s_HardInc _RRST9 2" xfId="908"/>
    <cellStyle name="s_Valuation " xfId="663"/>
    <cellStyle name="s_Valuation  2" xfId="664"/>
    <cellStyle name="s_Valuation  2 2" xfId="665"/>
    <cellStyle name="s_Valuation _Catalog" xfId="4582"/>
    <cellStyle name="s_Valuation _JapaneseCatalog" xfId="4583"/>
    <cellStyle name="s_Valuation _RRST1" xfId="666"/>
    <cellStyle name="s_Valuation _RRST1 2" xfId="667"/>
    <cellStyle name="s_Valuation _RRST12" xfId="1386"/>
    <cellStyle name="s_Valuation _RRST12 2" xfId="2391"/>
    <cellStyle name="s_Valuation _RRST15" xfId="2392"/>
    <cellStyle name="s_Valuation _RRST15 2" xfId="2393"/>
    <cellStyle name="s_Valuation _RRST19" xfId="1110"/>
    <cellStyle name="s_Valuation _RRST19 2" xfId="1111"/>
    <cellStyle name="s_Valuation _RRST20" xfId="668"/>
    <cellStyle name="s_Valuation _RRST20 2" xfId="669"/>
    <cellStyle name="s_Valuation _RRST25" xfId="4584"/>
    <cellStyle name="s_Valuation _RRST25 2" xfId="4585"/>
    <cellStyle name="s_Valuation _RRST3" xfId="1387"/>
    <cellStyle name="s_Valuation _RRST6" xfId="909"/>
    <cellStyle name="s_Valuation _RRST6 2" xfId="910"/>
    <cellStyle name="s_Valuation _RRST9" xfId="911"/>
    <cellStyle name="s_Valuation _RRST9 2" xfId="912"/>
    <cellStyle name="ScripFactor" xfId="5024"/>
    <cellStyle name="SectionHeaderNormal" xfId="4586"/>
    <cellStyle name="SectionHeading" xfId="5025"/>
    <cellStyle name="Shade" xfId="5026"/>
    <cellStyle name="Shaded" xfId="4587"/>
    <cellStyle name="Shares" xfId="4588"/>
    <cellStyle name="Source Line" xfId="994"/>
    <cellStyle name="Source Line 2" xfId="1679"/>
    <cellStyle name="SPEC" xfId="5027"/>
    <cellStyle name="ssp " xfId="670"/>
    <cellStyle name="Standard" xfId="5028"/>
    <cellStyle name="Style 1" xfId="671"/>
    <cellStyle name="Style 1 10" xfId="957"/>
    <cellStyle name="Style 1 10 2" xfId="4589"/>
    <cellStyle name="Style 1 11" xfId="1390"/>
    <cellStyle name="Style 1 11 2" xfId="4591"/>
    <cellStyle name="Style 1 11 2 2" xfId="4592"/>
    <cellStyle name="Style 1 11 2 3" xfId="19033"/>
    <cellStyle name="Style 1 11 3" xfId="4593"/>
    <cellStyle name="Style 1 11 4" xfId="4594"/>
    <cellStyle name="Style 1 11 5" xfId="4590"/>
    <cellStyle name="Style 1 12" xfId="2514"/>
    <cellStyle name="Style 1 12 2" xfId="2515"/>
    <cellStyle name="Style 1 12 2 2" xfId="18281"/>
    <cellStyle name="Style 1 12 2 2 2" xfId="19036"/>
    <cellStyle name="Style 1 12 2 3" xfId="19035"/>
    <cellStyle name="Style 1 12 3" xfId="2516"/>
    <cellStyle name="Style 1 12 3 2" xfId="18282"/>
    <cellStyle name="Style 1 12 3 2 2" xfId="19038"/>
    <cellStyle name="Style 1 12 3 3" xfId="19037"/>
    <cellStyle name="Style 1 12 4" xfId="18283"/>
    <cellStyle name="Style 1 12 4 2" xfId="19039"/>
    <cellStyle name="Style 1 12 5" xfId="19034"/>
    <cellStyle name="Style 1 13" xfId="2517"/>
    <cellStyle name="Style 1 13 2" xfId="4597"/>
    <cellStyle name="Style 1 13 2 2" xfId="4598"/>
    <cellStyle name="Style 1 13 3" xfId="4599"/>
    <cellStyle name="Style 1 13 4" xfId="4600"/>
    <cellStyle name="Style 1 13 5" xfId="4596"/>
    <cellStyle name="Style 1 14" xfId="2518"/>
    <cellStyle name="Style 1 14 2" xfId="4601"/>
    <cellStyle name="Style 1 14 2 2" xfId="19042"/>
    <cellStyle name="Style 1 14 3" xfId="4602"/>
    <cellStyle name="Style 1 15" xfId="4603"/>
    <cellStyle name="Style 1 15 2" xfId="4604"/>
    <cellStyle name="Style 1 16" xfId="4605"/>
    <cellStyle name="Style 1 16 2" xfId="4606"/>
    <cellStyle name="Style 1 2" xfId="672"/>
    <cellStyle name="Style 1 2 2" xfId="673"/>
    <cellStyle name="Style 1 2 2 2" xfId="674"/>
    <cellStyle name="Style 1 2 2 2 2" xfId="1162"/>
    <cellStyle name="Style 1 2 2 2 2 2" xfId="4608"/>
    <cellStyle name="Style 1 2 2 2 2 3" xfId="4607"/>
    <cellStyle name="Style 1 2 2 2 3" xfId="4609"/>
    <cellStyle name="Style 1 2 2 3" xfId="914"/>
    <cellStyle name="Style 1 2 2 3 2" xfId="1113"/>
    <cellStyle name="Style 1 2 2 3 2 2" xfId="19044"/>
    <cellStyle name="Style 1 2 2 3 3" xfId="4610"/>
    <cellStyle name="Style 1 2 2 4" xfId="1682"/>
    <cellStyle name="Style 1 2 2 4 2" xfId="4612"/>
    <cellStyle name="Style 1 2 2 4 3" xfId="4611"/>
    <cellStyle name="Style 1 2 2 5" xfId="1681"/>
    <cellStyle name="Style 1 2 3" xfId="675"/>
    <cellStyle name="Style 1 2 3 2" xfId="915"/>
    <cellStyle name="Style 1 2 3 2 2" xfId="4614"/>
    <cellStyle name="Style 1 2 3 2 3" xfId="4613"/>
    <cellStyle name="Style 1 2 3 3" xfId="4615"/>
    <cellStyle name="Style 1 2 4" xfId="916"/>
    <cellStyle name="Style 1 2 4 2" xfId="4616"/>
    <cellStyle name="Style 1 2 5" xfId="913"/>
    <cellStyle name="Style 1 2 5 2" xfId="1112"/>
    <cellStyle name="Style 1 2 5 3" xfId="4618"/>
    <cellStyle name="Style 1 2 5 4" xfId="4617"/>
    <cellStyle name="Style 1 2 6" xfId="1683"/>
    <cellStyle name="Style 1 2 6 2" xfId="19045"/>
    <cellStyle name="Style 1 2 7" xfId="1680"/>
    <cellStyle name="Style 1 2 7 2" xfId="19046"/>
    <cellStyle name="Style 1 2 8" xfId="19043"/>
    <cellStyle name="Style 1 3" xfId="676"/>
    <cellStyle name="Style 1 3 2" xfId="677"/>
    <cellStyle name="Style 1 3 2 2" xfId="919"/>
    <cellStyle name="Style 1 3 2 2 2" xfId="920"/>
    <cellStyle name="Style 1 3 2 2 2 2" xfId="19050"/>
    <cellStyle name="Style 1 3 2 2 3" xfId="4619"/>
    <cellStyle name="Style 1 3 2 2 3 2" xfId="19049"/>
    <cellStyle name="Style 1 3 2 2 3 2 2" xfId="23819"/>
    <cellStyle name="Style 1 3 2 3" xfId="921"/>
    <cellStyle name="Style 1 3 2 3 2" xfId="19051"/>
    <cellStyle name="Style 1 3 2 4" xfId="922"/>
    <cellStyle name="Style 1 3 2 4 2" xfId="19052"/>
    <cellStyle name="Style 1 3 2 5" xfId="923"/>
    <cellStyle name="Style 1 3 2 5 2" xfId="19053"/>
    <cellStyle name="Style 1 3 2 6" xfId="918"/>
    <cellStyle name="Style 1 3 2 6 2" xfId="19054"/>
    <cellStyle name="Style 1 3 2 7" xfId="19048"/>
    <cellStyle name="Style 1 3 3" xfId="924"/>
    <cellStyle name="Style 1 3 3 2" xfId="925"/>
    <cellStyle name="Style 1 3 3 2 2" xfId="4620"/>
    <cellStyle name="Style 1 3 3 2 2 2" xfId="19056"/>
    <cellStyle name="Style 1 3 3 3" xfId="4621"/>
    <cellStyle name="Style 1 3 3 3 2" xfId="19055"/>
    <cellStyle name="Style 1 3 3 3 2 2" xfId="23820"/>
    <cellStyle name="Style 1 3 4" xfId="926"/>
    <cellStyle name="Style 1 3 4 2" xfId="4622"/>
    <cellStyle name="Style 1 3 4 2 2" xfId="19057"/>
    <cellStyle name="Style 1 3 5" xfId="927"/>
    <cellStyle name="Style 1 3 5 2" xfId="19058"/>
    <cellStyle name="Style 1 3 6" xfId="928"/>
    <cellStyle name="Style 1 3 6 2" xfId="19059"/>
    <cellStyle name="Style 1 3 7" xfId="917"/>
    <cellStyle name="Style 1 3 7 2" xfId="19060"/>
    <cellStyle name="Style 1 3 8" xfId="4623"/>
    <cellStyle name="Style 1 3 8 2" xfId="19047"/>
    <cellStyle name="Style 1 4" xfId="678"/>
    <cellStyle name="Style 1 4 2" xfId="679"/>
    <cellStyle name="Style 1 4 2 2" xfId="680"/>
    <cellStyle name="Style 1 4 2 2 2" xfId="931"/>
    <cellStyle name="Style 1 4 2 2 2 2" xfId="4624"/>
    <cellStyle name="Style 1 4 2 2 2 2 2" xfId="19064"/>
    <cellStyle name="Style 1 4 2 2 2 2 2 2" xfId="23821"/>
    <cellStyle name="Style 1 4 2 2 3" xfId="19063"/>
    <cellStyle name="Style 1 4 2 3" xfId="932"/>
    <cellStyle name="Style 1 4 2 3 2" xfId="4625"/>
    <cellStyle name="Style 1 4 2 3 2 2" xfId="19065"/>
    <cellStyle name="Style 1 4 2 3 3" xfId="4626"/>
    <cellStyle name="Style 1 4 2 4" xfId="933"/>
    <cellStyle name="Style 1 4 2 4 2" xfId="19066"/>
    <cellStyle name="Style 1 4 2 5" xfId="930"/>
    <cellStyle name="Style 1 4 2 5 2" xfId="19067"/>
    <cellStyle name="Style 1 4 2 6" xfId="19062"/>
    <cellStyle name="Style 1 4 3" xfId="681"/>
    <cellStyle name="Style 1 4 3 2" xfId="682"/>
    <cellStyle name="Style 1 4 3 2 2" xfId="4628"/>
    <cellStyle name="Style 1 4 3 2 2 2" xfId="23822"/>
    <cellStyle name="Style 1 4 3 2 2 3" xfId="23273"/>
    <cellStyle name="Style 1 4 3 2 3" xfId="4629"/>
    <cellStyle name="Style 1 4 3 2 4" xfId="4627"/>
    <cellStyle name="Style 1 4 3 3" xfId="934"/>
    <cellStyle name="Style 1 4 3 3 2" xfId="4631"/>
    <cellStyle name="Style 1 4 3 3 3" xfId="4630"/>
    <cellStyle name="Style 1 4 3 4" xfId="19068"/>
    <cellStyle name="Style 1 4 4" xfId="683"/>
    <cellStyle name="Style 1 4 4 2" xfId="935"/>
    <cellStyle name="Style 1 4 4 2 2" xfId="4633"/>
    <cellStyle name="Style 1 4 4 2 3" xfId="4632"/>
    <cellStyle name="Style 1 4 4 3" xfId="4634"/>
    <cellStyle name="Style 1 4 5" xfId="936"/>
    <cellStyle name="Style 1 4 5 2" xfId="4635"/>
    <cellStyle name="Style 1 4 6" xfId="929"/>
    <cellStyle name="Style 1 4 6 2" xfId="4637"/>
    <cellStyle name="Style 1 4 6 2 2" xfId="19069"/>
    <cellStyle name="Style 1 4 6 3" xfId="4638"/>
    <cellStyle name="Style 1 4 6 4" xfId="4636"/>
    <cellStyle name="Style 1 4 7" xfId="4639"/>
    <cellStyle name="Style 1 4 7 2" xfId="19061"/>
    <cellStyle name="Style 1 5" xfId="684"/>
    <cellStyle name="Style 1 5 2" xfId="685"/>
    <cellStyle name="Style 1 5 2 2" xfId="686"/>
    <cellStyle name="Style 1 5 2 2 2" xfId="939"/>
    <cellStyle name="Style 1 5 2 2 2 2" xfId="4640"/>
    <cellStyle name="Style 1 5 2 2 2 2 2" xfId="19073"/>
    <cellStyle name="Style 1 5 2 2 2 2 2 2" xfId="23823"/>
    <cellStyle name="Style 1 5 2 2 3" xfId="19072"/>
    <cellStyle name="Style 1 5 2 3" xfId="938"/>
    <cellStyle name="Style 1 5 2 3 2" xfId="4641"/>
    <cellStyle name="Style 1 5 2 3 2 2" xfId="19074"/>
    <cellStyle name="Style 1 5 2 3 3" xfId="4642"/>
    <cellStyle name="Style 1 5 2 4" xfId="4643"/>
    <cellStyle name="Style 1 5 2 4 2" xfId="19071"/>
    <cellStyle name="Style 1 5 3" xfId="687"/>
    <cellStyle name="Style 1 5 3 2" xfId="4644"/>
    <cellStyle name="Style 1 5 4" xfId="940"/>
    <cellStyle name="Style 1 5 4 2" xfId="4645"/>
    <cellStyle name="Style 1 5 4 2 2" xfId="19076"/>
    <cellStyle name="Style 1 5 4 3" xfId="4646"/>
    <cellStyle name="Style 1 5 5" xfId="941"/>
    <cellStyle name="Style 1 5 5 2" xfId="4647"/>
    <cellStyle name="Style 1 5 6" xfId="937"/>
    <cellStyle name="Style 1 5 6 2" xfId="4649"/>
    <cellStyle name="Style 1 5 6 3" xfId="4648"/>
    <cellStyle name="Style 1 5 7" xfId="19070"/>
    <cellStyle name="Style 1 6" xfId="688"/>
    <cellStyle name="Style 1 6 2" xfId="689"/>
    <cellStyle name="Style 1 6 2 2" xfId="943"/>
    <cellStyle name="Style 1 6 2 2 2" xfId="1393"/>
    <cellStyle name="Style 1 6 2 2 2 2" xfId="19079"/>
    <cellStyle name="Style 1 6 2 2 3" xfId="4650"/>
    <cellStyle name="Style 1 6 2 3" xfId="1115"/>
    <cellStyle name="Style 1 6 2 3 2" xfId="1394"/>
    <cellStyle name="Style 1 6 2 3 2 2" xfId="19080"/>
    <cellStyle name="Style 1 6 2 3 3" xfId="4651"/>
    <cellStyle name="Style 1 6 2 4" xfId="5158"/>
    <cellStyle name="Style 1 6 2 4 2" xfId="19078"/>
    <cellStyle name="Style 1 6 3" xfId="942"/>
    <cellStyle name="Style 1 6 3 2" xfId="1395"/>
    <cellStyle name="Style 1 6 3 2 2" xfId="19081"/>
    <cellStyle name="Style 1 6 3 3" xfId="4652"/>
    <cellStyle name="Style 1 6 4" xfId="1114"/>
    <cellStyle name="Style 1 6 4 2" xfId="1396"/>
    <cellStyle name="Style 1 6 4 2 2" xfId="19082"/>
    <cellStyle name="Style 1 6 4 3" xfId="4653"/>
    <cellStyle name="Style 1 6 5" xfId="5336"/>
    <cellStyle name="Style 1 6 5 2" xfId="19077"/>
    <cellStyle name="Style 1 7" xfId="690"/>
    <cellStyle name="Style 1 7 2" xfId="760"/>
    <cellStyle name="Style 1 7 2 2" xfId="5938"/>
    <cellStyle name="Style 1 7 3" xfId="944"/>
    <cellStyle name="Style 1 7 3 2" xfId="1397"/>
    <cellStyle name="Style 1 7 3 2 2" xfId="19084"/>
    <cellStyle name="Style 1 7 3 3" xfId="4654"/>
    <cellStyle name="Style 1 7 4" xfId="1116"/>
    <cellStyle name="Style 1 7 4 2" xfId="1398"/>
    <cellStyle name="Style 1 7 4 2 2" xfId="19085"/>
    <cellStyle name="Style 1 7 4 3" xfId="4655"/>
    <cellStyle name="Style 1 7 5" xfId="5931"/>
    <cellStyle name="Style 1 7 5 2" xfId="19083"/>
    <cellStyle name="Style 1 8" xfId="732"/>
    <cellStyle name="Style 1 8 2" xfId="1163"/>
    <cellStyle name="Style 1 8 2 2" xfId="4656"/>
    <cellStyle name="Style 1 8 2 2 2" xfId="5203"/>
    <cellStyle name="Style 1 8 2 2 3" xfId="5277"/>
    <cellStyle name="Style 1 8 2 2 3 2" xfId="23824"/>
    <cellStyle name="Style 1 8 2 3" xfId="5184"/>
    <cellStyle name="Style 1 8 3" xfId="1117"/>
    <cellStyle name="Style 1 8 3 2" xfId="4658"/>
    <cellStyle name="Style 1 8 3 2 2" xfId="19086"/>
    <cellStyle name="Style 1 8 3 3" xfId="4659"/>
    <cellStyle name="Style 1 8 3 4" xfId="4657"/>
    <cellStyle name="Style 1 8 4" xfId="4660"/>
    <cellStyle name="Style 1 8 4 2" xfId="5971"/>
    <cellStyle name="Style 1 8 4 2 2" xfId="23825"/>
    <cellStyle name="Style 1 9" xfId="945"/>
    <cellStyle name="Style 1 9 2" xfId="1399"/>
    <cellStyle name="Style 1 9 2 2" xfId="4662"/>
    <cellStyle name="Style 1 9 2 3" xfId="4663"/>
    <cellStyle name="Style 1 9 2 3 2" xfId="23826"/>
    <cellStyle name="Style 1 9 2 3 3" xfId="23275"/>
    <cellStyle name="Style 1 9 2 4" xfId="4661"/>
    <cellStyle name="Style 1 9 3" xfId="4664"/>
    <cellStyle name="Style 1 9 3 2" xfId="19087"/>
    <cellStyle name="Style 1 9 4" xfId="4665"/>
    <cellStyle name="Style 1 9 4 2" xfId="23827"/>
    <cellStyle name="Style 1 9 4 3" xfId="23274"/>
    <cellStyle name="Style 1_Exhibits" xfId="995"/>
    <cellStyle name="Style 2" xfId="691"/>
    <cellStyle name="Style 2 10" xfId="20375"/>
    <cellStyle name="Style 2 2" xfId="692"/>
    <cellStyle name="Style 2 2 2" xfId="693"/>
    <cellStyle name="Style 2 2 2 2" xfId="4666"/>
    <cellStyle name="Style 2 2 3" xfId="4667"/>
    <cellStyle name="Style 2 3" xfId="694"/>
    <cellStyle name="Style 2 3 2" xfId="946"/>
    <cellStyle name="Style 2 3 2 2" xfId="4668"/>
    <cellStyle name="Style 2 3 2 2 2" xfId="5978"/>
    <cellStyle name="Style 2 3 2 2 2 2" xfId="23828"/>
    <cellStyle name="Style 2 3 3" xfId="2411"/>
    <cellStyle name="Style 2 3 3 2" xfId="5202"/>
    <cellStyle name="Style 2 3 3 2 2" xfId="18277"/>
    <cellStyle name="Style 2 3 4" xfId="18910"/>
    <cellStyle name="Style 2 4" xfId="1118"/>
    <cellStyle name="Style 2 4 2" xfId="2413"/>
    <cellStyle name="Style 2 4 2 2" xfId="4669"/>
    <cellStyle name="Style 2 4 2 2 2" xfId="5405"/>
    <cellStyle name="Style 2 4 2 2 2 2" xfId="23829"/>
    <cellStyle name="Style 2 4 2 3" xfId="21964"/>
    <cellStyle name="Style 2 4 3" xfId="2412"/>
    <cellStyle name="Style 2 4 3 2" xfId="5625"/>
    <cellStyle name="Style 2 4 3 2 2" xfId="23830"/>
    <cellStyle name="Style 2 4 3 3" xfId="4670"/>
    <cellStyle name="Style 2 4 4" xfId="17777"/>
    <cellStyle name="Style 2 5" xfId="1684"/>
    <cellStyle name="Style 2 5 2" xfId="2415"/>
    <cellStyle name="Style 2 5 2 2" xfId="5164"/>
    <cellStyle name="Style 2 5 2 3" xfId="19088"/>
    <cellStyle name="Style 2 5 3" xfId="2414"/>
    <cellStyle name="Style 2 5 3 2" xfId="5626"/>
    <cellStyle name="Style 2 5 3 2 2" xfId="23831"/>
    <cellStyle name="Style 2 5 3 3" xfId="4671"/>
    <cellStyle name="Style 2 5 4" xfId="20374"/>
    <cellStyle name="Style 2 6" xfId="2416"/>
    <cellStyle name="Style 2 6 2" xfId="2417"/>
    <cellStyle name="Style 2 6 2 2" xfId="18362"/>
    <cellStyle name="Style 2 6 3" xfId="18363"/>
    <cellStyle name="Style 2 7" xfId="2418"/>
    <cellStyle name="Style 2 7 2" xfId="2419"/>
    <cellStyle name="Style 2 7 2 2" xfId="17837"/>
    <cellStyle name="Style 2 7 3" xfId="5188"/>
    <cellStyle name="Style 2 7 3 2" xfId="18278"/>
    <cellStyle name="Style 2 8" xfId="2420"/>
    <cellStyle name="Style 2 8 2" xfId="17836"/>
    <cellStyle name="Style 2 9" xfId="2421"/>
    <cellStyle name="Style 2 9 2" xfId="19032"/>
    <cellStyle name="Style 21" xfId="1685"/>
    <cellStyle name="Style 22" xfId="1686"/>
    <cellStyle name="Style 23" xfId="1687"/>
    <cellStyle name="Style 24" xfId="1688"/>
    <cellStyle name="Style 24 2" xfId="4673"/>
    <cellStyle name="Style 24 3" xfId="4672"/>
    <cellStyle name="Style 25" xfId="1689"/>
    <cellStyle name="Style 26" xfId="1690"/>
    <cellStyle name="Style 26 2" xfId="4675"/>
    <cellStyle name="Style 26 3" xfId="4674"/>
    <cellStyle name="Style 27" xfId="1211"/>
    <cellStyle name="Style 3" xfId="695"/>
    <cellStyle name="Style 3 2" xfId="1119"/>
    <cellStyle name="Style 3 2 2" xfId="4676"/>
    <cellStyle name="Style 3 2 2 2" xfId="5137"/>
    <cellStyle name="Style 3 3" xfId="2422"/>
    <cellStyle name="Style 32" xfId="4677"/>
    <cellStyle name="Style 4" xfId="696"/>
    <cellStyle name="Style 4 2" xfId="1120"/>
    <cellStyle name="Style 4 2 2" xfId="4678"/>
    <cellStyle name="Style 4 2 2 2" xfId="5138"/>
    <cellStyle name="Style 4 3" xfId="2423"/>
    <cellStyle name="Style 5" xfId="697"/>
    <cellStyle name="Style 5 2" xfId="698"/>
    <cellStyle name="Style 5 2 2" xfId="699"/>
    <cellStyle name="Style 5 2 2 2" xfId="700"/>
    <cellStyle name="Style 5 2 2 2 2" xfId="4679"/>
    <cellStyle name="Style 5 2 2 3" xfId="4680"/>
    <cellStyle name="Style 5 2 3" xfId="701"/>
    <cellStyle name="Style 5 2 3 2" xfId="4682"/>
    <cellStyle name="Style 5 2 3 3" xfId="4683"/>
    <cellStyle name="Style 5 2 3 4" xfId="4681"/>
    <cellStyle name="Style 5 2 4" xfId="4684"/>
    <cellStyle name="Style 5 3" xfId="702"/>
    <cellStyle name="Style 5 3 2" xfId="703"/>
    <cellStyle name="Style 5 3 2 2" xfId="4685"/>
    <cellStyle name="Style 5 3 3" xfId="4686"/>
    <cellStyle name="Style 5 4" xfId="704"/>
    <cellStyle name="Style 5 4 2" xfId="2424"/>
    <cellStyle name="Style 5 4 2 2" xfId="5980"/>
    <cellStyle name="Style 5 4 3" xfId="5979"/>
    <cellStyle name="Style 5 5" xfId="705"/>
    <cellStyle name="Style 5 5 2" xfId="761"/>
    <cellStyle name="Style 5 5 2 2" xfId="5201"/>
    <cellStyle name="Style 5 5 3" xfId="5983"/>
    <cellStyle name="Style 5 6" xfId="2425"/>
    <cellStyle name="Style 5 6 2" xfId="2426"/>
    <cellStyle name="Style 5 6 2 2" xfId="18280"/>
    <cellStyle name="Style 5 6 3" xfId="18279"/>
    <cellStyle name="Style 5 7" xfId="2427"/>
    <cellStyle name="Style 5 7 2" xfId="2428"/>
    <cellStyle name="Style 5 7 2 2" xfId="17838"/>
    <cellStyle name="Style 5 7 3" xfId="17839"/>
    <cellStyle name="Style 5 8" xfId="2429"/>
    <cellStyle name="Style 5 8 2" xfId="4687"/>
    <cellStyle name="Style 5 9" xfId="18146"/>
    <cellStyle name="Style 6" xfId="4688"/>
    <cellStyle name="Style 7" xfId="4689"/>
    <cellStyle name="Style 8" xfId="4690"/>
    <cellStyle name="STYLE1" xfId="4691"/>
    <cellStyle name="STYLE2" xfId="4692"/>
    <cellStyle name="styleColumnTitles" xfId="4693"/>
    <cellStyle name="styleSeriesAttributes" xfId="4694"/>
    <cellStyle name="styleSeriesData" xfId="4695"/>
    <cellStyle name="styleSeriesDataForecast" xfId="4696"/>
    <cellStyle name="SubDollar" xfId="4697"/>
    <cellStyle name="SubGrowthRate" xfId="4698"/>
    <cellStyle name="Subhead" xfId="4699"/>
    <cellStyle name="Subscribers" xfId="4700"/>
    <cellStyle name="SubScript" xfId="4701"/>
    <cellStyle name="Subtotal" xfId="4702"/>
    <cellStyle name="SubVariable" xfId="4703"/>
    <cellStyle name="SuperScript" xfId="4704"/>
    <cellStyle name="Synopsis" xfId="5029"/>
    <cellStyle name="Synopsis 2" xfId="5095"/>
    <cellStyle name="Table Heading" xfId="996"/>
    <cellStyle name="Table Title" xfId="4705"/>
    <cellStyle name="Table Units" xfId="4706"/>
    <cellStyle name="Table Units 2" xfId="4707"/>
    <cellStyle name="Table Units 3" xfId="5125"/>
    <cellStyle name="TableName" xfId="4708"/>
    <cellStyle name="TableName 2" xfId="5030"/>
    <cellStyle name="Text Wrap" xfId="4709"/>
    <cellStyle name="textbold" xfId="706"/>
    <cellStyle name="textbold 2" xfId="707"/>
    <cellStyle name="textbold 3" xfId="708"/>
    <cellStyle name="TextBold 4" xfId="4710"/>
    <cellStyle name="TextBold 5" xfId="4711"/>
    <cellStyle name="TextBold 6" xfId="6073"/>
    <cellStyle name="Text-fin statements" xfId="5031"/>
    <cellStyle name="TextItalic" xfId="4712"/>
    <cellStyle name="TextNormal" xfId="4713"/>
    <cellStyle name="Title" xfId="6027" builtinId="15" customBuiltin="1"/>
    <cellStyle name="Title 2" xfId="709"/>
    <cellStyle name="Title 3" xfId="1121"/>
    <cellStyle name="Title 3 2" xfId="4716"/>
    <cellStyle name="Title 3 3" xfId="4717"/>
    <cellStyle name="Title 3 4" xfId="4715"/>
    <cellStyle name="Title 3 5" xfId="23276"/>
    <cellStyle name="Title 4" xfId="4714"/>
    <cellStyle name="Title Line" xfId="997"/>
    <cellStyle name="title1" xfId="710"/>
    <cellStyle name="title2" xfId="711"/>
    <cellStyle name="TitleBar" xfId="5032"/>
    <cellStyle name="TitleII" xfId="4718"/>
    <cellStyle name="TitleNormal" xfId="4719"/>
    <cellStyle name="Titles" xfId="712"/>
    <cellStyle name="Titles 2" xfId="5033"/>
    <cellStyle name="Titre colonne" xfId="23277"/>
    <cellStyle name="Titre colonnes" xfId="23278"/>
    <cellStyle name="Titre general" xfId="23279"/>
    <cellStyle name="Titre général" xfId="23280"/>
    <cellStyle name="Titre ligne" xfId="23281"/>
    <cellStyle name="Titre lignes" xfId="23282"/>
    <cellStyle name="Titre tableau" xfId="23283"/>
    <cellStyle name="top" xfId="4720"/>
    <cellStyle name="Top Line" xfId="713"/>
    <cellStyle name="Top Row" xfId="998"/>
    <cellStyle name="Top Row 10" xfId="1692"/>
    <cellStyle name="Top Row 11" xfId="1691"/>
    <cellStyle name="Top Row 2" xfId="999"/>
    <cellStyle name="Top Row 3" xfId="1693"/>
    <cellStyle name="Top Row 4" xfId="1694"/>
    <cellStyle name="Top Row 5" xfId="1695"/>
    <cellStyle name="Top Row 6" xfId="1696"/>
    <cellStyle name="Top Row 7" xfId="1697"/>
    <cellStyle name="Top Row 8" xfId="1698"/>
    <cellStyle name="Top Row 9" xfId="1699"/>
    <cellStyle name="Top Row_10794" xfId="1700"/>
    <cellStyle name="top-title" xfId="4721"/>
    <cellStyle name="Total" xfId="6039" builtinId="25" customBuiltin="1"/>
    <cellStyle name="Total 10" xfId="4723"/>
    <cellStyle name="Total 11" xfId="4722"/>
    <cellStyle name="Total 2" xfId="714"/>
    <cellStyle name="Total 2 2" xfId="4725"/>
    <cellStyle name="Total 2 2 2" xfId="4726"/>
    <cellStyle name="Total 2 3" xfId="5141"/>
    <cellStyle name="Total 2 4" xfId="4724"/>
    <cellStyle name="Total 3" xfId="1122"/>
    <cellStyle name="Total 3 2" xfId="4728"/>
    <cellStyle name="Total 3 3" xfId="4727"/>
    <cellStyle name="Total 3 4" xfId="23284"/>
    <cellStyle name="Total 4" xfId="4729"/>
    <cellStyle name="Total 5" xfId="4730"/>
    <cellStyle name="Total 6" xfId="4731"/>
    <cellStyle name="Total 7" xfId="4732"/>
    <cellStyle name="Total 8" xfId="4733"/>
    <cellStyle name="Total 9" xfId="4734"/>
    <cellStyle name="Total intermediaire" xfId="23285"/>
    <cellStyle name="Total intermediaire 0" xfId="23286"/>
    <cellStyle name="Total intermediaire 1" xfId="23223"/>
    <cellStyle name="Total intermediaire_Sheet1" xfId="23224"/>
    <cellStyle name="Total Row" xfId="1000"/>
    <cellStyle name="Total tableau" xfId="23248"/>
    <cellStyle name="Totals" xfId="715"/>
    <cellStyle name="Totals 2" xfId="2440"/>
    <cellStyle name="Totals 3" xfId="2447"/>
    <cellStyle name="TRHyperlink" xfId="23287"/>
    <cellStyle name="underline 1 decimal" xfId="716"/>
    <cellStyle name="UnderlineNormal" xfId="4735"/>
    <cellStyle name="UnderlineNormal 2" xfId="5034"/>
    <cellStyle name="Unprot" xfId="4736"/>
    <cellStyle name="Unprot$" xfId="4737"/>
    <cellStyle name="Unprotect" xfId="4738"/>
    <cellStyle name="Unprotected" xfId="4739"/>
    <cellStyle name="UnProtectedCalc" xfId="717"/>
    <cellStyle name="UnProtectedCalc 2" xfId="4740"/>
    <cellStyle name="UnProtectedCalc 3" xfId="5135"/>
    <cellStyle name="Upload Only" xfId="718"/>
    <cellStyle name="Upload Only 2" xfId="4741"/>
    <cellStyle name="Use_1dp" xfId="5035"/>
    <cellStyle name="UseB_1dp" xfId="5036"/>
    <cellStyle name="Währung_ACEA" xfId="23225"/>
    <cellStyle name="Warning Text" xfId="2836" builtinId="11" customBuiltin="1"/>
    <cellStyle name="Warning Text 2" xfId="719"/>
    <cellStyle name="Warning Text 3" xfId="1123"/>
    <cellStyle name="Warning Text 3 2" xfId="4744"/>
    <cellStyle name="Warning Text 3 3" xfId="4743"/>
    <cellStyle name="Warning Text 4" xfId="4742"/>
    <cellStyle name="WholeNumber" xfId="4745"/>
    <cellStyle name="Year" xfId="720"/>
    <cellStyle name="Year 2" xfId="721"/>
    <cellStyle name="Year 2 2" xfId="722"/>
    <cellStyle name="Year 2 2 2" xfId="723"/>
    <cellStyle name="Year 2 2 2 2" xfId="4746"/>
    <cellStyle name="Year 2 2 3" xfId="4747"/>
    <cellStyle name="Year 2 3" xfId="724"/>
    <cellStyle name="Year 2 3 2" xfId="4748"/>
    <cellStyle name="Year 2 4" xfId="4749"/>
    <cellStyle name="Year 3" xfId="725"/>
    <cellStyle name="Year 3 2" xfId="726"/>
    <cellStyle name="Year 3 2 2" xfId="4750"/>
    <cellStyle name="Year 3 3" xfId="4751"/>
    <cellStyle name="Year 4" xfId="727"/>
    <cellStyle name="Year 4 2" xfId="2448"/>
    <cellStyle name="Year 4 2 2" xfId="5406"/>
    <cellStyle name="Year 4 3" xfId="5220"/>
    <cellStyle name="Year 5" xfId="728"/>
    <cellStyle name="Year 5 2" xfId="764"/>
    <cellStyle name="Year 5 2 2" xfId="5932"/>
    <cellStyle name="Year 5 3" xfId="5973"/>
    <cellStyle name="Year 6" xfId="2449"/>
    <cellStyle name="Year 6 2" xfId="2450"/>
    <cellStyle name="Year 6 2 2" xfId="18284"/>
    <cellStyle name="Year 6 3" xfId="18364"/>
    <cellStyle name="Year 7" xfId="2451"/>
    <cellStyle name="Year 7 2" xfId="2452"/>
    <cellStyle name="Year 7 2 2" xfId="18361"/>
    <cellStyle name="Year 7 3" xfId="18285"/>
    <cellStyle name="Year 8" xfId="2453"/>
    <cellStyle name="Year 8 2" xfId="4752"/>
    <cellStyle name="Year 9" xfId="18147"/>
    <cellStyle name="Year_FT Valuation " xfId="5037"/>
    <cellStyle name="Years" xfId="4753"/>
    <cellStyle name="パーセント_QTBLNEW" xfId="1001"/>
    <cellStyle name="뷭?_BOOKSHIP_실적현황 " xfId="4754"/>
    <cellStyle name="쉼표_매출총괄(02)" xfId="4755"/>
    <cellStyle name="쬞\?1@" xfId="1389"/>
    <cellStyle name="쬞\?1@ 2" xfId="19095"/>
    <cellStyle name="콤마 [0]_   " xfId="4756"/>
    <cellStyle name="콤마_   " xfId="4757"/>
    <cellStyle name="통화 [0]_AP02MSEst" xfId="1002"/>
    <cellStyle name="통화_AP02MSEst" xfId="1003"/>
    <cellStyle name="표준_0N-HANDLING " xfId="1388"/>
    <cellStyle name="하이퍼링크_000727 IMT-2000 시설투자물량(4210) 4FA고려 필요 " xfId="4761"/>
    <cellStyle name="一般_Book2" xfId="5038"/>
    <cellStyle name="千分位[0]_Book2" xfId="5039"/>
    <cellStyle name="千分位_Book2" xfId="5040"/>
    <cellStyle name="未定義" xfId="4762"/>
    <cellStyle name="桁区切り [0.00]_new dif survey sheet" xfId="1004"/>
    <cellStyle name="桁区切り 2" xfId="11076"/>
    <cellStyle name="桁区切り 2 2" xfId="11077"/>
    <cellStyle name="桁区切り 3" xfId="11081"/>
    <cellStyle name="桁区切り 4" xfId="11083"/>
    <cellStyle name="桁区切り 5" xfId="11086"/>
    <cellStyle name="桁区切り 5 2" xfId="11090"/>
    <cellStyle name="桁区切り 6" xfId="11092"/>
    <cellStyle name="桁区切り 7" xfId="11095"/>
    <cellStyle name="標準 10" xfId="11096"/>
    <cellStyle name="標準 2" xfId="11079"/>
    <cellStyle name="標準 2 2" xfId="11088"/>
    <cellStyle name="標準 3" xfId="11080"/>
    <cellStyle name="標準 3 2" xfId="11087"/>
    <cellStyle name="標準 4" xfId="11078"/>
    <cellStyle name="標準 5" xfId="11082"/>
    <cellStyle name="標準 6" xfId="11084"/>
    <cellStyle name="標準 7" xfId="11085"/>
    <cellStyle name="標準 7 2" xfId="11089"/>
    <cellStyle name="標準 8" xfId="11091"/>
    <cellStyle name="標準 9" xfId="11094"/>
    <cellStyle name="標準_5401a" xfId="4764"/>
    <cellStyle name="百分比_Comp1-QSI,Liteon" xfId="5041"/>
    <cellStyle name="貨幣 [0]_Book2" xfId="5042"/>
    <cellStyle name="貨幣_Book2" xfId="5043"/>
    <cellStyle name="超連結_Comp-Global" xfId="5044"/>
  </cellStyles>
  <dxfs count="41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27796804194884"/>
          <c:y val="8.0200697546350119E-2"/>
          <c:w val="0.78750106811668308"/>
          <c:h val="0.70927491892553385"/>
        </c:manualLayout>
      </c:layout>
      <c:barChart>
        <c:barDir val="col"/>
        <c:grouping val="percentStacked"/>
        <c:varyColors val="0"/>
        <c:ser>
          <c:idx val="0"/>
          <c:order val="0"/>
          <c:tx>
            <c:v>China</c:v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365</c:v>
              </c:pt>
              <c:pt idx="1">
                <c:v>395</c:v>
              </c:pt>
              <c:pt idx="2">
                <c:v>662</c:v>
              </c:pt>
              <c:pt idx="3">
                <c:v>697</c:v>
              </c:pt>
              <c:pt idx="4">
                <c:v>981</c:v>
              </c:pt>
            </c:numLit>
          </c:val>
        </c:ser>
        <c:ser>
          <c:idx val="1"/>
          <c:order val="1"/>
          <c:tx>
            <c:v>United States</c:v>
          </c:tx>
          <c:spPr>
            <a:solidFill>
              <a:srgbClr val="993366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326</c:v>
              </c:pt>
              <c:pt idx="1">
                <c:v>245</c:v>
              </c:pt>
              <c:pt idx="2">
                <c:v>312</c:v>
              </c:pt>
              <c:pt idx="3">
                <c:v>407</c:v>
              </c:pt>
              <c:pt idx="4">
                <c:v>371</c:v>
              </c:pt>
            </c:numLit>
          </c:val>
        </c:ser>
        <c:ser>
          <c:idx val="2"/>
          <c:order val="2"/>
          <c:tx>
            <c:v>Germany</c:v>
          </c:tx>
          <c:spPr>
            <a:solidFill>
              <a:srgbClr val="FFFFCC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205</c:v>
              </c:pt>
              <c:pt idx="1">
                <c:v>120</c:v>
              </c:pt>
              <c:pt idx="2">
                <c:v>209</c:v>
              </c:pt>
              <c:pt idx="3">
                <c:v>230</c:v>
              </c:pt>
              <c:pt idx="4">
                <c:v>184</c:v>
              </c:pt>
            </c:numLit>
          </c:val>
        </c:ser>
        <c:ser>
          <c:idx val="3"/>
          <c:order val="3"/>
          <c:tx>
            <c:v>Korea</c:v>
          </c:tx>
          <c:spPr>
            <a:solidFill>
              <a:srgbClr val="00FFFF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130</c:v>
              </c:pt>
              <c:pt idx="1">
                <c:v>158</c:v>
              </c:pt>
              <c:pt idx="2">
                <c:v>200</c:v>
              </c:pt>
              <c:pt idx="3">
                <c:v>225</c:v>
              </c:pt>
              <c:pt idx="4">
                <c:v>150</c:v>
              </c:pt>
            </c:numLit>
          </c:val>
        </c:ser>
        <c:ser>
          <c:idx val="4"/>
          <c:order val="4"/>
          <c:tx>
            <c:v>Singapore</c:v>
          </c:tx>
          <c:spPr>
            <a:solidFill>
              <a:srgbClr val="660066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171</c:v>
              </c:pt>
              <c:pt idx="1">
                <c:v>148</c:v>
              </c:pt>
              <c:pt idx="2">
                <c:v>137</c:v>
              </c:pt>
              <c:pt idx="3">
                <c:v>106</c:v>
              </c:pt>
              <c:pt idx="4">
                <c:v>97</c:v>
              </c:pt>
            </c:numLit>
          </c:val>
        </c:ser>
        <c:ser>
          <c:idx val="5"/>
          <c:order val="5"/>
          <c:tx>
            <c:v>Rest of the World</c:v>
          </c:tx>
          <c:spPr>
            <a:solidFill>
              <a:srgbClr val="FF8080"/>
            </a:solidFill>
            <a:ln w="25400">
              <a:noFill/>
            </a:ln>
          </c:spPr>
          <c:invertIfNegative val="0"/>
          <c:cat>
            <c:strLit>
              <c:ptCount val="5"/>
              <c:pt idx="0">
                <c:v>FY2008</c:v>
              </c:pt>
              <c:pt idx="1">
                <c:v>FY2009</c:v>
              </c:pt>
              <c:pt idx="2">
                <c:v>FY2010</c:v>
              </c:pt>
              <c:pt idx="3">
                <c:v>FY2011</c:v>
              </c:pt>
              <c:pt idx="4">
                <c:v>FY2012</c:v>
              </c:pt>
            </c:strLit>
          </c:cat>
          <c:val>
            <c:numLit>
              <c:formatCode>General</c:formatCode>
              <c:ptCount val="5"/>
              <c:pt idx="0">
                <c:v>502</c:v>
              </c:pt>
              <c:pt idx="1">
                <c:v>418</c:v>
              </c:pt>
              <c:pt idx="2">
                <c:v>573</c:v>
              </c:pt>
              <c:pt idx="3">
                <c:v>671</c:v>
              </c:pt>
              <c:pt idx="4">
                <c:v>581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161920"/>
        <c:axId val="110164224"/>
      </c:barChart>
      <c:catAx>
        <c:axId val="110161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16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16422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1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1619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73611402741324"/>
          <c:y val="0.894738947105296"/>
          <c:w val="0.73194546515018954"/>
          <c:h val="6.015063906485373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200</xdr:row>
      <xdr:rowOff>104775</xdr:rowOff>
    </xdr:to>
    <xdr:pic>
      <xdr:nvPicPr>
        <xdr:cNvPr id="60464129" name="Picture 1" descr="C:\Users\vinayakr\AppData\Local\Temp\MercuryPriceRatingHistoryChart\AVGO.O_2018_03_19_00_20_3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1</xdr:col>
      <xdr:colOff>1885950</xdr:colOff>
      <xdr:row>0</xdr:row>
      <xdr:rowOff>781050</xdr:rowOff>
    </xdr:to>
    <xdr:pic>
      <xdr:nvPicPr>
        <xdr:cNvPr id="47813966" name="Picture 23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7625"/>
          <a:ext cx="184785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1</xdr:col>
      <xdr:colOff>1885950</xdr:colOff>
      <xdr:row>0</xdr:row>
      <xdr:rowOff>781050</xdr:rowOff>
    </xdr:to>
    <xdr:pic>
      <xdr:nvPicPr>
        <xdr:cNvPr id="57386089" name="Picture 13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7625"/>
          <a:ext cx="184785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263</xdr:row>
      <xdr:rowOff>0</xdr:rowOff>
    </xdr:from>
    <xdr:to>
      <xdr:col>56</xdr:col>
      <xdr:colOff>0</xdr:colOff>
      <xdr:row>284</xdr:row>
      <xdr:rowOff>0</xdr:rowOff>
    </xdr:to>
    <xdr:graphicFrame macro="">
      <xdr:nvGraphicFramePr>
        <xdr:cNvPr id="2742435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38100</xdr:colOff>
      <xdr:row>0</xdr:row>
      <xdr:rowOff>47625</xdr:rowOff>
    </xdr:from>
    <xdr:to>
      <xdr:col>1</xdr:col>
      <xdr:colOff>1885950</xdr:colOff>
      <xdr:row>0</xdr:row>
      <xdr:rowOff>781050</xdr:rowOff>
    </xdr:to>
    <xdr:pic>
      <xdr:nvPicPr>
        <xdr:cNvPr id="2742435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7625"/>
          <a:ext cx="184785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3.xml.rels><?xml version="1.0" encoding="UTF-8" standalone="yes"?>
<Relationships xmlns="http://schemas.openxmlformats.org/package/2006/relationships">
<Relationship Id="rId1" Target="SEMI%20CAP/Joe%20Files/Companies/AVGO/Models/AVGO%20WIP_082814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Income Statement"/>
      <sheetName val="Margins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Comps"/>
      <sheetName val="Switches"/>
      <sheetName val="EBITDA"/>
      <sheetName val="TimeSeries"/>
      <sheetName val="Valuation Analyzer"/>
      <sheetName val="GWP-WLine"/>
      <sheetName val="SSB Nielsen Sales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IS Consolidated"/>
      <sheetName val="BS "/>
      <sheetName val="CFS "/>
      <sheetName val="BU Segment AVGO-LSI"/>
      <sheetName val="Exhibits"/>
      <sheetName val="By Segm"/>
      <sheetName val="Avago-LSI Pro-forma"/>
      <sheetName val="Bull_Bear_Pro-forma"/>
      <sheetName val="BU Segment AVGO"/>
      <sheetName val="MW-Cache"/>
      <sheetName val="IS New vs. Old"/>
      <sheetName val="Chart1"/>
      <sheetName val="BU Segment New vs. Old"/>
      <sheetName val="Table New vs. old"/>
      <sheetName val="IS YoY Growth Analysis"/>
      <sheetName val="R&amp;D"/>
      <sheetName val="BU-Seasonality"/>
      <sheetName val="AFOSHEET"/>
      <sheetName val="Old vs. New"/>
      <sheetName val="Snapshot"/>
      <sheetName val="QoQ Comp"/>
      <sheetName val="Bull_Bear"/>
      <sheetName val="Industrial vs. Comm"/>
      <sheetName val="Buybacks"/>
      <sheetName val="EPS Bridge"/>
      <sheetName val="Industry Analysis"/>
      <sheetName val="Initiation Exhibits"/>
      <sheetName val="SOTP"/>
      <sheetName val="Frequency Bands"/>
      <sheetName val="DCF"/>
      <sheetName val="MS vs. Cons."/>
      <sheetName val="mwareDates"/>
      <sheetName val="MacroForPub"/>
      <sheetName val="MWA RR"/>
      <sheetName val="Avago Pro-forma1"/>
      <sheetName val="Bull_Bear_Pro-forma1"/>
      <sheetName val="mwareSetting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31">
          <cell r="B131" t="str">
            <v>China</v>
          </cell>
        </row>
        <row r="132">
          <cell r="B132" t="str">
            <v>United States</v>
          </cell>
        </row>
        <row r="133">
          <cell r="B133" t="str">
            <v>Germany</v>
          </cell>
        </row>
        <row r="134">
          <cell r="B134" t="str">
            <v>Korea</v>
          </cell>
        </row>
        <row r="135">
          <cell r="B135" t="str">
            <v>Singapore</v>
          </cell>
        </row>
        <row r="136">
          <cell r="B136" t="str">
            <v>Rest of the World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A1" s="312"/>
      <c r="B1" t="s">
        <v>117</v>
      </c>
    </row>
  </sheetData>
  <phoneticPr fontId="46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1"/>
  <sheetViews>
    <sheetView showGridLines="0" tabSelected="1" workbookViewId="0">
      <selection activeCell="Z1" sqref="Z1"/>
    </sheetView>
  </sheetViews>
  <sheetFormatPr defaultRowHeight="12.75"/>
  <cols>
    <col min="1" max="1" width="25.7109375" style="1490" customWidth="1"/>
    <col min="2" max="5" width="9.140625" style="1490"/>
    <col min="6" max="6" width="18.7109375" style="1490" customWidth="1"/>
    <col min="7" max="256" width="9.140625" style="1490"/>
    <col min="257" max="257" width="100.7109375" style="1490" customWidth="1"/>
    <col min="258" max="512" width="9.140625" style="1490"/>
    <col min="513" max="513" width="100.7109375" style="1490" customWidth="1"/>
    <col min="514" max="768" width="9.140625" style="1490"/>
    <col min="769" max="769" width="100.7109375" style="1490" customWidth="1"/>
    <col min="770" max="1024" width="9.140625" style="1490"/>
    <col min="1025" max="1025" width="100.7109375" style="1490" customWidth="1"/>
    <col min="1026" max="1280" width="9.140625" style="1490"/>
    <col min="1281" max="1281" width="100.7109375" style="1490" customWidth="1"/>
    <col min="1282" max="1536" width="9.140625" style="1490"/>
    <col min="1537" max="1537" width="100.7109375" style="1490" customWidth="1"/>
    <col min="1538" max="1792" width="9.140625" style="1490"/>
    <col min="1793" max="1793" width="100.7109375" style="1490" customWidth="1"/>
    <col min="1794" max="2048" width="9.140625" style="1490"/>
    <col min="2049" max="2049" width="100.7109375" style="1490" customWidth="1"/>
    <col min="2050" max="2304" width="9.140625" style="1490"/>
    <col min="2305" max="2305" width="100.7109375" style="1490" customWidth="1"/>
    <col min="2306" max="2560" width="9.140625" style="1490"/>
    <col min="2561" max="2561" width="100.7109375" style="1490" customWidth="1"/>
    <col min="2562" max="2816" width="9.140625" style="1490"/>
    <col min="2817" max="2817" width="100.7109375" style="1490" customWidth="1"/>
    <col min="2818" max="3072" width="9.140625" style="1490"/>
    <col min="3073" max="3073" width="100.7109375" style="1490" customWidth="1"/>
    <col min="3074" max="3328" width="9.140625" style="1490"/>
    <col min="3329" max="3329" width="100.7109375" style="1490" customWidth="1"/>
    <col min="3330" max="3584" width="9.140625" style="1490"/>
    <col min="3585" max="3585" width="100.7109375" style="1490" customWidth="1"/>
    <col min="3586" max="3840" width="9.140625" style="1490"/>
    <col min="3841" max="3841" width="100.7109375" style="1490" customWidth="1"/>
    <col min="3842" max="4096" width="9.140625" style="1490"/>
    <col min="4097" max="4097" width="100.7109375" style="1490" customWidth="1"/>
    <col min="4098" max="4352" width="9.140625" style="1490"/>
    <col min="4353" max="4353" width="100.7109375" style="1490" customWidth="1"/>
    <col min="4354" max="4608" width="9.140625" style="1490"/>
    <col min="4609" max="4609" width="100.7109375" style="1490" customWidth="1"/>
    <col min="4610" max="4864" width="9.140625" style="1490"/>
    <col min="4865" max="4865" width="100.7109375" style="1490" customWidth="1"/>
    <col min="4866" max="5120" width="9.140625" style="1490"/>
    <col min="5121" max="5121" width="100.7109375" style="1490" customWidth="1"/>
    <col min="5122" max="5376" width="9.140625" style="1490"/>
    <col min="5377" max="5377" width="100.7109375" style="1490" customWidth="1"/>
    <col min="5378" max="5632" width="9.140625" style="1490"/>
    <col min="5633" max="5633" width="100.7109375" style="1490" customWidth="1"/>
    <col min="5634" max="5888" width="9.140625" style="1490"/>
    <col min="5889" max="5889" width="100.7109375" style="1490" customWidth="1"/>
    <col min="5890" max="6144" width="9.140625" style="1490"/>
    <col min="6145" max="6145" width="100.7109375" style="1490" customWidth="1"/>
    <col min="6146" max="6400" width="9.140625" style="1490"/>
    <col min="6401" max="6401" width="100.7109375" style="1490" customWidth="1"/>
    <col min="6402" max="6656" width="9.140625" style="1490"/>
    <col min="6657" max="6657" width="100.7109375" style="1490" customWidth="1"/>
    <col min="6658" max="6912" width="9.140625" style="1490"/>
    <col min="6913" max="6913" width="100.7109375" style="1490" customWidth="1"/>
    <col min="6914" max="7168" width="9.140625" style="1490"/>
    <col min="7169" max="7169" width="100.7109375" style="1490" customWidth="1"/>
    <col min="7170" max="7424" width="9.140625" style="1490"/>
    <col min="7425" max="7425" width="100.7109375" style="1490" customWidth="1"/>
    <col min="7426" max="7680" width="9.140625" style="1490"/>
    <col min="7681" max="7681" width="100.7109375" style="1490" customWidth="1"/>
    <col min="7682" max="7936" width="9.140625" style="1490"/>
    <col min="7937" max="7937" width="100.7109375" style="1490" customWidth="1"/>
    <col min="7938" max="8192" width="9.140625" style="1490"/>
    <col min="8193" max="8193" width="100.7109375" style="1490" customWidth="1"/>
    <col min="8194" max="8448" width="9.140625" style="1490"/>
    <col min="8449" max="8449" width="100.7109375" style="1490" customWidth="1"/>
    <col min="8450" max="8704" width="9.140625" style="1490"/>
    <col min="8705" max="8705" width="100.7109375" style="1490" customWidth="1"/>
    <col min="8706" max="8960" width="9.140625" style="1490"/>
    <col min="8961" max="8961" width="100.7109375" style="1490" customWidth="1"/>
    <col min="8962" max="9216" width="9.140625" style="1490"/>
    <col min="9217" max="9217" width="100.7109375" style="1490" customWidth="1"/>
    <col min="9218" max="9472" width="9.140625" style="1490"/>
    <col min="9473" max="9473" width="100.7109375" style="1490" customWidth="1"/>
    <col min="9474" max="9728" width="9.140625" style="1490"/>
    <col min="9729" max="9729" width="100.7109375" style="1490" customWidth="1"/>
    <col min="9730" max="9984" width="9.140625" style="1490"/>
    <col min="9985" max="9985" width="100.7109375" style="1490" customWidth="1"/>
    <col min="9986" max="10240" width="9.140625" style="1490"/>
    <col min="10241" max="10241" width="100.7109375" style="1490" customWidth="1"/>
    <col min="10242" max="10496" width="9.140625" style="1490"/>
    <col min="10497" max="10497" width="100.7109375" style="1490" customWidth="1"/>
    <col min="10498" max="10752" width="9.140625" style="1490"/>
    <col min="10753" max="10753" width="100.7109375" style="1490" customWidth="1"/>
    <col min="10754" max="11008" width="9.140625" style="1490"/>
    <col min="11009" max="11009" width="100.7109375" style="1490" customWidth="1"/>
    <col min="11010" max="11264" width="9.140625" style="1490"/>
    <col min="11265" max="11265" width="100.7109375" style="1490" customWidth="1"/>
    <col min="11266" max="11520" width="9.140625" style="1490"/>
    <col min="11521" max="11521" width="100.7109375" style="1490" customWidth="1"/>
    <col min="11522" max="11776" width="9.140625" style="1490"/>
    <col min="11777" max="11777" width="100.7109375" style="1490" customWidth="1"/>
    <col min="11778" max="12032" width="9.140625" style="1490"/>
    <col min="12033" max="12033" width="100.7109375" style="1490" customWidth="1"/>
    <col min="12034" max="12288" width="9.140625" style="1490"/>
    <col min="12289" max="12289" width="100.7109375" style="1490" customWidth="1"/>
    <col min="12290" max="12544" width="9.140625" style="1490"/>
    <col min="12545" max="12545" width="100.7109375" style="1490" customWidth="1"/>
    <col min="12546" max="12800" width="9.140625" style="1490"/>
    <col min="12801" max="12801" width="100.7109375" style="1490" customWidth="1"/>
    <col min="12802" max="13056" width="9.140625" style="1490"/>
    <col min="13057" max="13057" width="100.7109375" style="1490" customWidth="1"/>
    <col min="13058" max="13312" width="9.140625" style="1490"/>
    <col min="13313" max="13313" width="100.7109375" style="1490" customWidth="1"/>
    <col min="13314" max="13568" width="9.140625" style="1490"/>
    <col min="13569" max="13569" width="100.7109375" style="1490" customWidth="1"/>
    <col min="13570" max="13824" width="9.140625" style="1490"/>
    <col min="13825" max="13825" width="100.7109375" style="1490" customWidth="1"/>
    <col min="13826" max="14080" width="9.140625" style="1490"/>
    <col min="14081" max="14081" width="100.7109375" style="1490" customWidth="1"/>
    <col min="14082" max="14336" width="9.140625" style="1490"/>
    <col min="14337" max="14337" width="100.7109375" style="1490" customWidth="1"/>
    <col min="14338" max="14592" width="9.140625" style="1490"/>
    <col min="14593" max="14593" width="100.7109375" style="1490" customWidth="1"/>
    <col min="14594" max="14848" width="9.140625" style="1490"/>
    <col min="14849" max="14849" width="100.7109375" style="1490" customWidth="1"/>
    <col min="14850" max="15104" width="9.140625" style="1490"/>
    <col min="15105" max="15105" width="100.7109375" style="1490" customWidth="1"/>
    <col min="15106" max="15360" width="9.140625" style="1490"/>
    <col min="15361" max="15361" width="100.7109375" style="1490" customWidth="1"/>
    <col min="15362" max="15616" width="9.140625" style="1490"/>
    <col min="15617" max="15617" width="100.7109375" style="1490" customWidth="1"/>
    <col min="15618" max="15872" width="9.140625" style="1490"/>
    <col min="15873" max="15873" width="100.7109375" style="1490" customWidth="1"/>
    <col min="15874" max="16128" width="9.140625" style="1490"/>
    <col min="16129" max="16129" width="100.7109375" style="1490" customWidth="1"/>
    <col min="16130" max="16384" width="9.140625" style="1490"/>
  </cols>
  <sheetData>
    <row r="1" spans="1:8" ht="30" customHeight="1">
      <c r="A1" s="1488"/>
      <c r="B1" s="1489"/>
      <c r="C1" s="1489"/>
      <c r="D1" s="1489"/>
      <c r="E1" s="1489"/>
      <c r="F1" s="1489"/>
      <c r="G1" s="1489"/>
      <c r="H1" s="1489"/>
    </row>
    <row r="2" spans="1:8" ht="14.25">
      <c r="A2" s="1491" t="s">
        <v>435</v>
      </c>
      <c r="B2" s="1489"/>
      <c r="C2" s="1489"/>
      <c r="D2" s="1489"/>
      <c r="E2" s="1489"/>
      <c r="F2" s="1489"/>
      <c r="G2" s="1489"/>
      <c r="H2" s="1489"/>
    </row>
    <row r="3" spans="1:8" ht="14.25">
      <c r="A3" s="1491" t="s">
        <v>436</v>
      </c>
      <c r="B3" s="1489"/>
      <c r="C3" s="1489"/>
      <c r="D3" s="1489"/>
      <c r="E3" s="1489"/>
      <c r="F3" s="1489"/>
      <c r="G3" s="1489"/>
      <c r="H3" s="1489"/>
    </row>
    <row r="4" spans="1:8" ht="14.25">
      <c r="A4" s="1491" t="s">
        <v>222</v>
      </c>
      <c r="B4" s="1489"/>
      <c r="C4" s="1489"/>
      <c r="D4" s="1489"/>
      <c r="E4" s="1489"/>
      <c r="F4" s="1489"/>
      <c r="G4" s="1489"/>
      <c r="H4" s="1489"/>
    </row>
    <row r="5" spans="1:8" ht="14.25">
      <c r="A5" s="1491" t="s">
        <v>437</v>
      </c>
      <c r="B5" s="1489"/>
      <c r="C5" s="1489"/>
      <c r="D5" s="1489"/>
      <c r="E5" s="1489"/>
      <c r="F5" s="1489"/>
      <c r="G5" s="1489"/>
      <c r="H5" s="1489"/>
    </row>
    <row r="6" spans="1:8" ht="14.25">
      <c r="A6" s="1491"/>
      <c r="B6" s="1489"/>
      <c r="C6" s="1489"/>
      <c r="D6" s="1489"/>
      <c r="E6" s="1489"/>
      <c r="F6" s="1489"/>
      <c r="G6" s="1489"/>
      <c r="H6" s="1489"/>
    </row>
    <row r="7" spans="1:8">
      <c r="A7" s="1488" t="s">
        <v>438</v>
      </c>
      <c r="B7" s="1489"/>
      <c r="C7" s="1489"/>
      <c r="D7" s="1489"/>
      <c r="E7" s="1489"/>
      <c r="F7" s="1489"/>
      <c r="G7" s="1489"/>
      <c r="H7" s="1489"/>
    </row>
    <row r="8" spans="1:8">
      <c r="A8" s="1488" t="s">
        <v>439</v>
      </c>
      <c r="B8" s="1489"/>
      <c r="C8" s="1489"/>
      <c r="D8" s="1489"/>
      <c r="E8" s="1489"/>
      <c r="F8" s="1489"/>
      <c r="G8" s="1489"/>
      <c r="H8" s="1489"/>
    </row>
    <row r="9" spans="1:8">
      <c r="A9" s="1488"/>
      <c r="B9" s="1489"/>
      <c r="C9" s="1489"/>
      <c r="D9" s="1489"/>
      <c r="E9" s="1489"/>
      <c r="F9" s="1489"/>
      <c r="G9" s="1489"/>
      <c r="H9" s="1489"/>
    </row>
    <row r="10" spans="1:8">
      <c r="A10" s="1492" t="s">
        <v>440</v>
      </c>
      <c r="B10" s="1489"/>
      <c r="C10" s="1489"/>
      <c r="D10" s="1489"/>
      <c r="E10" s="1489"/>
      <c r="F10" s="1489"/>
      <c r="G10" s="1489"/>
      <c r="H10" s="1489"/>
    </row>
    <row r="11" spans="1:8">
      <c r="A11" s="1492" t="s">
        <v>441</v>
      </c>
      <c r="B11" s="1489"/>
      <c r="C11" s="1489"/>
      <c r="D11" s="1489"/>
      <c r="E11" s="1489"/>
      <c r="F11" s="1489"/>
      <c r="G11" s="1489"/>
      <c r="H11" s="1489"/>
    </row>
    <row r="12" spans="1:8">
      <c r="A12" s="1492" t="s">
        <v>442</v>
      </c>
      <c r="B12" s="1489"/>
      <c r="C12" s="1489"/>
      <c r="D12" s="1489"/>
      <c r="E12" s="1489"/>
      <c r="F12" s="1489"/>
      <c r="G12" s="1489"/>
      <c r="H12" s="1489"/>
    </row>
    <row r="13" spans="1:8">
      <c r="A13" s="1492" t="s">
        <v>443</v>
      </c>
      <c r="B13" s="1489"/>
      <c r="C13" s="1489"/>
      <c r="D13" s="1489"/>
      <c r="E13" s="1489"/>
      <c r="F13" s="1489"/>
      <c r="G13" s="1489"/>
      <c r="H13" s="1489"/>
    </row>
    <row r="14" spans="1:8">
      <c r="A14" s="1492" t="s">
        <v>444</v>
      </c>
      <c r="B14" s="1489"/>
      <c r="C14" s="1489"/>
      <c r="D14" s="1489"/>
      <c r="E14" s="1489"/>
      <c r="F14" s="1489"/>
      <c r="G14" s="1489"/>
      <c r="H14" s="1489"/>
    </row>
    <row r="15" spans="1:8">
      <c r="A15" s="1492" t="s">
        <v>445</v>
      </c>
      <c r="B15" s="1489"/>
      <c r="C15" s="1489"/>
      <c r="D15" s="1489"/>
      <c r="E15" s="1489"/>
      <c r="F15" s="1489"/>
      <c r="G15" s="1489"/>
      <c r="H15" s="1489"/>
    </row>
    <row r="16" spans="1:8">
      <c r="A16" s="1492"/>
      <c r="B16" s="1489"/>
      <c r="C16" s="1489"/>
      <c r="D16" s="1489"/>
      <c r="E16" s="1489"/>
      <c r="F16" s="1489"/>
      <c r="G16" s="1489"/>
      <c r="H16" s="1489"/>
    </row>
    <row r="17" spans="1:8">
      <c r="A17" s="1492" t="s">
        <v>432</v>
      </c>
      <c r="B17" s="1489"/>
      <c r="C17" s="1489"/>
      <c r="D17" s="1489"/>
      <c r="E17" s="1489"/>
      <c r="F17" s="1489"/>
      <c r="G17" s="1489"/>
      <c r="H17" s="1489"/>
    </row>
    <row r="18" spans="1:8">
      <c r="A18" s="1492"/>
      <c r="B18" s="1489"/>
      <c r="C18" s="1489"/>
      <c r="D18" s="1489"/>
      <c r="E18" s="1489"/>
      <c r="F18" s="1489"/>
      <c r="G18" s="1489"/>
      <c r="H18" s="1489"/>
    </row>
    <row r="19" spans="1:8">
      <c r="A19" s="1492" t="s">
        <v>433</v>
      </c>
      <c r="B19" s="1489"/>
      <c r="C19" s="1489"/>
      <c r="D19" s="1489"/>
      <c r="E19" s="1489"/>
      <c r="F19" s="1489"/>
      <c r="G19" s="1489"/>
      <c r="H19" s="1489"/>
    </row>
    <row r="20" spans="1:8">
      <c r="A20" s="1488"/>
      <c r="B20" s="1489"/>
      <c r="C20" s="1489"/>
      <c r="D20" s="1489"/>
      <c r="E20" s="1489"/>
      <c r="F20" s="1489"/>
      <c r="G20" s="1489"/>
      <c r="H20" s="1489"/>
    </row>
    <row r="21" spans="1:8">
      <c r="A21" s="1493" t="s">
        <v>434</v>
      </c>
      <c r="B21" s="1489"/>
      <c r="C21" s="1489"/>
      <c r="D21" s="1489"/>
      <c r="E21" s="1489"/>
      <c r="F21" s="1489"/>
      <c r="G21" s="1489"/>
      <c r="H21" s="1489"/>
    </row>
    <row r="22" spans="1:8">
      <c r="A22" s="1494"/>
      <c r="B22" s="1494"/>
      <c r="C22" s="1494"/>
      <c r="D22" s="1494"/>
      <c r="E22" s="1494"/>
      <c r="F22" s="1494"/>
      <c r="G22" s="1494"/>
      <c r="H22" s="1494"/>
    </row>
    <row r="23" spans="1:8">
      <c r="A23" s="1495" t="s">
        <v>723</v>
      </c>
      <c r="B23" s="1494"/>
      <c r="C23" s="1494"/>
      <c r="D23" s="1494"/>
      <c r="E23" s="1494"/>
      <c r="F23" s="1494"/>
      <c r="G23" s="1494"/>
      <c r="H23" s="1494"/>
    </row>
    <row r="24" spans="1:8">
      <c r="A24" s="1495" t="s">
        <v>724</v>
      </c>
      <c r="B24" s="1494"/>
      <c r="C24" s="1494"/>
      <c r="D24" s="1494"/>
      <c r="E24" s="1494"/>
      <c r="F24" s="1494"/>
      <c r="G24" s="1494"/>
      <c r="H24" s="1494"/>
    </row>
    <row r="25" spans="1:8">
      <c r="A25" s="1495" t="s">
        <v>725</v>
      </c>
      <c r="B25" s="1494"/>
      <c r="C25" s="1494"/>
      <c r="D25" s="1494"/>
      <c r="E25" s="1494"/>
      <c r="F25" s="1494"/>
      <c r="G25" s="1494"/>
      <c r="H25" s="1494"/>
    </row>
    <row r="26" spans="1:8">
      <c r="A26" s="1495" t="s">
        <v>726</v>
      </c>
      <c r="B26" s="1494"/>
      <c r="C26" s="1494"/>
      <c r="D26" s="1494"/>
      <c r="E26" s="1494"/>
      <c r="F26" s="1494"/>
      <c r="G26" s="1494"/>
      <c r="H26" s="1494"/>
    </row>
    <row r="27" spans="1:8">
      <c r="A27" s="1494"/>
      <c r="B27" s="1494"/>
      <c r="C27" s="1494"/>
      <c r="D27" s="1494"/>
      <c r="E27" s="1494"/>
      <c r="F27" s="1494"/>
      <c r="G27" s="1494"/>
      <c r="H27" s="1494"/>
    </row>
    <row r="28" spans="1:8">
      <c r="A28" s="1494"/>
      <c r="B28" s="1494"/>
      <c r="C28" s="1494"/>
      <c r="D28" s="1494"/>
      <c r="E28" s="1494"/>
      <c r="F28" s="1494"/>
      <c r="G28" s="1494"/>
      <c r="H28" s="1494"/>
    </row>
    <row r="29" spans="1:8">
      <c r="A29" s="1495" t="s">
        <v>718</v>
      </c>
      <c r="B29" s="1494"/>
      <c r="C29" s="1494"/>
      <c r="D29" s="1494"/>
      <c r="E29" s="1494"/>
      <c r="F29" s="1494"/>
      <c r="G29" s="1494"/>
      <c r="H29" s="1494"/>
    </row>
    <row r="30" spans="1:8">
      <c r="A30" s="1495" t="s">
        <v>719</v>
      </c>
      <c r="B30" s="1494"/>
      <c r="C30" s="1494"/>
      <c r="D30" s="1494"/>
      <c r="E30" s="1494"/>
      <c r="F30" s="1494"/>
      <c r="G30" s="1494"/>
      <c r="H30" s="1494"/>
    </row>
    <row r="31" spans="1:8">
      <c r="A31" s="1495" t="s">
        <v>720</v>
      </c>
      <c r="B31" s="1494"/>
      <c r="C31" s="1494"/>
      <c r="D31" s="1494"/>
      <c r="E31" s="1494"/>
      <c r="F31" s="1494"/>
      <c r="G31" s="1494"/>
      <c r="H31" s="1494"/>
    </row>
    <row r="32" spans="1:8">
      <c r="A32" s="1495" t="s">
        <v>721</v>
      </c>
      <c r="B32" s="1494"/>
      <c r="C32" s="1494"/>
      <c r="D32" s="1494"/>
      <c r="E32" s="1494"/>
      <c r="F32" s="1494"/>
      <c r="G32" s="1494"/>
      <c r="H32" s="1494"/>
    </row>
    <row r="33" spans="1:8">
      <c r="A33" s="1495" t="s">
        <v>722</v>
      </c>
      <c r="B33" s="1494"/>
      <c r="C33" s="1494"/>
      <c r="D33" s="1494"/>
      <c r="E33" s="1494"/>
      <c r="F33" s="1494"/>
      <c r="G33" s="1494"/>
      <c r="H33" s="1494"/>
    </row>
    <row r="34" spans="1:8">
      <c r="A34" s="1494"/>
      <c r="B34" s="1494"/>
      <c r="C34" s="1494"/>
      <c r="D34" s="1494"/>
      <c r="E34" s="1494"/>
      <c r="F34" s="1494"/>
      <c r="G34" s="1494"/>
      <c r="H34" s="1494"/>
    </row>
    <row r="35" spans="1:8">
      <c r="A35" s="1495" t="s">
        <v>714</v>
      </c>
      <c r="B35" s="1494"/>
      <c r="C35" s="1494"/>
      <c r="D35" s="1494"/>
      <c r="E35" s="1494"/>
      <c r="F35" s="1494"/>
      <c r="G35" s="1494"/>
      <c r="H35" s="1494"/>
    </row>
    <row r="36" spans="1:8">
      <c r="A36" s="1495" t="s">
        <v>715</v>
      </c>
      <c r="B36" s="1494"/>
      <c r="C36" s="1494"/>
      <c r="D36" s="1494"/>
      <c r="E36" s="1494"/>
      <c r="F36" s="1494"/>
      <c r="G36" s="1494"/>
      <c r="H36" s="1494"/>
    </row>
    <row r="37" spans="1:8">
      <c r="A37" s="1495" t="s">
        <v>716</v>
      </c>
      <c r="B37" s="1494"/>
      <c r="C37" s="1494"/>
      <c r="D37" s="1494"/>
      <c r="E37" s="1494"/>
      <c r="F37" s="1494"/>
      <c r="G37" s="1494"/>
      <c r="H37" s="1494"/>
    </row>
    <row r="38" spans="1:8">
      <c r="A38" s="1495" t="s">
        <v>717</v>
      </c>
      <c r="B38" s="1494"/>
      <c r="C38" s="1494"/>
      <c r="D38" s="1494"/>
      <c r="E38" s="1494"/>
      <c r="F38" s="1494"/>
      <c r="G38" s="1494"/>
      <c r="H38" s="1494"/>
    </row>
    <row r="39" spans="1:8">
      <c r="A39" s="1494"/>
      <c r="B39" s="1494"/>
      <c r="C39" s="1494"/>
      <c r="D39" s="1494"/>
      <c r="E39" s="1494"/>
      <c r="F39" s="1494"/>
      <c r="G39" s="1494"/>
      <c r="H39" s="1494"/>
    </row>
    <row r="40" spans="1:8">
      <c r="A40" s="1495" t="s">
        <v>708</v>
      </c>
      <c r="B40" s="1494"/>
      <c r="C40" s="1494"/>
      <c r="D40" s="1494"/>
      <c r="E40" s="1494"/>
      <c r="F40" s="1494"/>
      <c r="G40" s="1494"/>
      <c r="H40" s="1494"/>
    </row>
    <row r="41" spans="1:8">
      <c r="A41" s="1495" t="s">
        <v>709</v>
      </c>
      <c r="B41" s="1494"/>
      <c r="C41" s="1494"/>
      <c r="D41" s="1494"/>
      <c r="E41" s="1494"/>
      <c r="F41" s="1494"/>
      <c r="G41" s="1494"/>
      <c r="H41" s="1494"/>
    </row>
    <row r="42" spans="1:8">
      <c r="A42" s="1495" t="s">
        <v>710</v>
      </c>
      <c r="B42" s="1494"/>
      <c r="C42" s="1494"/>
      <c r="D42" s="1494"/>
      <c r="E42" s="1494"/>
      <c r="F42" s="1494"/>
      <c r="G42" s="1494"/>
      <c r="H42" s="1494"/>
    </row>
    <row r="43" spans="1:8">
      <c r="A43" s="1495" t="s">
        <v>711</v>
      </c>
      <c r="B43" s="1494"/>
      <c r="C43" s="1494"/>
      <c r="D43" s="1494"/>
      <c r="E43" s="1494"/>
      <c r="F43" s="1494"/>
      <c r="G43" s="1494"/>
      <c r="H43" s="1494"/>
    </row>
    <row r="44" spans="1:8">
      <c r="A44" s="1495" t="s">
        <v>712</v>
      </c>
      <c r="B44" s="1494"/>
      <c r="C44" s="1494"/>
      <c r="D44" s="1494"/>
      <c r="E44" s="1494"/>
      <c r="F44" s="1494"/>
      <c r="G44" s="1494"/>
      <c r="H44" s="1494"/>
    </row>
    <row r="45" spans="1:8">
      <c r="A45" s="1495" t="s">
        <v>713</v>
      </c>
      <c r="B45" s="1494"/>
      <c r="C45" s="1494"/>
      <c r="D45" s="1494"/>
      <c r="E45" s="1494"/>
      <c r="F45" s="1494"/>
      <c r="G45" s="1494"/>
      <c r="H45" s="1494"/>
    </row>
    <row r="46" spans="1:8">
      <c r="A46" s="1494"/>
      <c r="B46" s="1494"/>
      <c r="C46" s="1494"/>
      <c r="D46" s="1494"/>
      <c r="E46" s="1494"/>
      <c r="F46" s="1494"/>
      <c r="G46" s="1494"/>
      <c r="H46" s="1494"/>
    </row>
    <row r="47" spans="1:8" ht="15.75">
      <c r="A47" s="1496" t="s">
        <v>446</v>
      </c>
      <c r="B47" s="1494"/>
      <c r="C47" s="1494"/>
      <c r="D47" s="1494"/>
      <c r="E47" s="1494"/>
      <c r="F47" s="1494"/>
      <c r="G47" s="1494"/>
      <c r="H47" s="1494"/>
    </row>
    <row r="48" spans="1:8">
      <c r="A48" s="1494"/>
      <c r="B48" s="1494"/>
      <c r="C48" s="1494"/>
      <c r="D48" s="1494"/>
      <c r="E48" s="1494"/>
      <c r="F48" s="1494"/>
      <c r="G48" s="1494"/>
      <c r="H48" s="1494"/>
    </row>
    <row r="49" spans="1:8">
      <c r="A49" s="1495" t="s">
        <v>704</v>
      </c>
      <c r="B49" s="1494"/>
      <c r="C49" s="1494"/>
      <c r="D49" s="1494"/>
      <c r="E49" s="1494"/>
      <c r="F49" s="1494"/>
      <c r="G49" s="1494"/>
      <c r="H49" s="1494"/>
    </row>
    <row r="50" spans="1:8">
      <c r="A50" s="1495" t="s">
        <v>705</v>
      </c>
      <c r="B50" s="1494"/>
      <c r="C50" s="1494"/>
      <c r="D50" s="1494"/>
      <c r="E50" s="1494"/>
      <c r="F50" s="1494"/>
      <c r="G50" s="1494"/>
      <c r="H50" s="1494"/>
    </row>
    <row r="51" spans="1:8">
      <c r="A51" s="1495" t="s">
        <v>706</v>
      </c>
      <c r="B51" s="1494"/>
      <c r="C51" s="1494"/>
      <c r="D51" s="1494"/>
      <c r="E51" s="1494"/>
      <c r="F51" s="1494"/>
      <c r="G51" s="1494"/>
      <c r="H51" s="1494"/>
    </row>
    <row r="52" spans="1:8">
      <c r="A52" s="1495" t="s">
        <v>707</v>
      </c>
      <c r="B52" s="1494"/>
      <c r="C52" s="1494"/>
      <c r="D52" s="1494"/>
      <c r="E52" s="1494"/>
      <c r="F52" s="1494"/>
      <c r="G52" s="1494"/>
      <c r="H52" s="1494"/>
    </row>
    <row r="53" spans="1:8">
      <c r="A53" s="1494"/>
      <c r="B53" s="1494"/>
      <c r="C53" s="1494"/>
      <c r="D53" s="1494"/>
      <c r="E53" s="1494"/>
      <c r="F53" s="1494"/>
      <c r="G53" s="1494"/>
      <c r="H53" s="1494"/>
    </row>
    <row r="54" spans="1:8">
      <c r="A54" s="1495" t="s">
        <v>447</v>
      </c>
      <c r="B54" s="1494"/>
      <c r="C54" s="1494"/>
      <c r="D54" s="1494"/>
      <c r="E54" s="1494"/>
      <c r="F54" s="1494"/>
      <c r="G54" s="1494"/>
      <c r="H54" s="1494"/>
    </row>
    <row r="55" spans="1:8">
      <c r="A55" s="1494"/>
      <c r="B55" s="1494"/>
      <c r="C55" s="1494"/>
      <c r="D55" s="1494"/>
      <c r="E55" s="1494"/>
      <c r="F55" s="1494"/>
      <c r="G55" s="1494"/>
      <c r="H55" s="1494"/>
    </row>
    <row r="56" spans="1:8" ht="15.75">
      <c r="A56" s="1496" t="s">
        <v>448</v>
      </c>
      <c r="B56" s="1494"/>
      <c r="C56" s="1494"/>
      <c r="D56" s="1494"/>
      <c r="E56" s="1494"/>
      <c r="F56" s="1494"/>
      <c r="G56" s="1494"/>
      <c r="H56" s="1494"/>
    </row>
    <row r="57" spans="1:8">
      <c r="A57" s="1494"/>
      <c r="B57" s="1494"/>
      <c r="C57" s="1494"/>
      <c r="D57" s="1494"/>
      <c r="E57" s="1494"/>
      <c r="F57" s="1494"/>
      <c r="G57" s="1494"/>
      <c r="H57" s="1494"/>
    </row>
    <row r="58" spans="1:8">
      <c r="A58" s="1495" t="s">
        <v>702</v>
      </c>
      <c r="B58" s="1494"/>
      <c r="C58" s="1494"/>
      <c r="D58" s="1494"/>
      <c r="E58" s="1494"/>
      <c r="F58" s="1494"/>
      <c r="G58" s="1494"/>
      <c r="H58" s="1494"/>
    </row>
    <row r="59" spans="1:8">
      <c r="A59" s="1495" t="s">
        <v>703</v>
      </c>
      <c r="B59" s="1494"/>
      <c r="C59" s="1494"/>
      <c r="D59" s="1494"/>
      <c r="E59" s="1494"/>
      <c r="F59" s="1494"/>
      <c r="G59" s="1494"/>
      <c r="H59" s="1494"/>
    </row>
    <row r="60" spans="1:8">
      <c r="A60" s="1494"/>
      <c r="B60" s="1494"/>
      <c r="C60" s="1494"/>
      <c r="D60" s="1494"/>
      <c r="E60" s="1494"/>
      <c r="F60" s="1494"/>
      <c r="G60" s="1494"/>
      <c r="H60" s="1494"/>
    </row>
    <row r="61" spans="1:8" ht="15.75">
      <c r="A61" s="1496" t="s">
        <v>449</v>
      </c>
      <c r="B61" s="1494"/>
      <c r="C61" s="1494"/>
      <c r="D61" s="1494"/>
      <c r="E61" s="1494"/>
      <c r="F61" s="1494"/>
      <c r="G61" s="1494"/>
      <c r="H61" s="1494"/>
    </row>
    <row r="62" spans="1:8">
      <c r="A62" s="1494"/>
      <c r="B62" s="1494"/>
      <c r="C62" s="1494"/>
      <c r="D62" s="1494"/>
      <c r="E62" s="1494"/>
      <c r="F62" s="1494"/>
      <c r="G62" s="1494"/>
      <c r="H62" s="1494"/>
    </row>
    <row r="63" spans="1:8">
      <c r="A63" s="1495" t="s">
        <v>700</v>
      </c>
      <c r="B63" s="1494"/>
      <c r="C63" s="1494"/>
      <c r="D63" s="1494"/>
      <c r="E63" s="1494"/>
      <c r="F63" s="1494"/>
      <c r="G63" s="1494"/>
      <c r="H63" s="1494"/>
    </row>
    <row r="64" spans="1:8">
      <c r="A64" s="1495" t="s">
        <v>701</v>
      </c>
      <c r="B64" s="1494"/>
      <c r="C64" s="1494"/>
      <c r="D64" s="1494"/>
      <c r="E64" s="1494"/>
      <c r="F64" s="1494"/>
      <c r="G64" s="1494"/>
      <c r="H64" s="1494"/>
    </row>
    <row r="65" spans="1:8">
      <c r="A65" s="1494"/>
      <c r="B65" s="1494"/>
      <c r="C65" s="1494"/>
      <c r="D65" s="1494"/>
      <c r="E65" s="1494"/>
      <c r="F65" s="1494"/>
      <c r="G65" s="1494"/>
      <c r="H65" s="1494"/>
    </row>
    <row r="66" spans="1:8">
      <c r="A66" s="1495" t="s">
        <v>698</v>
      </c>
      <c r="B66" s="1494"/>
      <c r="C66" s="1494"/>
      <c r="D66" s="1494"/>
      <c r="E66" s="1494"/>
      <c r="F66" s="1494"/>
      <c r="G66" s="1494"/>
      <c r="H66" s="1494"/>
    </row>
    <row r="67" spans="1:8">
      <c r="A67" s="1495" t="s">
        <v>699</v>
      </c>
      <c r="B67" s="1494"/>
      <c r="C67" s="1494"/>
      <c r="D67" s="1494"/>
      <c r="E67" s="1494"/>
      <c r="F67" s="1494"/>
      <c r="G67" s="1494"/>
      <c r="H67" s="1494"/>
    </row>
    <row r="68" spans="1:8">
      <c r="A68" s="1494"/>
      <c r="B68" s="1494"/>
      <c r="C68" s="1494"/>
      <c r="D68" s="1494"/>
      <c r="E68" s="1494"/>
      <c r="F68" s="1494"/>
      <c r="G68" s="1494"/>
      <c r="H68" s="1494"/>
    </row>
    <row r="69" spans="1:8">
      <c r="A69" s="1495" t="s">
        <v>696</v>
      </c>
      <c r="B69" s="1494"/>
      <c r="C69" s="1494"/>
      <c r="D69" s="1494"/>
      <c r="E69" s="1494"/>
      <c r="F69" s="1494"/>
      <c r="G69" s="1494"/>
      <c r="H69" s="1494"/>
    </row>
    <row r="70" spans="1:8">
      <c r="A70" s="1495" t="s">
        <v>697</v>
      </c>
      <c r="B70" s="1494"/>
      <c r="C70" s="1494"/>
      <c r="D70" s="1494"/>
      <c r="E70" s="1494"/>
      <c r="F70" s="1494"/>
      <c r="G70" s="1494"/>
      <c r="H70" s="1494"/>
    </row>
    <row r="71" spans="1:8">
      <c r="A71" s="1494"/>
      <c r="B71" s="1494"/>
      <c r="C71" s="1494"/>
      <c r="D71" s="1494"/>
      <c r="E71" s="1494"/>
      <c r="F71" s="1494"/>
      <c r="G71" s="1494"/>
      <c r="H71" s="1494"/>
    </row>
    <row r="72" spans="1:8">
      <c r="A72" s="1495" t="s">
        <v>694</v>
      </c>
      <c r="B72" s="1494"/>
      <c r="C72" s="1494"/>
      <c r="D72" s="1494"/>
      <c r="E72" s="1494"/>
      <c r="F72" s="1494"/>
      <c r="G72" s="1494"/>
      <c r="H72" s="1494"/>
    </row>
    <row r="73" spans="1:8">
      <c r="A73" s="1495" t="s">
        <v>695</v>
      </c>
      <c r="B73" s="1494"/>
      <c r="C73" s="1494"/>
      <c r="D73" s="1494"/>
      <c r="E73" s="1494"/>
      <c r="F73" s="1494"/>
      <c r="G73" s="1494"/>
      <c r="H73" s="1494"/>
    </row>
    <row r="74" spans="1:8">
      <c r="A74" s="1494"/>
      <c r="B74" s="1494"/>
      <c r="C74" s="1494"/>
      <c r="D74" s="1494"/>
      <c r="E74" s="1494"/>
      <c r="F74" s="1494"/>
      <c r="G74" s="1494"/>
      <c r="H74" s="1494"/>
    </row>
    <row r="75" spans="1:8">
      <c r="A75" s="1495" t="s">
        <v>691</v>
      </c>
      <c r="B75" s="1494"/>
      <c r="C75" s="1494"/>
      <c r="D75" s="1494"/>
      <c r="E75" s="1494"/>
      <c r="F75" s="1494"/>
      <c r="G75" s="1494"/>
      <c r="H75" s="1494"/>
    </row>
    <row r="76" spans="1:8">
      <c r="A76" s="1495" t="s">
        <v>692</v>
      </c>
      <c r="B76" s="1494"/>
      <c r="C76" s="1494"/>
      <c r="D76" s="1494"/>
      <c r="E76" s="1494"/>
      <c r="F76" s="1494"/>
      <c r="G76" s="1494"/>
      <c r="H76" s="1494"/>
    </row>
    <row r="77" spans="1:8">
      <c r="A77" s="1495" t="s">
        <v>693</v>
      </c>
      <c r="B77" s="1494"/>
      <c r="C77" s="1494"/>
      <c r="D77" s="1494"/>
      <c r="E77" s="1494"/>
      <c r="F77" s="1494"/>
      <c r="G77" s="1494"/>
      <c r="H77" s="1494"/>
    </row>
    <row r="78" spans="1:8">
      <c r="A78" s="1494"/>
      <c r="B78" s="1494"/>
      <c r="C78" s="1494"/>
      <c r="D78" s="1494"/>
      <c r="E78" s="1494"/>
      <c r="F78" s="1494"/>
      <c r="G78" s="1494"/>
      <c r="H78" s="1494"/>
    </row>
    <row r="79" spans="1:8">
      <c r="A79" s="1495" t="s">
        <v>450</v>
      </c>
      <c r="B79" s="1494"/>
      <c r="C79" s="1494"/>
      <c r="D79" s="1494"/>
      <c r="E79" s="1494"/>
      <c r="F79" s="1494"/>
      <c r="G79" s="1494"/>
      <c r="H79" s="1494"/>
    </row>
    <row r="80" spans="1:8">
      <c r="A80" s="1494"/>
      <c r="B80" s="1494"/>
      <c r="C80" s="1494"/>
      <c r="D80" s="1494"/>
      <c r="E80" s="1494"/>
      <c r="F80" s="1494"/>
      <c r="G80" s="1494"/>
      <c r="H80" s="1494"/>
    </row>
    <row r="81" spans="1:8">
      <c r="A81" s="1495" t="s">
        <v>686</v>
      </c>
      <c r="B81" s="1494"/>
      <c r="C81" s="1494"/>
      <c r="D81" s="1494"/>
      <c r="E81" s="1494"/>
      <c r="F81" s="1494"/>
      <c r="G81" s="1494"/>
      <c r="H81" s="1494"/>
    </row>
    <row r="82" spans="1:8">
      <c r="A82" s="1495" t="s">
        <v>687</v>
      </c>
      <c r="B82" s="1494"/>
      <c r="C82" s="1494"/>
      <c r="D82" s="1494"/>
      <c r="E82" s="1494"/>
      <c r="F82" s="1494"/>
      <c r="G82" s="1494"/>
      <c r="H82" s="1494"/>
    </row>
    <row r="83" spans="1:8">
      <c r="A83" s="1495" t="s">
        <v>688</v>
      </c>
      <c r="B83" s="1494"/>
      <c r="C83" s="1494"/>
      <c r="D83" s="1494"/>
      <c r="E83" s="1494"/>
      <c r="F83" s="1494"/>
      <c r="G83" s="1494"/>
      <c r="H83" s="1494"/>
    </row>
    <row r="84" spans="1:8">
      <c r="A84" s="1495" t="s">
        <v>689</v>
      </c>
      <c r="B84" s="1494"/>
      <c r="C84" s="1494"/>
      <c r="D84" s="1494"/>
      <c r="E84" s="1494"/>
      <c r="F84" s="1494"/>
      <c r="G84" s="1494"/>
      <c r="H84" s="1494"/>
    </row>
    <row r="85" spans="1:8">
      <c r="A85" s="1495" t="s">
        <v>690</v>
      </c>
      <c r="B85" s="1494"/>
      <c r="C85" s="1494"/>
      <c r="D85" s="1494"/>
      <c r="E85" s="1494"/>
      <c r="F85" s="1494"/>
      <c r="G85" s="1494"/>
      <c r="H85" s="1494"/>
    </row>
    <row r="86" spans="1:8">
      <c r="A86" s="1495" t="s">
        <v>575</v>
      </c>
      <c r="B86" s="1494"/>
      <c r="C86" s="1494"/>
      <c r="D86" s="1494"/>
      <c r="E86" s="1494"/>
      <c r="F86" s="1494"/>
      <c r="G86" s="1494"/>
      <c r="H86" s="1494"/>
    </row>
    <row r="87" spans="1:8">
      <c r="A87" s="1494"/>
      <c r="B87" s="1494"/>
      <c r="C87" s="1494"/>
      <c r="D87" s="1494"/>
      <c r="E87" s="1494"/>
      <c r="F87" s="1494"/>
      <c r="G87" s="1494"/>
      <c r="H87" s="1494"/>
    </row>
    <row r="88" spans="1:8">
      <c r="A88" s="1495" t="s">
        <v>679</v>
      </c>
      <c r="B88" s="1494"/>
      <c r="C88" s="1494"/>
      <c r="D88" s="1494"/>
      <c r="E88" s="1494"/>
      <c r="F88" s="1494"/>
      <c r="G88" s="1494"/>
      <c r="H88" s="1494"/>
    </row>
    <row r="89" spans="1:8">
      <c r="A89" s="1495" t="s">
        <v>680</v>
      </c>
      <c r="B89" s="1494"/>
      <c r="C89" s="1494"/>
      <c r="D89" s="1494"/>
      <c r="E89" s="1494"/>
      <c r="F89" s="1494"/>
      <c r="G89" s="1494"/>
      <c r="H89" s="1494"/>
    </row>
    <row r="90" spans="1:8">
      <c r="A90" s="1495" t="s">
        <v>681</v>
      </c>
      <c r="B90" s="1494"/>
      <c r="C90" s="1494"/>
      <c r="D90" s="1494"/>
      <c r="E90" s="1494"/>
      <c r="F90" s="1494"/>
      <c r="G90" s="1494"/>
      <c r="H90" s="1494"/>
    </row>
    <row r="91" spans="1:8">
      <c r="A91" s="1495" t="s">
        <v>682</v>
      </c>
      <c r="B91" s="1494"/>
      <c r="C91" s="1494"/>
      <c r="D91" s="1494"/>
      <c r="E91" s="1494"/>
      <c r="F91" s="1494"/>
      <c r="G91" s="1494"/>
      <c r="H91" s="1494"/>
    </row>
    <row r="92" spans="1:8">
      <c r="A92" s="1495" t="s">
        <v>683</v>
      </c>
      <c r="B92" s="1494"/>
      <c r="C92" s="1494"/>
      <c r="D92" s="1494"/>
      <c r="E92" s="1494"/>
      <c r="F92" s="1494"/>
      <c r="G92" s="1494"/>
      <c r="H92" s="1494"/>
    </row>
    <row r="93" spans="1:8">
      <c r="A93" s="1495" t="s">
        <v>684</v>
      </c>
      <c r="B93" s="1494"/>
      <c r="C93" s="1494"/>
      <c r="D93" s="1494"/>
      <c r="E93" s="1494"/>
      <c r="F93" s="1494"/>
      <c r="G93" s="1494"/>
      <c r="H93" s="1494"/>
    </row>
    <row r="94" spans="1:8">
      <c r="A94" s="1495" t="s">
        <v>685</v>
      </c>
      <c r="B94" s="1494"/>
      <c r="C94" s="1494"/>
      <c r="D94" s="1494"/>
      <c r="E94" s="1494"/>
      <c r="F94" s="1494"/>
      <c r="G94" s="1494"/>
      <c r="H94" s="1494"/>
    </row>
    <row r="95" spans="1:8">
      <c r="A95" s="1494"/>
      <c r="B95" s="1494"/>
      <c r="C95" s="1494"/>
      <c r="D95" s="1494"/>
      <c r="E95" s="1494"/>
      <c r="F95" s="1494"/>
      <c r="G95" s="1494"/>
      <c r="H95" s="1494"/>
    </row>
    <row r="96" spans="1:8">
      <c r="A96" s="1495" t="s">
        <v>677</v>
      </c>
      <c r="B96" s="1494"/>
      <c r="C96" s="1494"/>
      <c r="D96" s="1494"/>
      <c r="E96" s="1494"/>
      <c r="F96" s="1494"/>
      <c r="G96" s="1494"/>
      <c r="H96" s="1494"/>
    </row>
    <row r="97" spans="1:8">
      <c r="A97" s="1495" t="s">
        <v>678</v>
      </c>
      <c r="B97" s="1494"/>
      <c r="C97" s="1494"/>
      <c r="D97" s="1494"/>
      <c r="E97" s="1494"/>
      <c r="F97" s="1494"/>
      <c r="G97" s="1494"/>
      <c r="H97" s="1494"/>
    </row>
    <row r="98" spans="1:8">
      <c r="A98" s="1494"/>
      <c r="B98" s="1494"/>
      <c r="C98" s="1494"/>
      <c r="D98" s="1494"/>
      <c r="E98" s="1494"/>
      <c r="F98" s="1494"/>
      <c r="G98" s="1494"/>
      <c r="H98" s="1494"/>
    </row>
    <row r="99" spans="1:8" ht="15.75">
      <c r="A99" s="1496" t="s">
        <v>451</v>
      </c>
      <c r="B99" s="1494"/>
      <c r="C99" s="1494"/>
      <c r="D99" s="1494"/>
      <c r="E99" s="1494"/>
      <c r="F99" s="1494"/>
      <c r="G99" s="1494"/>
      <c r="H99" s="1494"/>
    </row>
    <row r="100" spans="1:8">
      <c r="A100" s="1494"/>
      <c r="B100" s="1494"/>
      <c r="C100" s="1494"/>
      <c r="D100" s="1494"/>
      <c r="E100" s="1494"/>
      <c r="F100" s="1494"/>
      <c r="G100" s="1494"/>
      <c r="H100" s="1494"/>
    </row>
    <row r="101" spans="1:8">
      <c r="A101" s="1495" t="s">
        <v>668</v>
      </c>
      <c r="B101" s="1494"/>
      <c r="C101" s="1494"/>
      <c r="D101" s="1494"/>
      <c r="E101" s="1494"/>
      <c r="F101" s="1494"/>
      <c r="G101" s="1494"/>
      <c r="H101" s="1494"/>
    </row>
    <row r="102" spans="1:8">
      <c r="A102" s="1495" t="s">
        <v>669</v>
      </c>
      <c r="B102" s="1494"/>
      <c r="C102" s="1494"/>
      <c r="D102" s="1494"/>
      <c r="E102" s="1494"/>
      <c r="F102" s="1494"/>
      <c r="G102" s="1494"/>
      <c r="H102" s="1494"/>
    </row>
    <row r="103" spans="1:8">
      <c r="A103" s="1495" t="s">
        <v>670</v>
      </c>
      <c r="B103" s="1494"/>
      <c r="C103" s="1494"/>
      <c r="D103" s="1494"/>
      <c r="E103" s="1494"/>
      <c r="F103" s="1494"/>
      <c r="G103" s="1494"/>
      <c r="H103" s="1494"/>
    </row>
    <row r="104" spans="1:8">
      <c r="A104" s="1495" t="s">
        <v>671</v>
      </c>
      <c r="B104" s="1494"/>
      <c r="C104" s="1494"/>
      <c r="D104" s="1494"/>
      <c r="E104" s="1494"/>
      <c r="F104" s="1494"/>
      <c r="G104" s="1494"/>
      <c r="H104" s="1494"/>
    </row>
    <row r="105" spans="1:8">
      <c r="A105" s="1495" t="s">
        <v>672</v>
      </c>
      <c r="B105" s="1494"/>
      <c r="C105" s="1494"/>
      <c r="D105" s="1494"/>
      <c r="E105" s="1494"/>
      <c r="F105" s="1494"/>
      <c r="G105" s="1494"/>
      <c r="H105" s="1494"/>
    </row>
    <row r="106" spans="1:8">
      <c r="A106" s="1495" t="s">
        <v>673</v>
      </c>
      <c r="B106" s="1494"/>
      <c r="C106" s="1494"/>
      <c r="D106" s="1494"/>
      <c r="E106" s="1494"/>
      <c r="F106" s="1494"/>
      <c r="G106" s="1494"/>
      <c r="H106" s="1494"/>
    </row>
    <row r="107" spans="1:8">
      <c r="A107" s="1495" t="s">
        <v>674</v>
      </c>
      <c r="B107" s="1494"/>
      <c r="C107" s="1494"/>
      <c r="D107" s="1494"/>
      <c r="E107" s="1494"/>
      <c r="F107" s="1494"/>
      <c r="G107" s="1494"/>
      <c r="H107" s="1494"/>
    </row>
    <row r="108" spans="1:8">
      <c r="A108" s="1495" t="s">
        <v>675</v>
      </c>
      <c r="B108" s="1494"/>
      <c r="C108" s="1494"/>
      <c r="D108" s="1494"/>
      <c r="E108" s="1494"/>
      <c r="F108" s="1494"/>
      <c r="G108" s="1494"/>
      <c r="H108" s="1494"/>
    </row>
    <row r="109" spans="1:8">
      <c r="A109" s="1495" t="s">
        <v>676</v>
      </c>
      <c r="B109" s="1494"/>
      <c r="C109" s="1494"/>
      <c r="D109" s="1494"/>
      <c r="E109" s="1494"/>
      <c r="F109" s="1494"/>
      <c r="G109" s="1494"/>
      <c r="H109" s="1494"/>
    </row>
    <row r="110" spans="1:8">
      <c r="A110" s="1494"/>
      <c r="B110" s="1494"/>
      <c r="C110" s="1494"/>
      <c r="D110" s="1494"/>
      <c r="E110" s="1494"/>
      <c r="F110" s="1494"/>
      <c r="G110" s="1494"/>
      <c r="H110" s="1494"/>
    </row>
    <row r="111" spans="1:8" ht="15.75">
      <c r="A111" s="1497" t="s">
        <v>452</v>
      </c>
      <c r="B111" s="1497"/>
      <c r="C111" s="1497"/>
      <c r="D111" s="1497"/>
      <c r="E111" s="1497"/>
      <c r="F111" s="1497"/>
      <c r="G111" s="1497"/>
      <c r="H111" s="1497"/>
    </row>
    <row r="112" spans="1:8">
      <c r="A112" s="1498" t="s">
        <v>453</v>
      </c>
      <c r="B112" s="1498"/>
      <c r="C112" s="1498"/>
      <c r="D112" s="1498"/>
      <c r="E112" s="1498"/>
      <c r="F112" s="1498"/>
      <c r="G112" s="1498"/>
      <c r="H112" s="1498"/>
    </row>
    <row r="113" spans="1:8">
      <c r="A113" s="1499"/>
      <c r="B113" s="1499"/>
      <c r="C113" s="1499"/>
      <c r="D113" s="1499"/>
      <c r="E113" s="1499"/>
      <c r="F113" s="1499"/>
      <c r="G113" s="1499"/>
      <c r="H113" s="1499"/>
    </row>
    <row r="114" spans="1:8">
      <c r="A114" s="1498" t="s">
        <v>666</v>
      </c>
      <c r="B114" s="1498"/>
      <c r="C114" s="1498"/>
      <c r="D114" s="1498"/>
      <c r="E114" s="1498"/>
      <c r="F114" s="1498"/>
      <c r="G114" s="1498"/>
      <c r="H114" s="1498"/>
    </row>
    <row r="115" spans="1:8">
      <c r="A115" s="1495" t="s">
        <v>667</v>
      </c>
      <c r="B115" s="1495"/>
      <c r="C115" s="1495"/>
      <c r="D115" s="1495"/>
      <c r="E115" s="1495"/>
      <c r="F115" s="1495"/>
      <c r="G115" s="1495"/>
      <c r="H115" s="1495"/>
    </row>
    <row r="116" spans="1:8">
      <c r="A116" s="1499"/>
      <c r="B116" s="1499"/>
      <c r="C116" s="1499"/>
      <c r="D116" s="1499"/>
      <c r="E116" s="1499"/>
      <c r="F116" s="1499"/>
      <c r="G116" s="1499"/>
      <c r="H116" s="1499"/>
    </row>
    <row r="117" spans="1:8">
      <c r="A117" s="1498" t="s">
        <v>659</v>
      </c>
      <c r="B117" s="1498"/>
      <c r="C117" s="1498"/>
      <c r="D117" s="1498"/>
      <c r="E117" s="1498"/>
      <c r="F117" s="1498"/>
      <c r="G117" s="1498"/>
      <c r="H117" s="1498"/>
    </row>
    <row r="118" spans="1:8">
      <c r="A118" s="1495" t="s">
        <v>660</v>
      </c>
      <c r="B118" s="1495"/>
      <c r="C118" s="1495"/>
      <c r="D118" s="1495"/>
      <c r="E118" s="1495"/>
      <c r="F118" s="1495"/>
      <c r="G118" s="1495"/>
      <c r="H118" s="1495"/>
    </row>
    <row r="119" spans="1:8">
      <c r="A119" s="1495" t="s">
        <v>661</v>
      </c>
      <c r="B119" s="1495"/>
      <c r="C119" s="1495"/>
      <c r="D119" s="1495"/>
      <c r="E119" s="1495"/>
      <c r="F119" s="1495"/>
      <c r="G119" s="1495"/>
      <c r="H119" s="1495"/>
    </row>
    <row r="120" spans="1:8">
      <c r="A120" s="1495" t="s">
        <v>662</v>
      </c>
      <c r="B120" s="1495"/>
      <c r="C120" s="1495"/>
      <c r="D120" s="1495"/>
      <c r="E120" s="1495"/>
      <c r="F120" s="1495"/>
      <c r="G120" s="1495"/>
      <c r="H120" s="1495"/>
    </row>
    <row r="121" spans="1:8">
      <c r="A121" s="1495" t="s">
        <v>663</v>
      </c>
      <c r="B121" s="1495"/>
      <c r="C121" s="1495"/>
      <c r="D121" s="1495"/>
      <c r="E121" s="1495"/>
      <c r="F121" s="1495"/>
      <c r="G121" s="1495"/>
      <c r="H121" s="1495"/>
    </row>
    <row r="122" spans="1:8">
      <c r="A122" s="1495" t="s">
        <v>664</v>
      </c>
      <c r="B122" s="1495"/>
      <c r="C122" s="1495"/>
      <c r="D122" s="1495"/>
      <c r="E122" s="1495"/>
      <c r="F122" s="1495"/>
      <c r="G122" s="1495"/>
      <c r="H122" s="1495"/>
    </row>
    <row r="123" spans="1:8">
      <c r="A123" s="1495" t="s">
        <v>665</v>
      </c>
      <c r="B123" s="1495"/>
      <c r="C123" s="1495"/>
      <c r="D123" s="1495"/>
      <c r="E123" s="1495"/>
      <c r="F123" s="1495"/>
      <c r="G123" s="1495"/>
      <c r="H123" s="1495"/>
    </row>
    <row r="124" spans="1:8">
      <c r="A124" s="1500"/>
      <c r="B124" s="1500"/>
      <c r="C124" s="1500"/>
      <c r="D124" s="1500"/>
      <c r="E124" s="1500"/>
      <c r="F124" s="1500"/>
      <c r="G124" s="1500"/>
      <c r="H124" s="1500"/>
    </row>
    <row r="125" spans="1:8">
      <c r="A125" s="1501"/>
      <c r="B125" s="1502" t="s">
        <v>454</v>
      </c>
      <c r="C125" s="1503"/>
      <c r="D125" s="1502" t="s">
        <v>455</v>
      </c>
      <c r="E125" s="1504"/>
      <c r="F125" s="1503"/>
      <c r="G125" s="1502" t="s">
        <v>456</v>
      </c>
      <c r="H125" s="1503"/>
    </row>
    <row r="126" spans="1:8">
      <c r="A126" s="1501" t="s">
        <v>457</v>
      </c>
      <c r="B126" s="1501" t="s">
        <v>136</v>
      </c>
      <c r="C126" s="1501" t="s">
        <v>349</v>
      </c>
      <c r="D126" s="1501" t="s">
        <v>136</v>
      </c>
      <c r="E126" s="1501" t="s">
        <v>458</v>
      </c>
      <c r="F126" s="1501" t="s">
        <v>459</v>
      </c>
      <c r="G126" s="1501" t="s">
        <v>136</v>
      </c>
      <c r="H126" s="1501" t="s">
        <v>460</v>
      </c>
    </row>
    <row r="127" spans="1:8">
      <c r="A127" s="1501" t="s">
        <v>461</v>
      </c>
      <c r="B127" s="1501">
        <v>1175</v>
      </c>
      <c r="C127" s="1505">
        <v>0.37</v>
      </c>
      <c r="D127" s="1501">
        <v>315</v>
      </c>
      <c r="E127" s="1505">
        <v>0.41</v>
      </c>
      <c r="F127" s="1505">
        <v>0.27</v>
      </c>
      <c r="G127" s="1501">
        <v>555</v>
      </c>
      <c r="H127" s="1505">
        <v>0.39</v>
      </c>
    </row>
    <row r="128" spans="1:8">
      <c r="A128" s="1501" t="s">
        <v>462</v>
      </c>
      <c r="B128" s="1501">
        <v>1369</v>
      </c>
      <c r="C128" s="1505">
        <v>0.43</v>
      </c>
      <c r="D128" s="1501">
        <v>357</v>
      </c>
      <c r="E128" s="1505">
        <v>0.47</v>
      </c>
      <c r="F128" s="1505">
        <v>0.26</v>
      </c>
      <c r="G128" s="1501">
        <v>643</v>
      </c>
      <c r="H128" s="1505">
        <v>0.45</v>
      </c>
    </row>
    <row r="129" spans="1:8">
      <c r="A129" s="1501" t="s">
        <v>463</v>
      </c>
      <c r="B129" s="1501">
        <v>53</v>
      </c>
      <c r="C129" s="1505">
        <v>0.02</v>
      </c>
      <c r="D129" s="1501">
        <v>5</v>
      </c>
      <c r="E129" s="1505">
        <v>0.01</v>
      </c>
      <c r="F129" s="1505">
        <v>0.09</v>
      </c>
      <c r="G129" s="1501">
        <v>7</v>
      </c>
      <c r="H129" s="1505">
        <v>0</v>
      </c>
    </row>
    <row r="130" spans="1:8">
      <c r="A130" s="1501" t="s">
        <v>464</v>
      </c>
      <c r="B130" s="1501">
        <v>552</v>
      </c>
      <c r="C130" s="1505">
        <v>0.18</v>
      </c>
      <c r="D130" s="1501">
        <v>87</v>
      </c>
      <c r="E130" s="1505">
        <v>0.11</v>
      </c>
      <c r="F130" s="1505">
        <v>0.16</v>
      </c>
      <c r="G130" s="1501">
        <v>222</v>
      </c>
      <c r="H130" s="1505">
        <v>0.16</v>
      </c>
    </row>
    <row r="131" spans="1:8">
      <c r="A131" s="1501" t="s">
        <v>291</v>
      </c>
      <c r="B131" s="1506">
        <v>3149</v>
      </c>
      <c r="C131" s="1501"/>
      <c r="D131" s="1501">
        <v>764</v>
      </c>
      <c r="E131" s="1501"/>
      <c r="F131" s="1501"/>
      <c r="G131" s="1501">
        <v>1427</v>
      </c>
      <c r="H131" s="1501"/>
    </row>
    <row r="132" spans="1:8">
      <c r="A132" s="1507"/>
      <c r="B132" s="1507"/>
      <c r="C132" s="1507"/>
      <c r="D132" s="1507"/>
      <c r="E132" s="1507"/>
      <c r="F132" s="1507"/>
      <c r="G132" s="1507"/>
      <c r="H132" s="1507"/>
    </row>
    <row r="133" spans="1:8">
      <c r="A133" s="1498" t="s">
        <v>655</v>
      </c>
      <c r="B133" s="1498"/>
      <c r="C133" s="1498"/>
      <c r="D133" s="1498"/>
      <c r="E133" s="1498"/>
      <c r="F133" s="1498"/>
      <c r="G133" s="1498"/>
      <c r="H133" s="1498"/>
    </row>
    <row r="134" spans="1:8">
      <c r="A134" s="1495" t="s">
        <v>656</v>
      </c>
      <c r="B134" s="1495"/>
      <c r="C134" s="1495"/>
      <c r="D134" s="1495"/>
      <c r="E134" s="1495"/>
      <c r="F134" s="1495"/>
      <c r="G134" s="1495"/>
      <c r="H134" s="1495"/>
    </row>
    <row r="135" spans="1:8">
      <c r="A135" s="1495" t="s">
        <v>657</v>
      </c>
      <c r="B135" s="1495"/>
      <c r="C135" s="1495"/>
      <c r="D135" s="1495"/>
      <c r="E135" s="1495"/>
      <c r="F135" s="1495"/>
      <c r="G135" s="1495"/>
      <c r="H135" s="1495"/>
    </row>
    <row r="136" spans="1:8">
      <c r="A136" s="1495" t="s">
        <v>658</v>
      </c>
      <c r="B136" s="1495"/>
      <c r="C136" s="1495"/>
      <c r="D136" s="1495"/>
      <c r="E136" s="1495"/>
      <c r="F136" s="1495"/>
      <c r="G136" s="1495"/>
      <c r="H136" s="1495"/>
    </row>
    <row r="137" spans="1:8">
      <c r="A137" s="1494"/>
      <c r="B137" s="1494"/>
      <c r="C137" s="1494"/>
      <c r="D137" s="1494"/>
      <c r="E137" s="1494"/>
      <c r="F137" s="1494"/>
      <c r="G137" s="1494"/>
      <c r="H137" s="1494"/>
    </row>
    <row r="138" spans="1:8" ht="15.75">
      <c r="A138" s="1496" t="s">
        <v>465</v>
      </c>
      <c r="B138" s="1494"/>
      <c r="C138" s="1494"/>
      <c r="D138" s="1494"/>
      <c r="E138" s="1494"/>
      <c r="F138" s="1494"/>
      <c r="G138" s="1494"/>
      <c r="H138" s="1494"/>
    </row>
    <row r="139" spans="1:8">
      <c r="A139" s="1494"/>
      <c r="B139" s="1494"/>
      <c r="C139" s="1494"/>
      <c r="D139" s="1494"/>
      <c r="E139" s="1494"/>
      <c r="F139" s="1494"/>
      <c r="G139" s="1494"/>
      <c r="H139" s="1494"/>
    </row>
    <row r="140" spans="1:8">
      <c r="A140" s="1495" t="s">
        <v>653</v>
      </c>
      <c r="B140" s="1494"/>
      <c r="C140" s="1494"/>
      <c r="D140" s="1494"/>
      <c r="E140" s="1494"/>
      <c r="F140" s="1494"/>
      <c r="G140" s="1494"/>
      <c r="H140" s="1494"/>
    </row>
    <row r="141" spans="1:8">
      <c r="A141" s="1495" t="s">
        <v>654</v>
      </c>
      <c r="B141" s="1494"/>
      <c r="C141" s="1494"/>
      <c r="D141" s="1494"/>
      <c r="E141" s="1494"/>
      <c r="F141" s="1494"/>
      <c r="G141" s="1494"/>
      <c r="H141" s="1494"/>
    </row>
    <row r="142" spans="1:8">
      <c r="A142" s="1494"/>
      <c r="B142" s="1494"/>
      <c r="C142" s="1494"/>
      <c r="D142" s="1494"/>
      <c r="E142" s="1494"/>
      <c r="F142" s="1494"/>
      <c r="G142" s="1494"/>
      <c r="H142" s="1494"/>
    </row>
    <row r="143" spans="1:8">
      <c r="A143" s="1495" t="s">
        <v>650</v>
      </c>
      <c r="B143" s="1494"/>
      <c r="C143" s="1494"/>
      <c r="D143" s="1494"/>
      <c r="E143" s="1494"/>
      <c r="F143" s="1494"/>
      <c r="G143" s="1494"/>
      <c r="H143" s="1494"/>
    </row>
    <row r="144" spans="1:8">
      <c r="A144" s="1495" t="s">
        <v>651</v>
      </c>
      <c r="B144" s="1494"/>
      <c r="C144" s="1494"/>
      <c r="D144" s="1494"/>
      <c r="E144" s="1494"/>
      <c r="F144" s="1494"/>
      <c r="G144" s="1494"/>
      <c r="H144" s="1494"/>
    </row>
    <row r="145" spans="1:8">
      <c r="A145" s="1495" t="s">
        <v>652</v>
      </c>
      <c r="B145" s="1494"/>
      <c r="C145" s="1494"/>
      <c r="D145" s="1494"/>
      <c r="E145" s="1494"/>
      <c r="F145" s="1494"/>
      <c r="G145" s="1494"/>
      <c r="H145" s="1494"/>
    </row>
    <row r="146" spans="1:8">
      <c r="A146" s="1494"/>
      <c r="B146" s="1494"/>
      <c r="C146" s="1494"/>
      <c r="D146" s="1494"/>
      <c r="E146" s="1494"/>
      <c r="F146" s="1494"/>
      <c r="G146" s="1494"/>
      <c r="H146" s="1494"/>
    </row>
    <row r="147" spans="1:8">
      <c r="A147" s="1495" t="s">
        <v>647</v>
      </c>
      <c r="B147" s="1494"/>
      <c r="C147" s="1494"/>
      <c r="D147" s="1494"/>
      <c r="E147" s="1494"/>
      <c r="F147" s="1494"/>
      <c r="G147" s="1494"/>
      <c r="H147" s="1494"/>
    </row>
    <row r="148" spans="1:8">
      <c r="A148" s="1495" t="s">
        <v>648</v>
      </c>
      <c r="B148" s="1494"/>
      <c r="C148" s="1494"/>
      <c r="D148" s="1494"/>
      <c r="E148" s="1494"/>
      <c r="F148" s="1494"/>
      <c r="G148" s="1494"/>
      <c r="H148" s="1494"/>
    </row>
    <row r="149" spans="1:8">
      <c r="A149" s="1495" t="s">
        <v>649</v>
      </c>
      <c r="B149" s="1494"/>
      <c r="C149" s="1494"/>
      <c r="D149" s="1494"/>
      <c r="E149" s="1494"/>
      <c r="F149" s="1494"/>
      <c r="G149" s="1494"/>
      <c r="H149" s="1494"/>
    </row>
    <row r="150" spans="1:8">
      <c r="A150" s="1494"/>
      <c r="B150" s="1494"/>
      <c r="C150" s="1494"/>
      <c r="D150" s="1494"/>
      <c r="E150" s="1494"/>
      <c r="F150" s="1494"/>
      <c r="G150" s="1494"/>
      <c r="H150" s="1494"/>
    </row>
    <row r="151" spans="1:8">
      <c r="A151" s="1495" t="s">
        <v>644</v>
      </c>
      <c r="B151" s="1494"/>
      <c r="C151" s="1494"/>
      <c r="D151" s="1494"/>
      <c r="E151" s="1494"/>
      <c r="F151" s="1494"/>
      <c r="G151" s="1494"/>
      <c r="H151" s="1494"/>
    </row>
    <row r="152" spans="1:8">
      <c r="A152" s="1495" t="s">
        <v>645</v>
      </c>
      <c r="B152" s="1494"/>
      <c r="C152" s="1494"/>
      <c r="D152" s="1494"/>
      <c r="E152" s="1494"/>
      <c r="F152" s="1494"/>
      <c r="G152" s="1494"/>
      <c r="H152" s="1494"/>
    </row>
    <row r="153" spans="1:8">
      <c r="A153" s="1495" t="s">
        <v>646</v>
      </c>
      <c r="B153" s="1494"/>
      <c r="C153" s="1494"/>
      <c r="D153" s="1494"/>
      <c r="E153" s="1494"/>
      <c r="F153" s="1494"/>
      <c r="G153" s="1494"/>
      <c r="H153" s="1494"/>
    </row>
    <row r="154" spans="1:8">
      <c r="A154" s="1494"/>
      <c r="B154" s="1494"/>
      <c r="C154" s="1494"/>
      <c r="D154" s="1494"/>
      <c r="E154" s="1494"/>
      <c r="F154" s="1494"/>
      <c r="G154" s="1494"/>
      <c r="H154" s="1494"/>
    </row>
    <row r="155" spans="1:8">
      <c r="A155" s="1495" t="s">
        <v>642</v>
      </c>
      <c r="B155" s="1494"/>
      <c r="C155" s="1494"/>
      <c r="D155" s="1494"/>
      <c r="E155" s="1494"/>
      <c r="F155" s="1494"/>
      <c r="G155" s="1494"/>
      <c r="H155" s="1494"/>
    </row>
    <row r="156" spans="1:8">
      <c r="A156" s="1495" t="s">
        <v>643</v>
      </c>
      <c r="B156" s="1494"/>
      <c r="C156" s="1494"/>
      <c r="D156" s="1494"/>
      <c r="E156" s="1494"/>
      <c r="F156" s="1494"/>
      <c r="G156" s="1494"/>
      <c r="H156" s="1494"/>
    </row>
    <row r="157" spans="1:8">
      <c r="A157" s="1494"/>
      <c r="B157" s="1494"/>
      <c r="C157" s="1494"/>
      <c r="D157" s="1494"/>
      <c r="E157" s="1494"/>
      <c r="F157" s="1494"/>
      <c r="G157" s="1494"/>
      <c r="H157" s="1494"/>
    </row>
    <row r="158" spans="1:8" ht="15.75">
      <c r="A158" s="1496" t="s">
        <v>466</v>
      </c>
      <c r="B158" s="1494"/>
      <c r="C158" s="1494"/>
      <c r="D158" s="1494"/>
      <c r="E158" s="1494"/>
      <c r="F158" s="1494"/>
      <c r="G158" s="1494"/>
      <c r="H158" s="1494"/>
    </row>
    <row r="159" spans="1:8">
      <c r="A159" s="1494"/>
      <c r="B159" s="1494"/>
      <c r="C159" s="1494"/>
      <c r="D159" s="1494"/>
      <c r="E159" s="1494"/>
      <c r="F159" s="1494"/>
      <c r="G159" s="1494"/>
      <c r="H159" s="1494"/>
    </row>
    <row r="160" spans="1:8">
      <c r="A160" s="1495" t="s">
        <v>640</v>
      </c>
      <c r="B160" s="1494"/>
      <c r="C160" s="1494"/>
      <c r="D160" s="1494"/>
      <c r="E160" s="1494"/>
      <c r="F160" s="1494"/>
      <c r="G160" s="1494"/>
      <c r="H160" s="1494"/>
    </row>
    <row r="161" spans="1:8">
      <c r="A161" s="1495" t="s">
        <v>641</v>
      </c>
      <c r="B161" s="1494"/>
      <c r="C161" s="1494"/>
      <c r="D161" s="1494"/>
      <c r="E161" s="1494"/>
      <c r="F161" s="1494"/>
      <c r="G161" s="1494"/>
      <c r="H161" s="1494"/>
    </row>
    <row r="162" spans="1:8">
      <c r="A162" s="1494"/>
      <c r="B162" s="1494"/>
      <c r="C162" s="1494"/>
      <c r="D162" s="1494"/>
      <c r="E162" s="1494"/>
      <c r="F162" s="1494"/>
      <c r="G162" s="1494"/>
      <c r="H162" s="1494"/>
    </row>
    <row r="163" spans="1:8">
      <c r="A163" s="1495" t="s">
        <v>638</v>
      </c>
      <c r="B163" s="1494"/>
      <c r="C163" s="1494"/>
      <c r="D163" s="1494"/>
      <c r="E163" s="1494"/>
      <c r="F163" s="1494"/>
      <c r="G163" s="1494"/>
      <c r="H163" s="1494"/>
    </row>
    <row r="164" spans="1:8">
      <c r="A164" s="1495" t="s">
        <v>639</v>
      </c>
      <c r="B164" s="1494"/>
      <c r="C164" s="1494"/>
      <c r="D164" s="1494"/>
      <c r="E164" s="1494"/>
      <c r="F164" s="1494"/>
      <c r="G164" s="1494"/>
      <c r="H164" s="1494"/>
    </row>
    <row r="165" spans="1:8">
      <c r="A165" s="1494"/>
      <c r="B165" s="1494"/>
      <c r="C165" s="1494"/>
      <c r="D165" s="1494"/>
      <c r="E165" s="1494"/>
      <c r="F165" s="1494"/>
      <c r="G165" s="1494"/>
      <c r="H165" s="1494"/>
    </row>
    <row r="166" spans="1:8">
      <c r="A166" s="1495" t="s">
        <v>636</v>
      </c>
      <c r="B166" s="1494"/>
      <c r="C166" s="1494"/>
      <c r="D166" s="1494"/>
      <c r="E166" s="1494"/>
      <c r="F166" s="1494"/>
      <c r="G166" s="1494"/>
      <c r="H166" s="1494"/>
    </row>
    <row r="167" spans="1:8">
      <c r="A167" s="1495" t="s">
        <v>637</v>
      </c>
      <c r="B167" s="1494"/>
      <c r="C167" s="1494"/>
      <c r="D167" s="1494"/>
      <c r="E167" s="1494"/>
      <c r="F167" s="1494"/>
      <c r="G167" s="1494"/>
      <c r="H167" s="1494"/>
    </row>
    <row r="168" spans="1:8">
      <c r="A168" s="1494"/>
      <c r="B168" s="1494"/>
      <c r="C168" s="1494"/>
      <c r="D168" s="1494"/>
      <c r="E168" s="1494"/>
      <c r="F168" s="1494"/>
      <c r="G168" s="1494"/>
      <c r="H168" s="1494"/>
    </row>
    <row r="169" spans="1:8">
      <c r="A169" s="1495" t="s">
        <v>633</v>
      </c>
      <c r="B169" s="1494"/>
      <c r="C169" s="1494"/>
      <c r="D169" s="1494"/>
      <c r="E169" s="1494"/>
      <c r="F169" s="1494"/>
      <c r="G169" s="1494"/>
      <c r="H169" s="1494"/>
    </row>
    <row r="170" spans="1:8">
      <c r="A170" s="1495" t="s">
        <v>634</v>
      </c>
      <c r="B170" s="1494"/>
      <c r="C170" s="1494"/>
      <c r="D170" s="1494"/>
      <c r="E170" s="1494"/>
      <c r="F170" s="1494"/>
      <c r="G170" s="1494"/>
      <c r="H170" s="1494"/>
    </row>
    <row r="171" spans="1:8">
      <c r="A171" s="1495" t="s">
        <v>635</v>
      </c>
      <c r="B171" s="1494"/>
      <c r="C171" s="1494"/>
      <c r="D171" s="1494"/>
      <c r="E171" s="1494"/>
      <c r="F171" s="1494"/>
      <c r="G171" s="1494"/>
      <c r="H171" s="1494"/>
    </row>
    <row r="172" spans="1:8">
      <c r="A172" s="1494"/>
      <c r="B172" s="1494"/>
      <c r="C172" s="1494"/>
      <c r="D172" s="1494"/>
      <c r="E172" s="1494"/>
      <c r="F172" s="1494"/>
      <c r="G172" s="1494"/>
      <c r="H172" s="1494"/>
    </row>
    <row r="173" spans="1:8">
      <c r="A173" s="1494"/>
      <c r="B173" s="1494"/>
      <c r="C173" s="1494"/>
      <c r="D173" s="1494"/>
      <c r="E173" s="1494"/>
      <c r="F173" s="1494"/>
      <c r="G173" s="1494"/>
      <c r="H173" s="1494"/>
    </row>
    <row r="174" spans="1:8">
      <c r="A174" s="1495" t="s">
        <v>467</v>
      </c>
      <c r="B174" s="1494"/>
      <c r="C174" s="1494"/>
      <c r="D174" s="1494"/>
      <c r="E174" s="1494"/>
      <c r="F174" s="1494"/>
      <c r="G174" s="1494"/>
      <c r="H174" s="1494"/>
    </row>
    <row r="175" spans="1:8">
      <c r="A175" s="1494"/>
      <c r="B175" s="1494"/>
      <c r="C175" s="1494"/>
      <c r="D175" s="1494"/>
      <c r="E175" s="1494"/>
      <c r="F175" s="1494"/>
      <c r="G175" s="1494"/>
      <c r="H175" s="1494"/>
    </row>
    <row r="176" spans="1:8" ht="15.75">
      <c r="A176" s="1496" t="s">
        <v>468</v>
      </c>
      <c r="B176" s="1494"/>
      <c r="C176" s="1494"/>
      <c r="D176" s="1494"/>
      <c r="E176" s="1494"/>
      <c r="F176" s="1494"/>
      <c r="G176" s="1494"/>
      <c r="H176" s="1494"/>
    </row>
    <row r="177" spans="1:8">
      <c r="A177" s="1494"/>
      <c r="B177" s="1494"/>
      <c r="C177" s="1494"/>
      <c r="D177" s="1494"/>
      <c r="E177" s="1494"/>
      <c r="F177" s="1494"/>
      <c r="G177" s="1494"/>
      <c r="H177" s="1494"/>
    </row>
    <row r="178" spans="1:8">
      <c r="A178" s="1494"/>
      <c r="B178" s="1494"/>
      <c r="C178" s="1494"/>
      <c r="D178" s="1494"/>
      <c r="E178" s="1494"/>
      <c r="F178" s="1494"/>
      <c r="G178" s="1494"/>
      <c r="H178" s="1494"/>
    </row>
    <row r="179" spans="1:8">
      <c r="A179" s="1494"/>
      <c r="B179" s="1494"/>
      <c r="C179" s="1494"/>
      <c r="D179" s="1494"/>
      <c r="E179" s="1494"/>
      <c r="F179" s="1494"/>
      <c r="G179" s="1494"/>
      <c r="H179" s="1494"/>
    </row>
    <row r="180" spans="1:8">
      <c r="A180" s="1494"/>
      <c r="B180" s="1494"/>
      <c r="C180" s="1494"/>
      <c r="D180" s="1494"/>
      <c r="E180" s="1494"/>
      <c r="F180" s="1494"/>
      <c r="G180" s="1494"/>
      <c r="H180" s="1494"/>
    </row>
    <row r="181" spans="1:8">
      <c r="A181" s="1494"/>
      <c r="B181" s="1494"/>
      <c r="C181" s="1494"/>
      <c r="D181" s="1494"/>
      <c r="E181" s="1494"/>
      <c r="F181" s="1494"/>
      <c r="G181" s="1494"/>
      <c r="H181" s="1494"/>
    </row>
    <row r="182" spans="1:8">
      <c r="A182" s="1494"/>
      <c r="B182" s="1494"/>
      <c r="C182" s="1494"/>
      <c r="D182" s="1494"/>
      <c r="E182" s="1494"/>
      <c r="F182" s="1494"/>
      <c r="G182" s="1494"/>
      <c r="H182" s="1494"/>
    </row>
    <row r="183" spans="1:8">
      <c r="A183" s="1494"/>
      <c r="B183" s="1494"/>
      <c r="C183" s="1494"/>
      <c r="D183" s="1494"/>
      <c r="E183" s="1494"/>
      <c r="F183" s="1494"/>
      <c r="G183" s="1494"/>
      <c r="H183" s="1494"/>
    </row>
    <row r="184" spans="1:8">
      <c r="A184" s="1494"/>
      <c r="B184" s="1494"/>
      <c r="C184" s="1494"/>
      <c r="D184" s="1494"/>
      <c r="E184" s="1494"/>
      <c r="F184" s="1494"/>
      <c r="G184" s="1494"/>
      <c r="H184" s="1494"/>
    </row>
    <row r="185" spans="1:8">
      <c r="A185" s="1494"/>
      <c r="B185" s="1494"/>
      <c r="C185" s="1494"/>
      <c r="D185" s="1494"/>
      <c r="E185" s="1494"/>
      <c r="F185" s="1494"/>
      <c r="G185" s="1494"/>
      <c r="H185" s="1494"/>
    </row>
    <row r="186" spans="1:8">
      <c r="A186" s="1494"/>
      <c r="B186" s="1494"/>
      <c r="C186" s="1494"/>
      <c r="D186" s="1494"/>
      <c r="E186" s="1494"/>
      <c r="F186" s="1494"/>
      <c r="G186" s="1494"/>
      <c r="H186" s="1494"/>
    </row>
    <row r="187" spans="1:8">
      <c r="A187" s="1494"/>
      <c r="B187" s="1494"/>
      <c r="C187" s="1494"/>
      <c r="D187" s="1494"/>
      <c r="E187" s="1494"/>
      <c r="F187" s="1494"/>
      <c r="G187" s="1494"/>
      <c r="H187" s="1494"/>
    </row>
    <row r="188" spans="1:8">
      <c r="A188" s="1494"/>
      <c r="B188" s="1494"/>
      <c r="C188" s="1494"/>
      <c r="D188" s="1494"/>
      <c r="E188" s="1494"/>
      <c r="F188" s="1494"/>
      <c r="G188" s="1494"/>
      <c r="H188" s="1494"/>
    </row>
    <row r="189" spans="1:8">
      <c r="A189" s="1494"/>
      <c r="B189" s="1494"/>
      <c r="C189" s="1494"/>
      <c r="D189" s="1494"/>
      <c r="E189" s="1494"/>
      <c r="F189" s="1494"/>
      <c r="G189" s="1494"/>
      <c r="H189" s="1494"/>
    </row>
    <row r="190" spans="1:8">
      <c r="A190" s="1494"/>
      <c r="B190" s="1494"/>
      <c r="C190" s="1494"/>
      <c r="D190" s="1494"/>
      <c r="E190" s="1494"/>
      <c r="F190" s="1494"/>
      <c r="G190" s="1494"/>
      <c r="H190" s="1494"/>
    </row>
    <row r="191" spans="1:8">
      <c r="A191" s="1494"/>
      <c r="B191" s="1494"/>
      <c r="C191" s="1494"/>
      <c r="D191" s="1494"/>
      <c r="E191" s="1494"/>
      <c r="F191" s="1494"/>
      <c r="G191" s="1494"/>
      <c r="H191" s="1494"/>
    </row>
    <row r="192" spans="1:8">
      <c r="A192" s="1494"/>
      <c r="B192" s="1494"/>
      <c r="C192" s="1494"/>
      <c r="D192" s="1494"/>
      <c r="E192" s="1494"/>
      <c r="F192" s="1494"/>
      <c r="G192" s="1494"/>
      <c r="H192" s="1494"/>
    </row>
    <row r="193" spans="1:8">
      <c r="A193" s="1494"/>
      <c r="B193" s="1494"/>
      <c r="C193" s="1494"/>
      <c r="D193" s="1494"/>
      <c r="E193" s="1494"/>
      <c r="F193" s="1494"/>
      <c r="G193" s="1494"/>
      <c r="H193" s="1494"/>
    </row>
    <row r="194" spans="1:8">
      <c r="A194" s="1494"/>
      <c r="B194" s="1494"/>
      <c r="C194" s="1494"/>
      <c r="D194" s="1494"/>
      <c r="E194" s="1494"/>
      <c r="F194" s="1494"/>
      <c r="G194" s="1494"/>
      <c r="H194" s="1494"/>
    </row>
    <row r="195" spans="1:8">
      <c r="A195" s="1494"/>
      <c r="B195" s="1494"/>
      <c r="C195" s="1494"/>
      <c r="D195" s="1494"/>
      <c r="E195" s="1494"/>
      <c r="F195" s="1494"/>
      <c r="G195" s="1494"/>
      <c r="H195" s="1494"/>
    </row>
    <row r="196" spans="1:8">
      <c r="A196" s="1494"/>
      <c r="B196" s="1494"/>
      <c r="C196" s="1494"/>
      <c r="D196" s="1494"/>
      <c r="E196" s="1494"/>
      <c r="F196" s="1494"/>
      <c r="G196" s="1494"/>
      <c r="H196" s="1494"/>
    </row>
    <row r="197" spans="1:8">
      <c r="A197" s="1494"/>
      <c r="B197" s="1494"/>
      <c r="C197" s="1494"/>
      <c r="D197" s="1494"/>
      <c r="E197" s="1494"/>
      <c r="F197" s="1494"/>
      <c r="G197" s="1494"/>
      <c r="H197" s="1494"/>
    </row>
    <row r="198" spans="1:8">
      <c r="A198" s="1494"/>
      <c r="B198" s="1494"/>
      <c r="C198" s="1494"/>
      <c r="D198" s="1494"/>
      <c r="E198" s="1494"/>
      <c r="F198" s="1494"/>
      <c r="G198" s="1494"/>
      <c r="H198" s="1494"/>
    </row>
    <row r="199" spans="1:8">
      <c r="A199" s="1494"/>
      <c r="B199" s="1494"/>
      <c r="C199" s="1494"/>
      <c r="D199" s="1494"/>
      <c r="E199" s="1494"/>
      <c r="F199" s="1494"/>
      <c r="G199" s="1494"/>
      <c r="H199" s="1494"/>
    </row>
    <row r="200" spans="1:8">
      <c r="A200" s="1494"/>
      <c r="B200" s="1494"/>
      <c r="C200" s="1494"/>
      <c r="D200" s="1494"/>
      <c r="E200" s="1494"/>
      <c r="F200" s="1494"/>
      <c r="G200" s="1494"/>
      <c r="H200" s="1494"/>
    </row>
    <row r="201" spans="1:8">
      <c r="A201" s="1494"/>
      <c r="B201" s="1494"/>
      <c r="C201" s="1494"/>
      <c r="D201" s="1494"/>
      <c r="E201" s="1494"/>
      <c r="F201" s="1494"/>
      <c r="G201" s="1494"/>
      <c r="H201" s="1494"/>
    </row>
    <row r="202" spans="1:8">
      <c r="A202" s="1494"/>
      <c r="B202" s="1494"/>
      <c r="C202" s="1494"/>
      <c r="D202" s="1494"/>
      <c r="E202" s="1494"/>
      <c r="F202" s="1494"/>
      <c r="G202" s="1494"/>
      <c r="H202" s="1494"/>
    </row>
    <row r="203" spans="1:8" ht="15.75">
      <c r="A203" s="1496" t="s">
        <v>469</v>
      </c>
      <c r="B203" s="1494"/>
      <c r="C203" s="1494"/>
      <c r="D203" s="1494"/>
      <c r="E203" s="1494"/>
      <c r="F203" s="1494"/>
      <c r="G203" s="1494"/>
      <c r="H203" s="1494"/>
    </row>
    <row r="204" spans="1:8">
      <c r="A204" s="1494"/>
      <c r="B204" s="1494"/>
      <c r="C204" s="1494"/>
      <c r="D204" s="1494"/>
      <c r="E204" s="1494"/>
      <c r="F204" s="1494"/>
      <c r="G204" s="1494"/>
      <c r="H204" s="1494"/>
    </row>
    <row r="205" spans="1:8">
      <c r="A205" s="1495" t="s">
        <v>628</v>
      </c>
      <c r="B205" s="1494"/>
      <c r="C205" s="1494"/>
      <c r="D205" s="1494"/>
      <c r="E205" s="1494"/>
      <c r="F205" s="1494"/>
      <c r="G205" s="1494"/>
      <c r="H205" s="1494"/>
    </row>
    <row r="206" spans="1:8">
      <c r="A206" s="1495" t="s">
        <v>629</v>
      </c>
      <c r="B206" s="1494"/>
      <c r="C206" s="1494"/>
      <c r="D206" s="1494"/>
      <c r="E206" s="1494"/>
      <c r="F206" s="1494"/>
      <c r="G206" s="1494"/>
      <c r="H206" s="1494"/>
    </row>
    <row r="207" spans="1:8">
      <c r="A207" s="1495" t="s">
        <v>630</v>
      </c>
      <c r="B207" s="1494"/>
      <c r="C207" s="1494"/>
      <c r="D207" s="1494"/>
      <c r="E207" s="1494"/>
      <c r="F207" s="1494"/>
      <c r="G207" s="1494"/>
      <c r="H207" s="1494"/>
    </row>
    <row r="208" spans="1:8">
      <c r="A208" s="1495" t="s">
        <v>631</v>
      </c>
      <c r="B208" s="1494"/>
      <c r="C208" s="1494"/>
      <c r="D208" s="1494"/>
      <c r="E208" s="1494"/>
      <c r="F208" s="1494"/>
      <c r="G208" s="1494"/>
      <c r="H208" s="1494"/>
    </row>
    <row r="209" spans="1:8">
      <c r="A209" s="1495" t="s">
        <v>632</v>
      </c>
      <c r="B209" s="1494"/>
      <c r="C209" s="1494"/>
      <c r="D209" s="1494"/>
      <c r="E209" s="1494"/>
      <c r="F209" s="1494"/>
      <c r="G209" s="1494"/>
      <c r="H209" s="1494"/>
    </row>
    <row r="210" spans="1:8">
      <c r="A210" s="1494"/>
      <c r="B210" s="1494"/>
      <c r="C210" s="1494"/>
      <c r="D210" s="1494"/>
      <c r="E210" s="1494"/>
      <c r="F210" s="1494"/>
      <c r="G210" s="1494"/>
      <c r="H210" s="1494"/>
    </row>
    <row r="211" spans="1:8">
      <c r="A211" s="1495" t="s">
        <v>625</v>
      </c>
      <c r="B211" s="1494"/>
      <c r="C211" s="1494"/>
      <c r="D211" s="1494"/>
      <c r="E211" s="1494"/>
      <c r="F211" s="1494"/>
      <c r="G211" s="1494"/>
      <c r="H211" s="1494"/>
    </row>
    <row r="212" spans="1:8">
      <c r="A212" s="1495" t="s">
        <v>626</v>
      </c>
      <c r="B212" s="1494"/>
      <c r="C212" s="1494"/>
      <c r="D212" s="1494"/>
      <c r="E212" s="1494"/>
      <c r="F212" s="1494"/>
      <c r="G212" s="1494"/>
      <c r="H212" s="1494"/>
    </row>
    <row r="213" spans="1:8">
      <c r="A213" s="1495" t="s">
        <v>627</v>
      </c>
      <c r="B213" s="1494"/>
      <c r="C213" s="1494"/>
      <c r="D213" s="1494"/>
      <c r="E213" s="1494"/>
      <c r="F213" s="1494"/>
      <c r="G213" s="1494"/>
      <c r="H213" s="1494"/>
    </row>
    <row r="214" spans="1:8" ht="15.75">
      <c r="A214" s="1496" t="s">
        <v>470</v>
      </c>
      <c r="B214" s="1494"/>
      <c r="C214" s="1494"/>
      <c r="D214" s="1494"/>
      <c r="E214" s="1494"/>
      <c r="F214" s="1494"/>
      <c r="G214" s="1494"/>
      <c r="H214" s="1494"/>
    </row>
    <row r="215" spans="1:8">
      <c r="A215" s="1494"/>
      <c r="B215" s="1494"/>
      <c r="C215" s="1494"/>
      <c r="D215" s="1494"/>
      <c r="E215" s="1494"/>
      <c r="F215" s="1494"/>
      <c r="G215" s="1494"/>
      <c r="H215" s="1494"/>
    </row>
    <row r="216" spans="1:8">
      <c r="A216" s="1495" t="s">
        <v>618</v>
      </c>
      <c r="B216" s="1494"/>
      <c r="C216" s="1494"/>
      <c r="D216" s="1494"/>
      <c r="E216" s="1494"/>
      <c r="F216" s="1494"/>
      <c r="G216" s="1494"/>
      <c r="H216" s="1494"/>
    </row>
    <row r="217" spans="1:8">
      <c r="A217" s="1495" t="s">
        <v>619</v>
      </c>
      <c r="B217" s="1494"/>
      <c r="C217" s="1494"/>
      <c r="D217" s="1494"/>
      <c r="E217" s="1494"/>
      <c r="F217" s="1494"/>
      <c r="G217" s="1494"/>
      <c r="H217" s="1494"/>
    </row>
    <row r="218" spans="1:8">
      <c r="A218" s="1495" t="s">
        <v>620</v>
      </c>
      <c r="B218" s="1494"/>
      <c r="C218" s="1494"/>
      <c r="D218" s="1494"/>
      <c r="E218" s="1494"/>
      <c r="F218" s="1494"/>
      <c r="G218" s="1494"/>
      <c r="H218" s="1494"/>
    </row>
    <row r="219" spans="1:8">
      <c r="A219" s="1495" t="s">
        <v>621</v>
      </c>
      <c r="B219" s="1494"/>
      <c r="C219" s="1494"/>
      <c r="D219" s="1494"/>
      <c r="E219" s="1494"/>
      <c r="F219" s="1494"/>
      <c r="G219" s="1494"/>
      <c r="H219" s="1494"/>
    </row>
    <row r="220" spans="1:8">
      <c r="A220" s="1495" t="s">
        <v>622</v>
      </c>
      <c r="B220" s="1494"/>
      <c r="C220" s="1494"/>
      <c r="D220" s="1494"/>
      <c r="E220" s="1494"/>
      <c r="F220" s="1494"/>
      <c r="G220" s="1494"/>
      <c r="H220" s="1494"/>
    </row>
    <row r="221" spans="1:8">
      <c r="A221" s="1495" t="s">
        <v>623</v>
      </c>
      <c r="B221" s="1494"/>
      <c r="C221" s="1494"/>
      <c r="D221" s="1494"/>
      <c r="E221" s="1494"/>
      <c r="F221" s="1494"/>
      <c r="G221" s="1494"/>
      <c r="H221" s="1494"/>
    </row>
    <row r="222" spans="1:8">
      <c r="A222" s="1495" t="s">
        <v>624</v>
      </c>
      <c r="B222" s="1494"/>
      <c r="C222" s="1494"/>
      <c r="D222" s="1494"/>
      <c r="E222" s="1494"/>
      <c r="F222" s="1494"/>
      <c r="G222" s="1494"/>
      <c r="H222" s="1494"/>
    </row>
    <row r="223" spans="1:8">
      <c r="A223" s="1494"/>
      <c r="B223" s="1494"/>
      <c r="C223" s="1494"/>
      <c r="D223" s="1494"/>
      <c r="E223" s="1494"/>
      <c r="F223" s="1494"/>
      <c r="G223" s="1494"/>
      <c r="H223" s="1494"/>
    </row>
    <row r="224" spans="1:8">
      <c r="A224" s="1495" t="s">
        <v>615</v>
      </c>
      <c r="B224" s="1494"/>
      <c r="C224" s="1494"/>
      <c r="D224" s="1494"/>
      <c r="E224" s="1494"/>
      <c r="F224" s="1494"/>
      <c r="G224" s="1494"/>
      <c r="H224" s="1494"/>
    </row>
    <row r="225" spans="1:8">
      <c r="A225" s="1495" t="s">
        <v>616</v>
      </c>
      <c r="B225" s="1494"/>
      <c r="C225" s="1494"/>
      <c r="D225" s="1494"/>
      <c r="E225" s="1494"/>
      <c r="F225" s="1494"/>
      <c r="G225" s="1494"/>
      <c r="H225" s="1494"/>
    </row>
    <row r="226" spans="1:8">
      <c r="A226" s="1495" t="s">
        <v>617</v>
      </c>
      <c r="B226" s="1494"/>
      <c r="C226" s="1494"/>
      <c r="D226" s="1494"/>
      <c r="E226" s="1494"/>
      <c r="F226" s="1494"/>
      <c r="G226" s="1494"/>
      <c r="H226" s="1494"/>
    </row>
    <row r="227" spans="1:8">
      <c r="A227" s="1494"/>
      <c r="B227" s="1494"/>
      <c r="C227" s="1494"/>
      <c r="D227" s="1494"/>
      <c r="E227" s="1494"/>
      <c r="F227" s="1494"/>
      <c r="G227" s="1494"/>
      <c r="H227" s="1494"/>
    </row>
    <row r="228" spans="1:8">
      <c r="A228" s="1495" t="s">
        <v>610</v>
      </c>
      <c r="B228" s="1494"/>
      <c r="C228" s="1494"/>
      <c r="D228" s="1494"/>
      <c r="E228" s="1494"/>
      <c r="F228" s="1494"/>
      <c r="G228" s="1494"/>
      <c r="H228" s="1494"/>
    </row>
    <row r="229" spans="1:8">
      <c r="A229" s="1495" t="s">
        <v>611</v>
      </c>
      <c r="B229" s="1494"/>
      <c r="C229" s="1494"/>
      <c r="D229" s="1494"/>
      <c r="E229" s="1494"/>
      <c r="F229" s="1494"/>
      <c r="G229" s="1494"/>
      <c r="H229" s="1494"/>
    </row>
    <row r="230" spans="1:8">
      <c r="A230" s="1495" t="s">
        <v>612</v>
      </c>
      <c r="B230" s="1494"/>
      <c r="C230" s="1494"/>
      <c r="D230" s="1494"/>
      <c r="E230" s="1494"/>
      <c r="F230" s="1494"/>
      <c r="G230" s="1494"/>
      <c r="H230" s="1494"/>
    </row>
    <row r="231" spans="1:8">
      <c r="A231" s="1495" t="s">
        <v>613</v>
      </c>
      <c r="B231" s="1494"/>
      <c r="C231" s="1494"/>
      <c r="D231" s="1494"/>
      <c r="E231" s="1494"/>
      <c r="F231" s="1494"/>
      <c r="G231" s="1494"/>
      <c r="H231" s="1494"/>
    </row>
    <row r="232" spans="1:8">
      <c r="A232" s="1495" t="s">
        <v>614</v>
      </c>
      <c r="B232" s="1494"/>
      <c r="C232" s="1494"/>
      <c r="D232" s="1494"/>
      <c r="E232" s="1494"/>
      <c r="F232" s="1494"/>
      <c r="G232" s="1494"/>
      <c r="H232" s="1494"/>
    </row>
    <row r="233" spans="1:8">
      <c r="A233" s="1494"/>
      <c r="B233" s="1494"/>
      <c r="C233" s="1494"/>
      <c r="D233" s="1494"/>
      <c r="E233" s="1494"/>
      <c r="F233" s="1494"/>
      <c r="G233" s="1494"/>
      <c r="H233" s="1494"/>
    </row>
    <row r="234" spans="1:8">
      <c r="A234" s="1495" t="s">
        <v>604</v>
      </c>
      <c r="B234" s="1494"/>
      <c r="C234" s="1494"/>
      <c r="D234" s="1494"/>
      <c r="E234" s="1494"/>
      <c r="F234" s="1494"/>
      <c r="G234" s="1494"/>
      <c r="H234" s="1494"/>
    </row>
    <row r="235" spans="1:8">
      <c r="A235" s="1495" t="s">
        <v>605</v>
      </c>
      <c r="B235" s="1494"/>
      <c r="C235" s="1494"/>
      <c r="D235" s="1494"/>
      <c r="E235" s="1494"/>
      <c r="F235" s="1494"/>
      <c r="G235" s="1494"/>
      <c r="H235" s="1494"/>
    </row>
    <row r="236" spans="1:8">
      <c r="A236" s="1495" t="s">
        <v>606</v>
      </c>
      <c r="B236" s="1494"/>
      <c r="C236" s="1494"/>
      <c r="D236" s="1494"/>
      <c r="E236" s="1494"/>
      <c r="F236" s="1494"/>
      <c r="G236" s="1494"/>
      <c r="H236" s="1494"/>
    </row>
    <row r="237" spans="1:8">
      <c r="A237" s="1495" t="s">
        <v>607</v>
      </c>
      <c r="B237" s="1494"/>
      <c r="C237" s="1494"/>
      <c r="D237" s="1494"/>
      <c r="E237" s="1494"/>
      <c r="F237" s="1494"/>
      <c r="G237" s="1494"/>
      <c r="H237" s="1494"/>
    </row>
    <row r="238" spans="1:8">
      <c r="A238" s="1495" t="s">
        <v>608</v>
      </c>
      <c r="B238" s="1494"/>
      <c r="C238" s="1494"/>
      <c r="D238" s="1494"/>
      <c r="E238" s="1494"/>
      <c r="F238" s="1494"/>
      <c r="G238" s="1494"/>
      <c r="H238" s="1494"/>
    </row>
    <row r="239" spans="1:8">
      <c r="A239" s="1495" t="s">
        <v>609</v>
      </c>
      <c r="B239" s="1494"/>
      <c r="C239" s="1494"/>
      <c r="D239" s="1494"/>
      <c r="E239" s="1494"/>
      <c r="F239" s="1494"/>
      <c r="G239" s="1494"/>
      <c r="H239" s="1494"/>
    </row>
    <row r="240" spans="1:8">
      <c r="A240" s="1494"/>
      <c r="B240" s="1494"/>
      <c r="C240" s="1494"/>
      <c r="D240" s="1494"/>
      <c r="E240" s="1494"/>
      <c r="F240" s="1494"/>
      <c r="G240" s="1494"/>
      <c r="H240" s="1494"/>
    </row>
    <row r="241" spans="1:8">
      <c r="A241" s="1495" t="s">
        <v>594</v>
      </c>
      <c r="B241" s="1494"/>
      <c r="C241" s="1494"/>
      <c r="D241" s="1494"/>
      <c r="E241" s="1494"/>
      <c r="F241" s="1494"/>
      <c r="G241" s="1494"/>
      <c r="H241" s="1494"/>
    </row>
    <row r="242" spans="1:8">
      <c r="A242" s="1495" t="s">
        <v>595</v>
      </c>
      <c r="B242" s="1494"/>
      <c r="C242" s="1494"/>
      <c r="D242" s="1494"/>
      <c r="E242" s="1494"/>
      <c r="F242" s="1494"/>
      <c r="G242" s="1494"/>
      <c r="H242" s="1494"/>
    </row>
    <row r="243" spans="1:8">
      <c r="A243" s="1495" t="s">
        <v>596</v>
      </c>
      <c r="B243" s="1494"/>
      <c r="C243" s="1494"/>
      <c r="D243" s="1494"/>
      <c r="E243" s="1494"/>
      <c r="F243" s="1494"/>
      <c r="G243" s="1494"/>
      <c r="H243" s="1494"/>
    </row>
    <row r="244" spans="1:8">
      <c r="A244" s="1495" t="s">
        <v>597</v>
      </c>
      <c r="B244" s="1494"/>
      <c r="C244" s="1494"/>
      <c r="D244" s="1494"/>
      <c r="E244" s="1494"/>
      <c r="F244" s="1494"/>
      <c r="G244" s="1494"/>
      <c r="H244" s="1494"/>
    </row>
    <row r="245" spans="1:8">
      <c r="A245" s="1495" t="s">
        <v>598</v>
      </c>
      <c r="B245" s="1494"/>
      <c r="C245" s="1494"/>
      <c r="D245" s="1494"/>
      <c r="E245" s="1494"/>
      <c r="F245" s="1494"/>
      <c r="G245" s="1494"/>
      <c r="H245" s="1494"/>
    </row>
    <row r="246" spans="1:8">
      <c r="A246" s="1495" t="s">
        <v>599</v>
      </c>
      <c r="B246" s="1494"/>
      <c r="C246" s="1494"/>
      <c r="D246" s="1494"/>
      <c r="E246" s="1494"/>
      <c r="F246" s="1494"/>
      <c r="G246" s="1494"/>
      <c r="H246" s="1494"/>
    </row>
    <row r="247" spans="1:8">
      <c r="A247" s="1495" t="s">
        <v>600</v>
      </c>
      <c r="B247" s="1494"/>
      <c r="C247" s="1494"/>
      <c r="D247" s="1494"/>
      <c r="E247" s="1494"/>
      <c r="F247" s="1494"/>
      <c r="G247" s="1494"/>
      <c r="H247" s="1494"/>
    </row>
    <row r="248" spans="1:8">
      <c r="A248" s="1495" t="s">
        <v>601</v>
      </c>
      <c r="B248" s="1494"/>
      <c r="C248" s="1494"/>
      <c r="D248" s="1494"/>
      <c r="E248" s="1494"/>
      <c r="F248" s="1494"/>
      <c r="G248" s="1494"/>
      <c r="H248" s="1494"/>
    </row>
    <row r="249" spans="1:8">
      <c r="A249" s="1495" t="s">
        <v>602</v>
      </c>
      <c r="B249" s="1494"/>
      <c r="C249" s="1494"/>
      <c r="D249" s="1494"/>
      <c r="E249" s="1494"/>
      <c r="F249" s="1494"/>
      <c r="G249" s="1494"/>
      <c r="H249" s="1494"/>
    </row>
    <row r="250" spans="1:8">
      <c r="A250" s="1495" t="s">
        <v>603</v>
      </c>
      <c r="B250" s="1494"/>
      <c r="C250" s="1494"/>
      <c r="D250" s="1494"/>
      <c r="E250" s="1494"/>
      <c r="F250" s="1494"/>
      <c r="G250" s="1494"/>
      <c r="H250" s="1494"/>
    </row>
    <row r="251" spans="1:8">
      <c r="A251" s="1494"/>
      <c r="B251" s="1494"/>
      <c r="C251" s="1494"/>
      <c r="D251" s="1494"/>
      <c r="E251" s="1494"/>
      <c r="F251" s="1494"/>
      <c r="G251" s="1494"/>
      <c r="H251" s="1494"/>
    </row>
    <row r="252" spans="1:8">
      <c r="A252" s="1495" t="s">
        <v>592</v>
      </c>
      <c r="B252" s="1494"/>
      <c r="C252" s="1494"/>
      <c r="D252" s="1494"/>
      <c r="E252" s="1494"/>
      <c r="F252" s="1494"/>
      <c r="G252" s="1494"/>
      <c r="H252" s="1494"/>
    </row>
    <row r="253" spans="1:8">
      <c r="A253" s="1495" t="s">
        <v>593</v>
      </c>
      <c r="B253" s="1494"/>
      <c r="C253" s="1494"/>
      <c r="D253" s="1494"/>
      <c r="E253" s="1494"/>
      <c r="F253" s="1494"/>
      <c r="G253" s="1494"/>
      <c r="H253" s="1494"/>
    </row>
    <row r="254" spans="1:8">
      <c r="A254" s="1494"/>
      <c r="B254" s="1494"/>
      <c r="C254" s="1494"/>
      <c r="D254" s="1494"/>
      <c r="E254" s="1494"/>
      <c r="F254" s="1494"/>
      <c r="G254" s="1494"/>
      <c r="H254" s="1494"/>
    </row>
    <row r="255" spans="1:8">
      <c r="A255" s="1495" t="s">
        <v>576</v>
      </c>
      <c r="B255" s="1494"/>
      <c r="C255" s="1494"/>
      <c r="D255" s="1494"/>
      <c r="E255" s="1494"/>
      <c r="F255" s="1494"/>
      <c r="G255" s="1494"/>
      <c r="H255" s="1494"/>
    </row>
    <row r="256" spans="1:8">
      <c r="A256" s="1495" t="s">
        <v>577</v>
      </c>
      <c r="B256" s="1494"/>
      <c r="C256" s="1494"/>
      <c r="D256" s="1494"/>
      <c r="E256" s="1494"/>
      <c r="F256" s="1494"/>
      <c r="G256" s="1494"/>
      <c r="H256" s="1494"/>
    </row>
    <row r="257" spans="1:8">
      <c r="A257" s="1495" t="s">
        <v>578</v>
      </c>
      <c r="B257" s="1494"/>
      <c r="C257" s="1494"/>
      <c r="D257" s="1494"/>
      <c r="E257" s="1494"/>
      <c r="F257" s="1494"/>
      <c r="G257" s="1494"/>
      <c r="H257" s="1494"/>
    </row>
    <row r="258" spans="1:8">
      <c r="A258" s="1495" t="s">
        <v>579</v>
      </c>
      <c r="B258" s="1494"/>
      <c r="C258" s="1494"/>
      <c r="D258" s="1494"/>
      <c r="E258" s="1494"/>
      <c r="F258" s="1494"/>
      <c r="G258" s="1494"/>
      <c r="H258" s="1494"/>
    </row>
    <row r="259" spans="1:8">
      <c r="A259" s="1495" t="s">
        <v>580</v>
      </c>
      <c r="B259" s="1494"/>
      <c r="C259" s="1494"/>
      <c r="D259" s="1494"/>
      <c r="E259" s="1494"/>
      <c r="F259" s="1494"/>
      <c r="G259" s="1494"/>
      <c r="H259" s="1494"/>
    </row>
    <row r="260" spans="1:8">
      <c r="A260" s="1495" t="s">
        <v>581</v>
      </c>
      <c r="B260" s="1494"/>
      <c r="C260" s="1494"/>
      <c r="D260" s="1494"/>
      <c r="E260" s="1494"/>
      <c r="F260" s="1494"/>
      <c r="G260" s="1494"/>
      <c r="H260" s="1494"/>
    </row>
    <row r="261" spans="1:8">
      <c r="A261" s="1495" t="s">
        <v>582</v>
      </c>
      <c r="B261" s="1494"/>
      <c r="C261" s="1494"/>
      <c r="D261" s="1494"/>
      <c r="E261" s="1494"/>
      <c r="F261" s="1494"/>
      <c r="G261" s="1494"/>
      <c r="H261" s="1494"/>
    </row>
    <row r="262" spans="1:8">
      <c r="A262" s="1495" t="s">
        <v>583</v>
      </c>
      <c r="B262" s="1494"/>
      <c r="C262" s="1494"/>
      <c r="D262" s="1494"/>
      <c r="E262" s="1494"/>
      <c r="F262" s="1494"/>
      <c r="G262" s="1494"/>
      <c r="H262" s="1494"/>
    </row>
    <row r="263" spans="1:8">
      <c r="A263" s="1495" t="s">
        <v>584</v>
      </c>
      <c r="B263" s="1494"/>
      <c r="C263" s="1494"/>
      <c r="D263" s="1494"/>
      <c r="E263" s="1494"/>
      <c r="F263" s="1494"/>
      <c r="G263" s="1494"/>
      <c r="H263" s="1494"/>
    </row>
    <row r="264" spans="1:8">
      <c r="A264" s="1495" t="s">
        <v>585</v>
      </c>
      <c r="B264" s="1494"/>
      <c r="C264" s="1494"/>
      <c r="D264" s="1494"/>
      <c r="E264" s="1494"/>
      <c r="F264" s="1494"/>
      <c r="G264" s="1494"/>
      <c r="H264" s="1494"/>
    </row>
    <row r="265" spans="1:8">
      <c r="A265" s="1495" t="s">
        <v>586</v>
      </c>
      <c r="B265" s="1494"/>
      <c r="C265" s="1494"/>
      <c r="D265" s="1494"/>
      <c r="E265" s="1494"/>
      <c r="F265" s="1494"/>
      <c r="G265" s="1494"/>
      <c r="H265" s="1494"/>
    </row>
    <row r="266" spans="1:8">
      <c r="A266" s="1495" t="s">
        <v>587</v>
      </c>
      <c r="B266" s="1494"/>
      <c r="C266" s="1494"/>
      <c r="D266" s="1494"/>
      <c r="E266" s="1494"/>
      <c r="F266" s="1494"/>
      <c r="G266" s="1494"/>
      <c r="H266" s="1494"/>
    </row>
    <row r="267" spans="1:8">
      <c r="A267" s="1495" t="s">
        <v>588</v>
      </c>
      <c r="B267" s="1494"/>
      <c r="C267" s="1494"/>
      <c r="D267" s="1494"/>
      <c r="E267" s="1494"/>
      <c r="F267" s="1494"/>
      <c r="G267" s="1494"/>
      <c r="H267" s="1494"/>
    </row>
    <row r="268" spans="1:8">
      <c r="A268" s="1495" t="s">
        <v>589</v>
      </c>
      <c r="B268" s="1494"/>
      <c r="C268" s="1494"/>
      <c r="D268" s="1494"/>
      <c r="E268" s="1494"/>
      <c r="F268" s="1494"/>
      <c r="G268" s="1494"/>
      <c r="H268" s="1494"/>
    </row>
    <row r="269" spans="1:8">
      <c r="A269" s="1495" t="s">
        <v>590</v>
      </c>
      <c r="B269" s="1494"/>
      <c r="C269" s="1494"/>
      <c r="D269" s="1494"/>
      <c r="E269" s="1494"/>
      <c r="F269" s="1494"/>
      <c r="G269" s="1494"/>
      <c r="H269" s="1494"/>
    </row>
    <row r="270" spans="1:8">
      <c r="A270" s="1495" t="s">
        <v>591</v>
      </c>
      <c r="B270" s="1494"/>
      <c r="C270" s="1494"/>
      <c r="D270" s="1494"/>
      <c r="E270" s="1494"/>
      <c r="F270" s="1494"/>
      <c r="G270" s="1494"/>
      <c r="H270" s="1494"/>
    </row>
    <row r="271" spans="1:8">
      <c r="A271" s="1494"/>
      <c r="B271" s="1494"/>
      <c r="C271" s="1494"/>
      <c r="D271" s="1494"/>
      <c r="E271" s="1494"/>
      <c r="F271" s="1494"/>
      <c r="G271" s="1494"/>
      <c r="H271" s="1494"/>
    </row>
    <row r="272" spans="1:8">
      <c r="A272" s="1495" t="s">
        <v>569</v>
      </c>
      <c r="B272" s="1494"/>
      <c r="C272" s="1494"/>
      <c r="D272" s="1494"/>
      <c r="E272" s="1494"/>
      <c r="F272" s="1494"/>
      <c r="G272" s="1494"/>
      <c r="H272" s="1494"/>
    </row>
    <row r="273" spans="1:8">
      <c r="A273" s="1495" t="s">
        <v>570</v>
      </c>
      <c r="B273" s="1494"/>
      <c r="C273" s="1494"/>
      <c r="D273" s="1494"/>
      <c r="E273" s="1494"/>
      <c r="F273" s="1494"/>
      <c r="G273" s="1494"/>
      <c r="H273" s="1494"/>
    </row>
    <row r="274" spans="1:8">
      <c r="A274" s="1495" t="s">
        <v>571</v>
      </c>
      <c r="B274" s="1494"/>
      <c r="C274" s="1494"/>
      <c r="D274" s="1494"/>
      <c r="E274" s="1494"/>
      <c r="F274" s="1494"/>
      <c r="G274" s="1494"/>
      <c r="H274" s="1494"/>
    </row>
    <row r="275" spans="1:8">
      <c r="A275" s="1495" t="s">
        <v>572</v>
      </c>
      <c r="B275" s="1494"/>
      <c r="C275" s="1494"/>
      <c r="D275" s="1494"/>
      <c r="E275" s="1494"/>
      <c r="F275" s="1494"/>
      <c r="G275" s="1494"/>
      <c r="H275" s="1494"/>
    </row>
    <row r="276" spans="1:8">
      <c r="A276" s="1495" t="s">
        <v>573</v>
      </c>
      <c r="B276" s="1494"/>
      <c r="C276" s="1494"/>
      <c r="D276" s="1494"/>
      <c r="E276" s="1494"/>
      <c r="F276" s="1494"/>
      <c r="G276" s="1494"/>
      <c r="H276" s="1494"/>
    </row>
    <row r="277" spans="1:8">
      <c r="A277" s="1495" t="s">
        <v>574</v>
      </c>
      <c r="B277" s="1494"/>
      <c r="C277" s="1494"/>
      <c r="D277" s="1494"/>
      <c r="E277" s="1494"/>
      <c r="F277" s="1494"/>
      <c r="G277" s="1494"/>
      <c r="H277" s="1494"/>
    </row>
    <row r="278" spans="1:8">
      <c r="A278" s="1495" t="s">
        <v>575</v>
      </c>
      <c r="B278" s="1494"/>
      <c r="C278" s="1494"/>
      <c r="D278" s="1494"/>
      <c r="E278" s="1494"/>
      <c r="F278" s="1494"/>
      <c r="G278" s="1494"/>
      <c r="H278" s="1494"/>
    </row>
    <row r="279" spans="1:8">
      <c r="A279" s="1494"/>
      <c r="B279" s="1494"/>
      <c r="C279" s="1494"/>
      <c r="D279" s="1494"/>
      <c r="E279" s="1494"/>
      <c r="F279" s="1494"/>
      <c r="G279" s="1494"/>
      <c r="H279" s="1494"/>
    </row>
    <row r="280" spans="1:8">
      <c r="A280" s="1495" t="s">
        <v>560</v>
      </c>
      <c r="B280" s="1494"/>
      <c r="C280" s="1494"/>
      <c r="D280" s="1494"/>
      <c r="E280" s="1494"/>
      <c r="F280" s="1494"/>
      <c r="G280" s="1494"/>
      <c r="H280" s="1494"/>
    </row>
    <row r="281" spans="1:8">
      <c r="A281" s="1495" t="s">
        <v>561</v>
      </c>
      <c r="B281" s="1494"/>
      <c r="C281" s="1494"/>
      <c r="D281" s="1494"/>
      <c r="E281" s="1494"/>
      <c r="F281" s="1494"/>
      <c r="G281" s="1494"/>
      <c r="H281" s="1494"/>
    </row>
    <row r="282" spans="1:8">
      <c r="A282" s="1495" t="s">
        <v>562</v>
      </c>
      <c r="B282" s="1494"/>
      <c r="C282" s="1494"/>
      <c r="D282" s="1494"/>
      <c r="E282" s="1494"/>
      <c r="F282" s="1494"/>
      <c r="G282" s="1494"/>
      <c r="H282" s="1494"/>
    </row>
    <row r="283" spans="1:8">
      <c r="A283" s="1495" t="s">
        <v>563</v>
      </c>
      <c r="B283" s="1494"/>
      <c r="C283" s="1494"/>
      <c r="D283" s="1494"/>
      <c r="E283" s="1494"/>
      <c r="F283" s="1494"/>
      <c r="G283" s="1494"/>
      <c r="H283" s="1494"/>
    </row>
    <row r="284" spans="1:8">
      <c r="A284" s="1495" t="s">
        <v>564</v>
      </c>
      <c r="B284" s="1494"/>
      <c r="C284" s="1494"/>
      <c r="D284" s="1494"/>
      <c r="E284" s="1494"/>
      <c r="F284" s="1494"/>
      <c r="G284" s="1494"/>
      <c r="H284" s="1494"/>
    </row>
    <row r="285" spans="1:8">
      <c r="A285" s="1495" t="s">
        <v>565</v>
      </c>
      <c r="B285" s="1494"/>
      <c r="C285" s="1494"/>
      <c r="D285" s="1494"/>
      <c r="E285" s="1494"/>
      <c r="F285" s="1494"/>
      <c r="G285" s="1494"/>
      <c r="H285" s="1494"/>
    </row>
    <row r="286" spans="1:8">
      <c r="A286" s="1495" t="s">
        <v>566</v>
      </c>
      <c r="B286" s="1494"/>
      <c r="C286" s="1494"/>
      <c r="D286" s="1494"/>
      <c r="E286" s="1494"/>
      <c r="F286" s="1494"/>
      <c r="G286" s="1494"/>
      <c r="H286" s="1494"/>
    </row>
    <row r="287" spans="1:8">
      <c r="A287" s="1495" t="s">
        <v>567</v>
      </c>
      <c r="B287" s="1494"/>
      <c r="C287" s="1494"/>
      <c r="D287" s="1494"/>
      <c r="E287" s="1494"/>
      <c r="F287" s="1494"/>
      <c r="G287" s="1494"/>
      <c r="H287" s="1494"/>
    </row>
    <row r="288" spans="1:8">
      <c r="A288" s="1495" t="s">
        <v>568</v>
      </c>
      <c r="B288" s="1494"/>
      <c r="C288" s="1494"/>
      <c r="D288" s="1494"/>
      <c r="E288" s="1494"/>
      <c r="F288" s="1494"/>
      <c r="G288" s="1494"/>
      <c r="H288" s="1494"/>
    </row>
    <row r="289" spans="1:8">
      <c r="A289" s="1494"/>
      <c r="B289" s="1494"/>
      <c r="C289" s="1494"/>
      <c r="D289" s="1494"/>
      <c r="E289" s="1494"/>
      <c r="F289" s="1494"/>
      <c r="G289" s="1494"/>
      <c r="H289" s="1494"/>
    </row>
    <row r="290" spans="1:8">
      <c r="A290" s="1495" t="s">
        <v>553</v>
      </c>
      <c r="B290" s="1494"/>
      <c r="C290" s="1494"/>
      <c r="D290" s="1494"/>
      <c r="E290" s="1494"/>
      <c r="F290" s="1494"/>
      <c r="G290" s="1494"/>
      <c r="H290" s="1494"/>
    </row>
    <row r="291" spans="1:8">
      <c r="A291" s="1495" t="s">
        <v>554</v>
      </c>
      <c r="B291" s="1494"/>
      <c r="C291" s="1494"/>
      <c r="D291" s="1494"/>
      <c r="E291" s="1494"/>
      <c r="F291" s="1494"/>
      <c r="G291" s="1494"/>
      <c r="H291" s="1494"/>
    </row>
    <row r="292" spans="1:8">
      <c r="A292" s="1495" t="s">
        <v>555</v>
      </c>
      <c r="B292" s="1494"/>
      <c r="C292" s="1494"/>
      <c r="D292" s="1494"/>
      <c r="E292" s="1494"/>
      <c r="F292" s="1494"/>
      <c r="G292" s="1494"/>
      <c r="H292" s="1494"/>
    </row>
    <row r="293" spans="1:8">
      <c r="A293" s="1495" t="s">
        <v>556</v>
      </c>
      <c r="B293" s="1494"/>
      <c r="C293" s="1494"/>
      <c r="D293" s="1494"/>
      <c r="E293" s="1494"/>
      <c r="F293" s="1494"/>
      <c r="G293" s="1494"/>
      <c r="H293" s="1494"/>
    </row>
    <row r="294" spans="1:8">
      <c r="A294" s="1495" t="s">
        <v>557</v>
      </c>
      <c r="B294" s="1494"/>
      <c r="C294" s="1494"/>
      <c r="D294" s="1494"/>
      <c r="E294" s="1494"/>
      <c r="F294" s="1494"/>
      <c r="G294" s="1494"/>
      <c r="H294" s="1494"/>
    </row>
    <row r="295" spans="1:8">
      <c r="A295" s="1495" t="s">
        <v>558</v>
      </c>
      <c r="B295" s="1494"/>
      <c r="C295" s="1494"/>
      <c r="D295" s="1494"/>
      <c r="E295" s="1494"/>
      <c r="F295" s="1494"/>
      <c r="G295" s="1494"/>
      <c r="H295" s="1494"/>
    </row>
    <row r="296" spans="1:8">
      <c r="A296" s="1495" t="s">
        <v>559</v>
      </c>
      <c r="B296" s="1494"/>
      <c r="C296" s="1494"/>
      <c r="D296" s="1494"/>
      <c r="E296" s="1494"/>
      <c r="F296" s="1494"/>
      <c r="G296" s="1494"/>
      <c r="H296" s="1494"/>
    </row>
    <row r="297" spans="1:8">
      <c r="A297" s="1494"/>
      <c r="B297" s="1494"/>
      <c r="C297" s="1494"/>
      <c r="D297" s="1494"/>
      <c r="E297" s="1494"/>
      <c r="F297" s="1494"/>
      <c r="G297" s="1494"/>
      <c r="H297" s="1494"/>
    </row>
    <row r="298" spans="1:8">
      <c r="A298" s="1495" t="s">
        <v>550</v>
      </c>
      <c r="B298" s="1494"/>
      <c r="C298" s="1494"/>
      <c r="D298" s="1494"/>
      <c r="E298" s="1494"/>
      <c r="F298" s="1494"/>
      <c r="G298" s="1494"/>
      <c r="H298" s="1494"/>
    </row>
    <row r="299" spans="1:8">
      <c r="A299" s="1495" t="s">
        <v>551</v>
      </c>
      <c r="B299" s="1494"/>
      <c r="C299" s="1494"/>
      <c r="D299" s="1494"/>
      <c r="E299" s="1494"/>
      <c r="F299" s="1494"/>
      <c r="G299" s="1494"/>
      <c r="H299" s="1494"/>
    </row>
    <row r="300" spans="1:8">
      <c r="A300" s="1495" t="s">
        <v>552</v>
      </c>
      <c r="B300" s="1494"/>
      <c r="C300" s="1494"/>
      <c r="D300" s="1494"/>
      <c r="E300" s="1494"/>
      <c r="F300" s="1494"/>
      <c r="G300" s="1494"/>
      <c r="H300" s="1494"/>
    </row>
    <row r="301" spans="1:8">
      <c r="A301" s="1494"/>
      <c r="B301" s="1494"/>
      <c r="C301" s="1494"/>
      <c r="D301" s="1494"/>
      <c r="E301" s="1494"/>
      <c r="F301" s="1494"/>
      <c r="G301" s="1494"/>
      <c r="H301" s="1494"/>
    </row>
    <row r="302" spans="1:8">
      <c r="A302" s="1495" t="s">
        <v>548</v>
      </c>
      <c r="B302" s="1494"/>
      <c r="C302" s="1494"/>
      <c r="D302" s="1494"/>
      <c r="E302" s="1494"/>
      <c r="F302" s="1494"/>
      <c r="G302" s="1494"/>
      <c r="H302" s="1494"/>
    </row>
    <row r="303" spans="1:8">
      <c r="A303" s="1495" t="s">
        <v>549</v>
      </c>
      <c r="B303" s="1494"/>
      <c r="C303" s="1494"/>
      <c r="D303" s="1494"/>
      <c r="E303" s="1494"/>
      <c r="F303" s="1494"/>
      <c r="G303" s="1494"/>
      <c r="H303" s="1494"/>
    </row>
    <row r="304" spans="1:8">
      <c r="A304" s="1494"/>
      <c r="B304" s="1494"/>
      <c r="C304" s="1494"/>
      <c r="D304" s="1494"/>
      <c r="E304" s="1494"/>
      <c r="F304" s="1494"/>
      <c r="G304" s="1494"/>
      <c r="H304" s="1494"/>
    </row>
    <row r="305" spans="1:8">
      <c r="A305" s="1495" t="s">
        <v>535</v>
      </c>
      <c r="B305" s="1494"/>
      <c r="C305" s="1494"/>
      <c r="D305" s="1494"/>
      <c r="E305" s="1494"/>
      <c r="F305" s="1494"/>
      <c r="G305" s="1494"/>
      <c r="H305" s="1494"/>
    </row>
    <row r="306" spans="1:8">
      <c r="A306" s="1495" t="s">
        <v>536</v>
      </c>
      <c r="B306" s="1494"/>
      <c r="C306" s="1494"/>
      <c r="D306" s="1494"/>
      <c r="E306" s="1494"/>
      <c r="F306" s="1494"/>
      <c r="G306" s="1494"/>
      <c r="H306" s="1494"/>
    </row>
    <row r="307" spans="1:8">
      <c r="A307" s="1495" t="s">
        <v>537</v>
      </c>
      <c r="B307" s="1494"/>
      <c r="C307" s="1494"/>
      <c r="D307" s="1494"/>
      <c r="E307" s="1494"/>
      <c r="F307" s="1494"/>
      <c r="G307" s="1494"/>
      <c r="H307" s="1494"/>
    </row>
    <row r="308" spans="1:8">
      <c r="A308" s="1495" t="s">
        <v>538</v>
      </c>
      <c r="B308" s="1494"/>
      <c r="C308" s="1494"/>
      <c r="D308" s="1494"/>
      <c r="E308" s="1494"/>
      <c r="F308" s="1494"/>
      <c r="G308" s="1494"/>
      <c r="H308" s="1494"/>
    </row>
    <row r="309" spans="1:8">
      <c r="A309" s="1495" t="s">
        <v>539</v>
      </c>
      <c r="B309" s="1494"/>
      <c r="C309" s="1494"/>
      <c r="D309" s="1494"/>
      <c r="E309" s="1494"/>
      <c r="F309" s="1494"/>
      <c r="G309" s="1494"/>
      <c r="H309" s="1494"/>
    </row>
    <row r="310" spans="1:8">
      <c r="A310" s="1495" t="s">
        <v>540</v>
      </c>
      <c r="B310" s="1494"/>
      <c r="C310" s="1494"/>
      <c r="D310" s="1494"/>
      <c r="E310" s="1494"/>
      <c r="F310" s="1494"/>
      <c r="G310" s="1494"/>
      <c r="H310" s="1494"/>
    </row>
    <row r="311" spans="1:8">
      <c r="A311" s="1495" t="s">
        <v>541</v>
      </c>
      <c r="B311" s="1494"/>
      <c r="C311" s="1494"/>
      <c r="D311" s="1494"/>
      <c r="E311" s="1494"/>
      <c r="F311" s="1494"/>
      <c r="G311" s="1494"/>
      <c r="H311" s="1494"/>
    </row>
    <row r="312" spans="1:8">
      <c r="A312" s="1495" t="s">
        <v>542</v>
      </c>
      <c r="B312" s="1494"/>
      <c r="C312" s="1494"/>
      <c r="D312" s="1494"/>
      <c r="E312" s="1494"/>
      <c r="F312" s="1494"/>
      <c r="G312" s="1494"/>
      <c r="H312" s="1494"/>
    </row>
    <row r="313" spans="1:8">
      <c r="A313" s="1495" t="s">
        <v>543</v>
      </c>
      <c r="B313" s="1494"/>
      <c r="C313" s="1494"/>
      <c r="D313" s="1494"/>
      <c r="E313" s="1494"/>
      <c r="F313" s="1494"/>
      <c r="G313" s="1494"/>
      <c r="H313" s="1494"/>
    </row>
    <row r="314" spans="1:8">
      <c r="A314" s="1495" t="s">
        <v>544</v>
      </c>
      <c r="B314" s="1494"/>
      <c r="C314" s="1494"/>
      <c r="D314" s="1494"/>
      <c r="E314" s="1494"/>
      <c r="F314" s="1494"/>
      <c r="G314" s="1494"/>
      <c r="H314" s="1494"/>
    </row>
    <row r="315" spans="1:8">
      <c r="A315" s="1495" t="s">
        <v>545</v>
      </c>
      <c r="B315" s="1494"/>
      <c r="C315" s="1494"/>
      <c r="D315" s="1494"/>
      <c r="E315" s="1494"/>
      <c r="F315" s="1494"/>
      <c r="G315" s="1494"/>
      <c r="H315" s="1494"/>
    </row>
    <row r="316" spans="1:8">
      <c r="A316" s="1495" t="s">
        <v>546</v>
      </c>
      <c r="B316" s="1494"/>
      <c r="C316" s="1494"/>
      <c r="D316" s="1494"/>
      <c r="E316" s="1494"/>
      <c r="F316" s="1494"/>
      <c r="G316" s="1494"/>
      <c r="H316" s="1494"/>
    </row>
    <row r="317" spans="1:8">
      <c r="A317" s="1495" t="s">
        <v>547</v>
      </c>
      <c r="B317" s="1494"/>
      <c r="C317" s="1494"/>
      <c r="D317" s="1494"/>
      <c r="E317" s="1494"/>
      <c r="F317" s="1494"/>
      <c r="G317" s="1494"/>
      <c r="H317" s="1494"/>
    </row>
    <row r="318" spans="1:8">
      <c r="A318" s="1494"/>
      <c r="B318" s="1494"/>
      <c r="C318" s="1494"/>
      <c r="D318" s="1494"/>
      <c r="E318" s="1494"/>
      <c r="F318" s="1494"/>
      <c r="G318" s="1494"/>
      <c r="H318" s="1494"/>
    </row>
    <row r="319" spans="1:8">
      <c r="A319" s="1495" t="s">
        <v>527</v>
      </c>
      <c r="B319" s="1494"/>
      <c r="C319" s="1494"/>
      <c r="D319" s="1494"/>
      <c r="E319" s="1494"/>
      <c r="F319" s="1494"/>
      <c r="G319" s="1494"/>
      <c r="H319" s="1494"/>
    </row>
    <row r="320" spans="1:8">
      <c r="A320" s="1495" t="s">
        <v>528</v>
      </c>
      <c r="B320" s="1494"/>
      <c r="C320" s="1494"/>
      <c r="D320" s="1494"/>
      <c r="E320" s="1494"/>
      <c r="F320" s="1494"/>
      <c r="G320" s="1494"/>
      <c r="H320" s="1494"/>
    </row>
    <row r="321" spans="1:8">
      <c r="A321" s="1495" t="s">
        <v>529</v>
      </c>
      <c r="B321" s="1494"/>
      <c r="C321" s="1494"/>
      <c r="D321" s="1494"/>
      <c r="E321" s="1494"/>
      <c r="F321" s="1494"/>
      <c r="G321" s="1494"/>
      <c r="H321" s="1494"/>
    </row>
    <row r="322" spans="1:8">
      <c r="A322" s="1495" t="s">
        <v>530</v>
      </c>
      <c r="B322" s="1494"/>
      <c r="C322" s="1494"/>
      <c r="D322" s="1494"/>
      <c r="E322" s="1494"/>
      <c r="F322" s="1494"/>
      <c r="G322" s="1494"/>
      <c r="H322" s="1494"/>
    </row>
    <row r="323" spans="1:8">
      <c r="A323" s="1495" t="s">
        <v>531</v>
      </c>
      <c r="B323" s="1494"/>
      <c r="C323" s="1494"/>
      <c r="D323" s="1494"/>
      <c r="E323" s="1494"/>
      <c r="F323" s="1494"/>
      <c r="G323" s="1494"/>
      <c r="H323" s="1494"/>
    </row>
    <row r="324" spans="1:8">
      <c r="A324" s="1495" t="s">
        <v>532</v>
      </c>
      <c r="B324" s="1494"/>
      <c r="C324" s="1494"/>
      <c r="D324" s="1494"/>
      <c r="E324" s="1494"/>
      <c r="F324" s="1494"/>
      <c r="G324" s="1494"/>
      <c r="H324" s="1494"/>
    </row>
    <row r="325" spans="1:8">
      <c r="A325" s="1495" t="s">
        <v>533</v>
      </c>
      <c r="B325" s="1494"/>
      <c r="C325" s="1494"/>
      <c r="D325" s="1494"/>
      <c r="E325" s="1494"/>
      <c r="F325" s="1494"/>
      <c r="G325" s="1494"/>
      <c r="H325" s="1494"/>
    </row>
    <row r="326" spans="1:8">
      <c r="A326" s="1495" t="s">
        <v>534</v>
      </c>
      <c r="B326" s="1494"/>
      <c r="C326" s="1494"/>
      <c r="D326" s="1494"/>
      <c r="E326" s="1494"/>
      <c r="F326" s="1494"/>
      <c r="G326" s="1494"/>
      <c r="H326" s="1494"/>
    </row>
    <row r="327" spans="1:8">
      <c r="A327" s="1494"/>
      <c r="B327" s="1494"/>
      <c r="C327" s="1494"/>
      <c r="D327" s="1494"/>
      <c r="E327" s="1494"/>
      <c r="F327" s="1494"/>
      <c r="G327" s="1494"/>
      <c r="H327" s="1494"/>
    </row>
    <row r="328" spans="1:8">
      <c r="A328" s="1495" t="s">
        <v>492</v>
      </c>
      <c r="B328" s="1494"/>
      <c r="C328" s="1494"/>
      <c r="D328" s="1494"/>
      <c r="E328" s="1494"/>
      <c r="F328" s="1494"/>
      <c r="G328" s="1494"/>
      <c r="H328" s="1494"/>
    </row>
    <row r="329" spans="1:8">
      <c r="A329" s="1495" t="s">
        <v>493</v>
      </c>
      <c r="B329" s="1494"/>
      <c r="C329" s="1494"/>
      <c r="D329" s="1494"/>
      <c r="E329" s="1494"/>
      <c r="F329" s="1494"/>
      <c r="G329" s="1494"/>
      <c r="H329" s="1494"/>
    </row>
    <row r="330" spans="1:8">
      <c r="A330" s="1495" t="s">
        <v>494</v>
      </c>
      <c r="B330" s="1494"/>
      <c r="C330" s="1494"/>
      <c r="D330" s="1494"/>
      <c r="E330" s="1494"/>
      <c r="F330" s="1494"/>
      <c r="G330" s="1494"/>
      <c r="H330" s="1494"/>
    </row>
    <row r="331" spans="1:8">
      <c r="A331" s="1495" t="s">
        <v>495</v>
      </c>
      <c r="B331" s="1494"/>
      <c r="C331" s="1494"/>
      <c r="D331" s="1494"/>
      <c r="E331" s="1494"/>
      <c r="F331" s="1494"/>
      <c r="G331" s="1494"/>
      <c r="H331" s="1494"/>
    </row>
    <row r="332" spans="1:8">
      <c r="A332" s="1495" t="s">
        <v>496</v>
      </c>
      <c r="B332" s="1494"/>
      <c r="C332" s="1494"/>
      <c r="D332" s="1494"/>
      <c r="E332" s="1494"/>
      <c r="F332" s="1494"/>
      <c r="G332" s="1494"/>
      <c r="H332" s="1494"/>
    </row>
    <row r="333" spans="1:8">
      <c r="A333" s="1495" t="s">
        <v>497</v>
      </c>
      <c r="B333" s="1494"/>
      <c r="C333" s="1494"/>
      <c r="D333" s="1494"/>
      <c r="E333" s="1494"/>
      <c r="F333" s="1494"/>
      <c r="G333" s="1494"/>
      <c r="H333" s="1494"/>
    </row>
    <row r="334" spans="1:8">
      <c r="A334" s="1495" t="s">
        <v>498</v>
      </c>
      <c r="B334" s="1494"/>
      <c r="C334" s="1494"/>
      <c r="D334" s="1494"/>
      <c r="E334" s="1494"/>
      <c r="F334" s="1494"/>
      <c r="G334" s="1494"/>
      <c r="H334" s="1494"/>
    </row>
    <row r="335" spans="1:8">
      <c r="A335" s="1495" t="s">
        <v>499</v>
      </c>
      <c r="B335" s="1494"/>
      <c r="C335" s="1494"/>
      <c r="D335" s="1494"/>
      <c r="E335" s="1494"/>
      <c r="F335" s="1494"/>
      <c r="G335" s="1494"/>
      <c r="H335" s="1494"/>
    </row>
    <row r="336" spans="1:8">
      <c r="A336" s="1495" t="s">
        <v>500</v>
      </c>
      <c r="B336" s="1494"/>
      <c r="C336" s="1494"/>
      <c r="D336" s="1494"/>
      <c r="E336" s="1494"/>
      <c r="F336" s="1494"/>
      <c r="G336" s="1494"/>
      <c r="H336" s="1494"/>
    </row>
    <row r="337" spans="1:8">
      <c r="A337" s="1495" t="s">
        <v>501</v>
      </c>
      <c r="B337" s="1494"/>
      <c r="C337" s="1494"/>
      <c r="D337" s="1494"/>
      <c r="E337" s="1494"/>
      <c r="F337" s="1494"/>
      <c r="G337" s="1494"/>
      <c r="H337" s="1494"/>
    </row>
    <row r="338" spans="1:8">
      <c r="A338" s="1495" t="s">
        <v>502</v>
      </c>
      <c r="B338" s="1494"/>
      <c r="C338" s="1494"/>
      <c r="D338" s="1494"/>
      <c r="E338" s="1494"/>
      <c r="F338" s="1494"/>
      <c r="G338" s="1494"/>
      <c r="H338" s="1494"/>
    </row>
    <row r="339" spans="1:8">
      <c r="A339" s="1495" t="s">
        <v>503</v>
      </c>
      <c r="B339" s="1494"/>
      <c r="C339" s="1494"/>
      <c r="D339" s="1494"/>
      <c r="E339" s="1494"/>
      <c r="F339" s="1494"/>
      <c r="G339" s="1494"/>
      <c r="H339" s="1494"/>
    </row>
    <row r="340" spans="1:8">
      <c r="A340" s="1495" t="s">
        <v>504</v>
      </c>
      <c r="B340" s="1494"/>
      <c r="C340" s="1494"/>
      <c r="D340" s="1494"/>
      <c r="E340" s="1494"/>
      <c r="F340" s="1494"/>
      <c r="G340" s="1494"/>
      <c r="H340" s="1494"/>
    </row>
    <row r="341" spans="1:8">
      <c r="A341" s="1495" t="s">
        <v>505</v>
      </c>
      <c r="B341" s="1494"/>
      <c r="C341" s="1494"/>
      <c r="D341" s="1494"/>
      <c r="E341" s="1494"/>
      <c r="F341" s="1494"/>
      <c r="G341" s="1494"/>
      <c r="H341" s="1494"/>
    </row>
    <row r="342" spans="1:8">
      <c r="A342" s="1495" t="s">
        <v>506</v>
      </c>
      <c r="B342" s="1494"/>
      <c r="C342" s="1494"/>
      <c r="D342" s="1494"/>
      <c r="E342" s="1494"/>
      <c r="F342" s="1494"/>
      <c r="G342" s="1494"/>
      <c r="H342" s="1494"/>
    </row>
    <row r="343" spans="1:8">
      <c r="A343" s="1495" t="s">
        <v>507</v>
      </c>
      <c r="B343" s="1494"/>
      <c r="C343" s="1494"/>
      <c r="D343" s="1494"/>
      <c r="E343" s="1494"/>
      <c r="F343" s="1494"/>
      <c r="G343" s="1494"/>
      <c r="H343" s="1494"/>
    </row>
    <row r="344" spans="1:8">
      <c r="A344" s="1495" t="s">
        <v>508</v>
      </c>
      <c r="B344" s="1494"/>
      <c r="C344" s="1494"/>
      <c r="D344" s="1494"/>
      <c r="E344" s="1494"/>
      <c r="F344" s="1494"/>
      <c r="G344" s="1494"/>
      <c r="H344" s="1494"/>
    </row>
    <row r="345" spans="1:8">
      <c r="A345" s="1495" t="s">
        <v>509</v>
      </c>
      <c r="B345" s="1494"/>
      <c r="C345" s="1494"/>
      <c r="D345" s="1494"/>
      <c r="E345" s="1494"/>
      <c r="F345" s="1494"/>
      <c r="G345" s="1494"/>
      <c r="H345" s="1494"/>
    </row>
    <row r="346" spans="1:8">
      <c r="A346" s="1495" t="s">
        <v>510</v>
      </c>
      <c r="B346" s="1494"/>
      <c r="C346" s="1494"/>
      <c r="D346" s="1494"/>
      <c r="E346" s="1494"/>
      <c r="F346" s="1494"/>
      <c r="G346" s="1494"/>
      <c r="H346" s="1494"/>
    </row>
    <row r="347" spans="1:8">
      <c r="A347" s="1495" t="s">
        <v>511</v>
      </c>
      <c r="B347" s="1494"/>
      <c r="C347" s="1494"/>
      <c r="D347" s="1494"/>
      <c r="E347" s="1494"/>
      <c r="F347" s="1494"/>
      <c r="G347" s="1494"/>
      <c r="H347" s="1494"/>
    </row>
    <row r="348" spans="1:8">
      <c r="A348" s="1495" t="s">
        <v>512</v>
      </c>
      <c r="B348" s="1494"/>
      <c r="C348" s="1494"/>
      <c r="D348" s="1494"/>
      <c r="E348" s="1494"/>
      <c r="F348" s="1494"/>
      <c r="G348" s="1494"/>
      <c r="H348" s="1494"/>
    </row>
    <row r="349" spans="1:8">
      <c r="A349" s="1495" t="s">
        <v>513</v>
      </c>
      <c r="B349" s="1494"/>
      <c r="C349" s="1494"/>
      <c r="D349" s="1494"/>
      <c r="E349" s="1494"/>
      <c r="F349" s="1494"/>
      <c r="G349" s="1494"/>
      <c r="H349" s="1494"/>
    </row>
    <row r="350" spans="1:8">
      <c r="A350" s="1495" t="s">
        <v>514</v>
      </c>
      <c r="B350" s="1494"/>
      <c r="C350" s="1494"/>
      <c r="D350" s="1494"/>
      <c r="E350" s="1494"/>
      <c r="F350" s="1494"/>
      <c r="G350" s="1494"/>
      <c r="H350" s="1494"/>
    </row>
    <row r="351" spans="1:8">
      <c r="A351" s="1495" t="s">
        <v>515</v>
      </c>
      <c r="B351" s="1494"/>
      <c r="C351" s="1494"/>
      <c r="D351" s="1494"/>
      <c r="E351" s="1494"/>
      <c r="F351" s="1494"/>
      <c r="G351" s="1494"/>
      <c r="H351" s="1494"/>
    </row>
    <row r="352" spans="1:8">
      <c r="A352" s="1495" t="s">
        <v>516</v>
      </c>
      <c r="B352" s="1494"/>
      <c r="C352" s="1494"/>
      <c r="D352" s="1494"/>
      <c r="E352" s="1494"/>
      <c r="F352" s="1494"/>
      <c r="G352" s="1494"/>
      <c r="H352" s="1494"/>
    </row>
    <row r="353" spans="1:8">
      <c r="A353" s="1495" t="s">
        <v>517</v>
      </c>
      <c r="B353" s="1494"/>
      <c r="C353" s="1494"/>
      <c r="D353" s="1494"/>
      <c r="E353" s="1494"/>
      <c r="F353" s="1494"/>
      <c r="G353" s="1494"/>
      <c r="H353" s="1494"/>
    </row>
    <row r="354" spans="1:8">
      <c r="A354" s="1495" t="s">
        <v>518</v>
      </c>
      <c r="B354" s="1494"/>
      <c r="C354" s="1494"/>
      <c r="D354" s="1494"/>
      <c r="E354" s="1494"/>
      <c r="F354" s="1494"/>
      <c r="G354" s="1494"/>
      <c r="H354" s="1494"/>
    </row>
    <row r="355" spans="1:8">
      <c r="A355" s="1495" t="s">
        <v>519</v>
      </c>
      <c r="B355" s="1494"/>
      <c r="C355" s="1494"/>
      <c r="D355" s="1494"/>
      <c r="E355" s="1494"/>
      <c r="F355" s="1494"/>
      <c r="G355" s="1494"/>
      <c r="H355" s="1494"/>
    </row>
    <row r="356" spans="1:8">
      <c r="A356" s="1495" t="s">
        <v>520</v>
      </c>
      <c r="B356" s="1494"/>
      <c r="C356" s="1494"/>
      <c r="D356" s="1494"/>
      <c r="E356" s="1494"/>
      <c r="F356" s="1494"/>
      <c r="G356" s="1494"/>
      <c r="H356" s="1494"/>
    </row>
    <row r="357" spans="1:8">
      <c r="A357" s="1495" t="s">
        <v>521</v>
      </c>
      <c r="B357" s="1494"/>
      <c r="C357" s="1494"/>
      <c r="D357" s="1494"/>
      <c r="E357" s="1494"/>
      <c r="F357" s="1494"/>
      <c r="G357" s="1494"/>
      <c r="H357" s="1494"/>
    </row>
    <row r="358" spans="1:8">
      <c r="A358" s="1495" t="s">
        <v>522</v>
      </c>
      <c r="B358" s="1494"/>
      <c r="C358" s="1494"/>
      <c r="D358" s="1494"/>
      <c r="E358" s="1494"/>
      <c r="F358" s="1494"/>
      <c r="G358" s="1494"/>
      <c r="H358" s="1494"/>
    </row>
    <row r="359" spans="1:8">
      <c r="A359" s="1495" t="s">
        <v>523</v>
      </c>
      <c r="B359" s="1494"/>
      <c r="C359" s="1494"/>
      <c r="D359" s="1494"/>
      <c r="E359" s="1494"/>
      <c r="F359" s="1494"/>
      <c r="G359" s="1494"/>
      <c r="H359" s="1494"/>
    </row>
    <row r="360" spans="1:8">
      <c r="A360" s="1495" t="s">
        <v>524</v>
      </c>
      <c r="B360" s="1494"/>
      <c r="C360" s="1494"/>
      <c r="D360" s="1494"/>
      <c r="E360" s="1494"/>
      <c r="F360" s="1494"/>
      <c r="G360" s="1494"/>
      <c r="H360" s="1494"/>
    </row>
    <row r="361" spans="1:8">
      <c r="A361" s="1495" t="s">
        <v>525</v>
      </c>
      <c r="B361" s="1494"/>
      <c r="C361" s="1494"/>
      <c r="D361" s="1494"/>
      <c r="E361" s="1494"/>
      <c r="F361" s="1494"/>
      <c r="G361" s="1494"/>
      <c r="H361" s="1494"/>
    </row>
    <row r="362" spans="1:8">
      <c r="A362" s="1495" t="s">
        <v>526</v>
      </c>
      <c r="B362" s="1494"/>
      <c r="C362" s="1494"/>
      <c r="D362" s="1494"/>
      <c r="E362" s="1494"/>
      <c r="F362" s="1494"/>
      <c r="G362" s="1494"/>
      <c r="H362" s="1494"/>
    </row>
    <row r="363" spans="1:8">
      <c r="A363" s="1494"/>
      <c r="B363" s="1494"/>
      <c r="C363" s="1494"/>
      <c r="D363" s="1494"/>
      <c r="E363" s="1494"/>
      <c r="F363" s="1494"/>
      <c r="G363" s="1494"/>
      <c r="H363" s="1494"/>
    </row>
    <row r="364" spans="1:8">
      <c r="A364" s="1495" t="s">
        <v>484</v>
      </c>
      <c r="B364" s="1494"/>
      <c r="C364" s="1494"/>
      <c r="D364" s="1494"/>
      <c r="E364" s="1494"/>
      <c r="F364" s="1494"/>
      <c r="G364" s="1494"/>
      <c r="H364" s="1494"/>
    </row>
    <row r="365" spans="1:8">
      <c r="A365" s="1495" t="s">
        <v>488</v>
      </c>
      <c r="B365" s="1494"/>
      <c r="C365" s="1494"/>
      <c r="D365" s="1494"/>
      <c r="E365" s="1494"/>
      <c r="F365" s="1494"/>
      <c r="G365" s="1494"/>
      <c r="H365" s="1494"/>
    </row>
    <row r="366" spans="1:8">
      <c r="A366" s="1495" t="s">
        <v>489</v>
      </c>
      <c r="B366" s="1494"/>
      <c r="C366" s="1494"/>
      <c r="D366" s="1494"/>
      <c r="E366" s="1494"/>
      <c r="F366" s="1494"/>
      <c r="G366" s="1494"/>
      <c r="H366" s="1494"/>
    </row>
    <row r="367" spans="1:8">
      <c r="A367" s="1495" t="s">
        <v>490</v>
      </c>
      <c r="B367" s="1494"/>
      <c r="C367" s="1494"/>
      <c r="D367" s="1494"/>
      <c r="E367" s="1494"/>
      <c r="F367" s="1494"/>
      <c r="G367" s="1494"/>
      <c r="H367" s="1494"/>
    </row>
    <row r="368" spans="1:8">
      <c r="A368" s="1495" t="s">
        <v>491</v>
      </c>
      <c r="B368" s="1494"/>
      <c r="C368" s="1494"/>
      <c r="D368" s="1494"/>
      <c r="E368" s="1494"/>
      <c r="F368" s="1494"/>
      <c r="G368" s="1494"/>
      <c r="H368" s="1494"/>
    </row>
    <row r="369" spans="1:8">
      <c r="A369" s="1494"/>
      <c r="B369" s="1494"/>
      <c r="C369" s="1494"/>
      <c r="D369" s="1494"/>
      <c r="E369" s="1494"/>
      <c r="F369" s="1494"/>
      <c r="G369" s="1494"/>
      <c r="H369" s="1494"/>
    </row>
    <row r="370" spans="1:8">
      <c r="A370" s="1495" t="s">
        <v>484</v>
      </c>
      <c r="B370" s="1494"/>
      <c r="C370" s="1494"/>
      <c r="D370" s="1494"/>
      <c r="E370" s="1494"/>
      <c r="F370" s="1494"/>
      <c r="G370" s="1494"/>
      <c r="H370" s="1494"/>
    </row>
    <row r="371" spans="1:8">
      <c r="A371" s="1495" t="s">
        <v>485</v>
      </c>
      <c r="B371" s="1494"/>
      <c r="C371" s="1494"/>
      <c r="D371" s="1494"/>
      <c r="E371" s="1494"/>
      <c r="F371" s="1494"/>
      <c r="G371" s="1494"/>
      <c r="H371" s="1494"/>
    </row>
    <row r="372" spans="1:8">
      <c r="A372" s="1495" t="s">
        <v>486</v>
      </c>
      <c r="B372" s="1494"/>
      <c r="C372" s="1494"/>
      <c r="D372" s="1494"/>
      <c r="E372" s="1494"/>
      <c r="F372" s="1494"/>
      <c r="G372" s="1494"/>
      <c r="H372" s="1494"/>
    </row>
    <row r="373" spans="1:8">
      <c r="A373" s="1495" t="s">
        <v>487</v>
      </c>
      <c r="B373" s="1494"/>
      <c r="C373" s="1494"/>
      <c r="D373" s="1494"/>
      <c r="E373" s="1494"/>
      <c r="F373" s="1494"/>
      <c r="G373" s="1494"/>
      <c r="H373" s="1494"/>
    </row>
    <row r="374" spans="1:8">
      <c r="A374" s="1494"/>
      <c r="B374" s="1494"/>
      <c r="C374" s="1494"/>
      <c r="D374" s="1494"/>
      <c r="E374" s="1494"/>
      <c r="F374" s="1494"/>
      <c r="G374" s="1494"/>
      <c r="H374" s="1494"/>
    </row>
    <row r="375" spans="1:8">
      <c r="A375" s="1495" t="s">
        <v>478</v>
      </c>
      <c r="B375" s="1494"/>
      <c r="C375" s="1494"/>
      <c r="D375" s="1494"/>
      <c r="E375" s="1494"/>
      <c r="F375" s="1494"/>
      <c r="G375" s="1494"/>
      <c r="H375" s="1494"/>
    </row>
    <row r="376" spans="1:8">
      <c r="A376" s="1495" t="s">
        <v>479</v>
      </c>
      <c r="B376" s="1494"/>
      <c r="C376" s="1494"/>
      <c r="D376" s="1494"/>
      <c r="E376" s="1494"/>
      <c r="F376" s="1494"/>
      <c r="G376" s="1494"/>
      <c r="H376" s="1494"/>
    </row>
    <row r="377" spans="1:8">
      <c r="A377" s="1495" t="s">
        <v>480</v>
      </c>
      <c r="B377" s="1494"/>
      <c r="C377" s="1494"/>
      <c r="D377" s="1494"/>
      <c r="E377" s="1494"/>
      <c r="F377" s="1494"/>
      <c r="G377" s="1494"/>
      <c r="H377" s="1494"/>
    </row>
    <row r="378" spans="1:8">
      <c r="A378" s="1495" t="s">
        <v>481</v>
      </c>
      <c r="B378" s="1494"/>
      <c r="C378" s="1494"/>
      <c r="D378" s="1494"/>
      <c r="E378" s="1494"/>
      <c r="F378" s="1494"/>
      <c r="G378" s="1494"/>
      <c r="H378" s="1494"/>
    </row>
    <row r="379" spans="1:8">
      <c r="A379" s="1495" t="s">
        <v>482</v>
      </c>
      <c r="B379" s="1494"/>
      <c r="C379" s="1494"/>
      <c r="D379" s="1494"/>
      <c r="E379" s="1494"/>
      <c r="F379" s="1494"/>
      <c r="G379" s="1494"/>
      <c r="H379" s="1494"/>
    </row>
    <row r="380" spans="1:8">
      <c r="A380" s="1495" t="s">
        <v>483</v>
      </c>
      <c r="B380" s="1494"/>
      <c r="C380" s="1494"/>
      <c r="D380" s="1494"/>
      <c r="E380" s="1494"/>
      <c r="F380" s="1494"/>
      <c r="G380" s="1494"/>
      <c r="H380" s="1494"/>
    </row>
    <row r="381" spans="1:8">
      <c r="A381" s="1494"/>
      <c r="B381" s="1494"/>
      <c r="C381" s="1494"/>
      <c r="D381" s="1494"/>
      <c r="E381" s="1494"/>
      <c r="F381" s="1494"/>
      <c r="G381" s="1494"/>
      <c r="H381" s="1494"/>
    </row>
    <row r="382" spans="1:8">
      <c r="A382" s="1495" t="s">
        <v>473</v>
      </c>
      <c r="B382" s="1494"/>
      <c r="C382" s="1494"/>
      <c r="D382" s="1494"/>
      <c r="E382" s="1494"/>
      <c r="F382" s="1494"/>
      <c r="G382" s="1494"/>
      <c r="H382" s="1494"/>
    </row>
    <row r="383" spans="1:8">
      <c r="A383" s="1495" t="s">
        <v>474</v>
      </c>
      <c r="B383" s="1494"/>
      <c r="C383" s="1494"/>
      <c r="D383" s="1494"/>
      <c r="E383" s="1494"/>
      <c r="F383" s="1494"/>
      <c r="G383" s="1494"/>
      <c r="H383" s="1494"/>
    </row>
    <row r="384" spans="1:8">
      <c r="A384" s="1495" t="s">
        <v>475</v>
      </c>
      <c r="B384" s="1494"/>
      <c r="C384" s="1494"/>
      <c r="D384" s="1494"/>
      <c r="E384" s="1494"/>
      <c r="F384" s="1494"/>
      <c r="G384" s="1494"/>
      <c r="H384" s="1494"/>
    </row>
    <row r="385" spans="1:8">
      <c r="A385" s="1495" t="s">
        <v>476</v>
      </c>
      <c r="B385" s="1494"/>
      <c r="C385" s="1494"/>
      <c r="D385" s="1494"/>
      <c r="E385" s="1494"/>
      <c r="F385" s="1494"/>
      <c r="G385" s="1494"/>
      <c r="H385" s="1494"/>
    </row>
    <row r="386" spans="1:8">
      <c r="A386" s="1495" t="s">
        <v>477</v>
      </c>
      <c r="B386" s="1494"/>
      <c r="C386" s="1494"/>
      <c r="D386" s="1494"/>
      <c r="E386" s="1494"/>
      <c r="F386" s="1494"/>
      <c r="G386" s="1494"/>
      <c r="H386" s="1494"/>
    </row>
    <row r="387" spans="1:8">
      <c r="A387" s="1494"/>
      <c r="B387" s="1494"/>
      <c r="C387" s="1494"/>
      <c r="D387" s="1494"/>
      <c r="E387" s="1494"/>
      <c r="F387" s="1494"/>
      <c r="G387" s="1494"/>
      <c r="H387" s="1494"/>
    </row>
    <row r="388" spans="1:8">
      <c r="A388" s="1495" t="s">
        <v>471</v>
      </c>
      <c r="B388" s="1494"/>
      <c r="C388" s="1494"/>
      <c r="D388" s="1494"/>
      <c r="E388" s="1494"/>
      <c r="F388" s="1494"/>
      <c r="G388" s="1494"/>
      <c r="H388" s="1494"/>
    </row>
    <row r="389" spans="1:8">
      <c r="A389" s="1495" t="s">
        <v>472</v>
      </c>
      <c r="B389" s="1494"/>
      <c r="C389" s="1494"/>
      <c r="D389" s="1494"/>
      <c r="E389" s="1494"/>
      <c r="F389" s="1494"/>
      <c r="G389" s="1494"/>
      <c r="H389" s="1494"/>
    </row>
    <row r="391" spans="1:8">
      <c r="A391" s="1490" t="s">
        <v>727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indexed="17"/>
    <pageSetUpPr fitToPage="1"/>
  </sheetPr>
  <dimension ref="A1:CX286"/>
  <sheetViews>
    <sheetView zoomScale="80" zoomScaleNormal="80" workbookViewId="0">
      <pane xSplit="3" ySplit="7" topLeftCell="AV8" activePane="bottomRight" state="frozen"/>
      <selection pane="topRight" activeCell="D1" sqref="D1"/>
      <selection pane="bottomLeft" activeCell="A8" sqref="A8"/>
      <selection pane="bottomRight" activeCell="B3" sqref="B3"/>
    </sheetView>
  </sheetViews>
  <sheetFormatPr defaultRowHeight="14.25" customHeight="1" outlineLevelRow="1" outlineLevelCol="1"/>
  <cols>
    <col min="1" max="1" width="1.7109375" style="1117" customWidth="1"/>
    <col min="2" max="2" width="54.85546875" style="1117" customWidth="1"/>
    <col min="3" max="3" width="1.5703125" style="1117" customWidth="1"/>
    <col min="4" max="6" width="11.42578125" style="1117" hidden="1" customWidth="1" outlineLevel="1"/>
    <col min="7" max="7" width="11.42578125" style="300" hidden="1" customWidth="1" outlineLevel="1"/>
    <col min="8" max="8" width="11.42578125" style="1117" hidden="1" customWidth="1" outlineLevel="1"/>
    <col min="9" max="10" width="11.42578125" style="300" hidden="1" customWidth="1" outlineLevel="1"/>
    <col min="11" max="18" width="11.42578125" style="1117" hidden="1" customWidth="1" outlineLevel="1"/>
    <col min="19" max="19" width="11.42578125" style="300" hidden="1" customWidth="1" outlineLevel="1"/>
    <col min="20" max="24" width="11.42578125" style="1117" hidden="1" customWidth="1" outlineLevel="1"/>
    <col min="25" max="25" width="11.42578125" style="300" hidden="1" customWidth="1" outlineLevel="1"/>
    <col min="26" max="27" width="11.42578125" style="1117" hidden="1" customWidth="1" outlineLevel="1"/>
    <col min="28" max="28" width="11.42578125" style="1117" hidden="1" customWidth="1" outlineLevel="1" collapsed="1"/>
    <col min="29" max="30" width="11.42578125" style="1117" hidden="1" customWidth="1" outlineLevel="1"/>
    <col min="31" max="31" width="10.7109375" style="1117" hidden="1" customWidth="1" outlineLevel="1"/>
    <col min="32" max="39" width="11.42578125" style="1117" hidden="1" customWidth="1" outlineLevel="1"/>
    <col min="40" max="40" width="11.28515625" style="1117" hidden="1" customWidth="1" outlineLevel="1" collapsed="1"/>
    <col min="41" max="41" width="11.42578125" style="1117" hidden="1" customWidth="1" outlineLevel="1"/>
    <col min="42" max="43" width="11.28515625" style="1117" hidden="1" customWidth="1" outlineLevel="1"/>
    <col min="44" max="44" width="11.140625" style="1117" hidden="1" customWidth="1" outlineLevel="1" collapsed="1"/>
    <col min="45" max="47" width="11.140625" style="1117" hidden="1" customWidth="1" outlineLevel="1"/>
    <col min="48" max="48" width="12.7109375" style="1117" customWidth="1" collapsed="1"/>
    <col min="49" max="49" width="11.140625" style="1305" customWidth="1"/>
    <col min="50" max="51" width="11.140625" style="1117" customWidth="1"/>
    <col min="52" max="52" width="11.85546875" style="1117" customWidth="1"/>
    <col min="53" max="53" width="11" style="1117" customWidth="1"/>
    <col min="54" max="54" width="12" style="1117" customWidth="1"/>
    <col min="55" max="55" width="10.28515625" style="1117" customWidth="1"/>
    <col min="56" max="59" width="10.28515625" style="1281" customWidth="1"/>
    <col min="60" max="63" width="10.28515625" style="1386" hidden="1" customWidth="1" outlineLevel="1"/>
    <col min="64" max="64" width="2.42578125" style="1117" customWidth="1" collapsed="1"/>
    <col min="65" max="66" width="11.42578125" style="1117" hidden="1" customWidth="1" outlineLevel="1"/>
    <col min="67" max="67" width="11.42578125" style="300" hidden="1" customWidth="1" outlineLevel="1"/>
    <col min="68" max="68" width="11.42578125" style="1117" hidden="1" customWidth="1" outlineLevel="1"/>
    <col min="69" max="69" width="11.42578125" style="300" hidden="1" customWidth="1" outlineLevel="1"/>
    <col min="70" max="70" width="11.42578125" style="1117" hidden="1" customWidth="1" outlineLevel="1" collapsed="1"/>
    <col min="71" max="72" width="11.42578125" style="1117" hidden="1" customWidth="1" outlineLevel="1"/>
    <col min="73" max="73" width="11.42578125" style="1117" customWidth="1" collapsed="1"/>
    <col min="74" max="74" width="11.42578125" style="1117" customWidth="1"/>
    <col min="75" max="75" width="12.28515625" style="1117" customWidth="1"/>
    <col min="76" max="77" width="12.140625" style="1117" customWidth="1"/>
    <col min="78" max="78" width="12.140625" style="1458" customWidth="1"/>
    <col min="79" max="79" width="12.140625" style="1386" customWidth="1" outlineLevel="1"/>
    <col min="80" max="80" width="1.42578125" style="1117" customWidth="1"/>
    <col min="81" max="89" width="11.42578125" style="1117" hidden="1" customWidth="1" outlineLevel="1"/>
    <col min="90" max="90" width="11.5703125" style="1117" hidden="1" customWidth="1" outlineLevel="1"/>
    <col min="91" max="91" width="12.85546875" style="1117" hidden="1" customWidth="1" outlineLevel="1"/>
    <col min="92" max="92" width="12.85546875" style="1386" customWidth="1" collapsed="1"/>
    <col min="93" max="94" width="12.85546875" style="1386" customWidth="1"/>
    <col min="95" max="95" width="10.85546875" style="1117" customWidth="1"/>
    <col min="96" max="96" width="39.42578125" customWidth="1"/>
    <col min="102" max="16384" width="9.140625" style="1117"/>
  </cols>
  <sheetData>
    <row r="1" spans="1:102" ht="67.5" customHeight="1">
      <c r="A1" s="1"/>
      <c r="B1" s="5"/>
      <c r="C1" s="1"/>
      <c r="D1" s="311"/>
      <c r="E1" s="311"/>
      <c r="F1" s="311"/>
      <c r="G1" s="314"/>
      <c r="H1" s="311"/>
      <c r="I1" s="311"/>
      <c r="J1" s="314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4"/>
      <c r="Z1" s="311"/>
      <c r="AA1" s="311"/>
      <c r="AB1" s="311"/>
      <c r="AC1" s="311"/>
      <c r="AD1" s="311"/>
      <c r="AE1" s="311"/>
      <c r="AF1" s="311"/>
      <c r="AG1" s="311"/>
      <c r="AH1" s="311"/>
      <c r="AI1" s="311"/>
      <c r="AJ1" s="311"/>
      <c r="AK1" s="311"/>
      <c r="AL1" s="311"/>
      <c r="AM1" s="311"/>
      <c r="AN1" s="311"/>
      <c r="AO1" s="311"/>
      <c r="AP1" s="311"/>
      <c r="AQ1" s="311"/>
      <c r="AR1" s="311"/>
      <c r="AS1" s="311"/>
      <c r="AT1" s="311"/>
      <c r="AU1" s="311"/>
      <c r="AV1" s="311"/>
      <c r="AW1" s="311"/>
      <c r="AX1" s="311"/>
      <c r="AY1" s="311"/>
      <c r="AZ1" s="311"/>
      <c r="BA1" s="311"/>
      <c r="BB1" s="311"/>
      <c r="BC1" s="311"/>
      <c r="BD1" s="311"/>
      <c r="BE1" s="311"/>
      <c r="BF1" s="311"/>
      <c r="BG1" s="311"/>
      <c r="BH1" s="311"/>
      <c r="BI1" s="311"/>
      <c r="BJ1" s="311"/>
      <c r="BK1" s="311"/>
      <c r="BL1" s="311"/>
      <c r="BM1" s="311"/>
      <c r="BN1" s="311"/>
      <c r="BO1" s="311"/>
      <c r="BP1" s="311"/>
      <c r="BQ1" s="314"/>
      <c r="BR1" s="311"/>
      <c r="BS1" s="311"/>
      <c r="BT1" s="311"/>
      <c r="BU1" s="311"/>
      <c r="BV1" s="311"/>
      <c r="BW1" s="311"/>
      <c r="BX1" s="311"/>
      <c r="BY1" s="310"/>
      <c r="BZ1" s="310"/>
      <c r="CA1" s="310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X1" s="1"/>
    </row>
    <row r="2" spans="1:102" ht="18" customHeight="1">
      <c r="A2" s="1"/>
      <c r="B2" s="1005" t="s">
        <v>396</v>
      </c>
      <c r="C2" s="1005"/>
      <c r="D2" s="1041"/>
      <c r="E2" s="1041"/>
      <c r="F2" s="1041"/>
      <c r="G2" s="1042"/>
      <c r="H2" s="1041"/>
      <c r="I2" s="1041"/>
      <c r="J2" s="1042"/>
      <c r="K2" s="1041"/>
      <c r="L2" s="1041"/>
      <c r="M2" s="1041"/>
      <c r="N2" s="1041"/>
      <c r="O2" s="1041"/>
      <c r="P2" s="1041"/>
      <c r="Q2" s="1041"/>
      <c r="R2" s="1041"/>
      <c r="S2" s="1041"/>
      <c r="T2" s="1041"/>
      <c r="U2" s="1041"/>
      <c r="V2" s="1041"/>
      <c r="W2" s="1041"/>
      <c r="X2" s="1042"/>
      <c r="Y2" s="1041"/>
      <c r="Z2" s="1041"/>
      <c r="AA2" s="1041"/>
      <c r="AC2" s="1041"/>
      <c r="AD2" s="1041"/>
      <c r="AE2" s="1041"/>
      <c r="AF2" s="1041"/>
      <c r="AG2" s="1041"/>
      <c r="AH2" s="1041"/>
      <c r="AI2" s="1041"/>
      <c r="AJ2" s="1041"/>
      <c r="AK2" s="1041"/>
      <c r="AL2" s="1041"/>
      <c r="AN2" s="1041"/>
      <c r="AO2" s="1041"/>
      <c r="AS2" s="660"/>
      <c r="AT2" s="660"/>
      <c r="AU2" s="660"/>
      <c r="AV2" s="660"/>
      <c r="AX2" s="660"/>
      <c r="AY2" s="660"/>
      <c r="AZ2" s="1379"/>
      <c r="BA2" s="660"/>
      <c r="BB2" s="660"/>
      <c r="BC2" s="660"/>
      <c r="BD2" s="660"/>
      <c r="BE2" s="660"/>
      <c r="BF2" s="660"/>
      <c r="BG2" s="660"/>
      <c r="BH2" s="660"/>
      <c r="BI2" s="660"/>
      <c r="BJ2" s="660"/>
      <c r="BK2" s="660"/>
      <c r="BL2" s="660"/>
      <c r="BM2" s="660"/>
      <c r="BN2" s="660"/>
      <c r="BO2" s="660"/>
      <c r="BP2" s="660"/>
      <c r="BQ2" s="660"/>
      <c r="BR2" s="660"/>
      <c r="BS2" s="660"/>
      <c r="BT2" s="660"/>
      <c r="BU2" s="1116"/>
      <c r="BY2" s="1041"/>
      <c r="BZ2" s="1041"/>
      <c r="CA2" s="1041"/>
      <c r="CB2" s="534"/>
      <c r="CC2" s="534"/>
      <c r="CD2" s="534"/>
      <c r="CE2" s="534"/>
      <c r="CF2" s="534"/>
      <c r="CG2" s="534"/>
      <c r="CH2" s="534"/>
      <c r="CI2" s="784"/>
      <c r="CJ2" s="534"/>
      <c r="CK2" s="534"/>
      <c r="CL2" s="534"/>
      <c r="CM2" s="534"/>
      <c r="CN2" s="534"/>
      <c r="CO2" s="534"/>
      <c r="CP2" s="534"/>
    </row>
    <row r="3" spans="1:102" ht="14.25" customHeight="1">
      <c r="A3" s="1"/>
      <c r="B3" s="1213"/>
      <c r="C3" s="1"/>
      <c r="D3" s="535"/>
      <c r="E3" s="535"/>
      <c r="F3" s="535"/>
      <c r="G3" s="536"/>
      <c r="H3" s="535"/>
      <c r="I3" s="536"/>
      <c r="J3" s="536"/>
      <c r="K3" s="535"/>
      <c r="L3" s="535"/>
      <c r="M3" s="535"/>
      <c r="N3" s="535"/>
      <c r="O3" s="535"/>
      <c r="P3" s="535"/>
      <c r="Q3" s="535"/>
      <c r="R3" s="536"/>
      <c r="S3" s="535"/>
      <c r="T3" s="535"/>
      <c r="U3" s="535"/>
      <c r="V3" s="535"/>
      <c r="W3" s="535"/>
      <c r="X3" s="536"/>
      <c r="Y3" s="535"/>
      <c r="Z3" s="535"/>
      <c r="AA3" s="535"/>
      <c r="AC3" s="535"/>
      <c r="AD3" s="535"/>
      <c r="AE3" s="535"/>
      <c r="AF3" s="535"/>
      <c r="AG3" s="535"/>
      <c r="AH3" s="535"/>
      <c r="AI3" s="739"/>
      <c r="AJ3" s="739"/>
      <c r="AK3" s="535"/>
      <c r="AL3" s="749"/>
      <c r="AM3" s="749"/>
      <c r="AN3" s="739"/>
      <c r="AO3" s="535"/>
      <c r="AP3" s="749"/>
      <c r="AQ3" s="936"/>
      <c r="AR3" s="1086"/>
      <c r="AS3" s="661"/>
      <c r="AT3" s="661"/>
      <c r="AU3" s="661"/>
      <c r="AV3" s="661"/>
      <c r="AW3" s="661"/>
      <c r="AX3" s="661"/>
      <c r="AY3" s="661"/>
      <c r="AZ3" s="661"/>
      <c r="BA3" s="661"/>
      <c r="BB3" s="661"/>
      <c r="BC3" s="661"/>
      <c r="BD3" s="661"/>
      <c r="BE3" s="661"/>
      <c r="BF3" s="661"/>
      <c r="BG3" s="661"/>
      <c r="BH3" s="661"/>
      <c r="BI3" s="661"/>
      <c r="BJ3" s="661"/>
      <c r="BK3" s="661"/>
      <c r="BL3" s="661"/>
      <c r="BM3" s="661"/>
      <c r="BN3" s="661"/>
      <c r="BO3" s="661"/>
      <c r="BP3" s="661"/>
      <c r="BQ3" s="661"/>
      <c r="BR3" s="661"/>
      <c r="BS3" s="661"/>
      <c r="BT3" s="661"/>
      <c r="BU3" s="749"/>
      <c r="BV3" s="749"/>
      <c r="BW3" s="749"/>
      <c r="BX3" s="749"/>
      <c r="BY3" s="749"/>
      <c r="BZ3" s="749"/>
      <c r="CA3" s="749"/>
      <c r="CB3" s="1130"/>
      <c r="CC3" s="1130"/>
      <c r="CD3" s="1130"/>
      <c r="CE3" s="1130"/>
      <c r="CF3" s="1130"/>
      <c r="CG3" s="1130"/>
      <c r="CH3" s="1130"/>
      <c r="CI3" s="1130"/>
      <c r="CJ3" s="1130"/>
      <c r="CK3" s="1130"/>
      <c r="CL3" s="1377"/>
      <c r="CM3" s="1378"/>
      <c r="CN3" s="1378"/>
      <c r="CO3" s="1378"/>
      <c r="CP3" s="1378"/>
      <c r="CQ3" s="1"/>
      <c r="CX3" s="1"/>
    </row>
    <row r="4" spans="1:102" ht="14.25" customHeight="1">
      <c r="A4" s="1"/>
      <c r="B4" s="767"/>
      <c r="C4" s="1"/>
      <c r="D4" s="655" t="str">
        <f t="shared" ref="D4:AJ4" si="0">ROUNDUP(MONTH(EOMONTH(D6,2))/3,0)&amp;"FQ"&amp;TEXT(EOMONTH(D6,2),"YYYY")</f>
        <v>1FQ2006</v>
      </c>
      <c r="E4" s="655" t="str">
        <f t="shared" si="0"/>
        <v>2FQ2006</v>
      </c>
      <c r="F4" s="655" t="str">
        <f t="shared" si="0"/>
        <v>3FQ2006</v>
      </c>
      <c r="G4" s="656" t="str">
        <f t="shared" si="0"/>
        <v>4FQ2006</v>
      </c>
      <c r="H4" s="655" t="str">
        <f t="shared" si="0"/>
        <v>1FQ2007</v>
      </c>
      <c r="I4" s="656" t="str">
        <f t="shared" si="0"/>
        <v>2FQ2007</v>
      </c>
      <c r="J4" s="656" t="str">
        <f t="shared" si="0"/>
        <v>3FQ2007</v>
      </c>
      <c r="K4" s="655" t="str">
        <f t="shared" si="0"/>
        <v>4FQ2007</v>
      </c>
      <c r="L4" s="655" t="str">
        <f t="shared" si="0"/>
        <v>1FQ2008</v>
      </c>
      <c r="M4" s="655" t="str">
        <f t="shared" si="0"/>
        <v>2FQ2008</v>
      </c>
      <c r="N4" s="655" t="str">
        <f t="shared" si="0"/>
        <v>3FQ2008</v>
      </c>
      <c r="O4" s="655" t="str">
        <f t="shared" si="0"/>
        <v>4FQ2008</v>
      </c>
      <c r="P4" s="655" t="str">
        <f t="shared" si="0"/>
        <v>1FQ2009</v>
      </c>
      <c r="Q4" s="655" t="str">
        <f t="shared" si="0"/>
        <v>2FQ2009</v>
      </c>
      <c r="R4" s="655" t="str">
        <f t="shared" si="0"/>
        <v>3FQ2009</v>
      </c>
      <c r="S4" s="656" t="str">
        <f t="shared" si="0"/>
        <v>4FQ2009</v>
      </c>
      <c r="T4" s="655" t="str">
        <f t="shared" si="0"/>
        <v>1FQ2010</v>
      </c>
      <c r="U4" s="655" t="str">
        <f t="shared" si="0"/>
        <v>2FQ2010</v>
      </c>
      <c r="V4" s="655" t="str">
        <f t="shared" si="0"/>
        <v>3FQ2010</v>
      </c>
      <c r="W4" s="655" t="str">
        <f t="shared" si="0"/>
        <v>4FQ2010</v>
      </c>
      <c r="X4" s="655" t="str">
        <f t="shared" si="0"/>
        <v>1FQ2011</v>
      </c>
      <c r="Y4" s="656" t="str">
        <f t="shared" si="0"/>
        <v>2FQ2011</v>
      </c>
      <c r="Z4" s="655" t="str">
        <f t="shared" si="0"/>
        <v>3FQ2011</v>
      </c>
      <c r="AA4" s="655" t="str">
        <f t="shared" si="0"/>
        <v>4FQ2011</v>
      </c>
      <c r="AB4" s="655" t="str">
        <f t="shared" si="0"/>
        <v>1FQ2012</v>
      </c>
      <c r="AC4" s="655" t="str">
        <f t="shared" si="0"/>
        <v>2FQ2012</v>
      </c>
      <c r="AD4" s="655" t="str">
        <f t="shared" si="0"/>
        <v>3FQ2012</v>
      </c>
      <c r="AE4" s="655" t="str">
        <f t="shared" si="0"/>
        <v>4FQ2012</v>
      </c>
      <c r="AF4" s="655" t="str">
        <f t="shared" si="0"/>
        <v>1FQ2013</v>
      </c>
      <c r="AG4" s="655" t="str">
        <f t="shared" si="0"/>
        <v>2FQ2013</v>
      </c>
      <c r="AH4" s="655" t="str">
        <f t="shared" si="0"/>
        <v>3FQ2013</v>
      </c>
      <c r="AI4" s="655" t="str">
        <f t="shared" si="0"/>
        <v>4FQ2013</v>
      </c>
      <c r="AJ4" s="655" t="str">
        <f t="shared" si="0"/>
        <v>1FQ2014</v>
      </c>
      <c r="AK4" s="809"/>
      <c r="AL4" s="655"/>
      <c r="AN4" s="749"/>
      <c r="AO4" s="749"/>
      <c r="AP4" s="749"/>
      <c r="AQ4" s="749"/>
      <c r="AR4" s="749"/>
      <c r="AS4" s="661"/>
      <c r="AT4" s="661"/>
      <c r="AU4" s="661"/>
      <c r="AV4" s="661"/>
      <c r="AW4" s="661"/>
      <c r="AX4" s="661"/>
      <c r="AY4" s="661"/>
      <c r="AZ4" s="661"/>
      <c r="BA4" s="1478"/>
      <c r="BB4" s="661"/>
      <c r="BC4" s="661"/>
      <c r="BD4" s="661"/>
      <c r="BE4" s="661"/>
      <c r="BF4" s="661"/>
      <c r="BG4" s="661"/>
      <c r="BH4" s="661"/>
      <c r="BI4" s="661"/>
      <c r="BJ4" s="661"/>
      <c r="BK4" s="661"/>
      <c r="BL4" s="661"/>
      <c r="BM4" s="661"/>
      <c r="BN4" s="661"/>
      <c r="BO4" s="661"/>
      <c r="BP4" s="661"/>
      <c r="BQ4" s="661"/>
      <c r="BR4" s="661"/>
      <c r="BS4" s="661"/>
      <c r="BT4" s="661"/>
      <c r="BU4" s="1355"/>
      <c r="BV4" s="1355"/>
      <c r="BW4" s="1355"/>
      <c r="BX4" s="1434"/>
      <c r="BY4" s="1434"/>
      <c r="CA4" s="1434"/>
      <c r="CB4" s="1434"/>
      <c r="CC4" s="1434"/>
      <c r="CD4" s="1434"/>
      <c r="CE4" s="1434"/>
      <c r="CF4" s="1434"/>
      <c r="CG4" s="1434"/>
      <c r="CH4" s="1434"/>
      <c r="CI4" s="1434"/>
      <c r="CJ4" s="1041"/>
      <c r="CL4" s="1301"/>
      <c r="CM4" s="1379"/>
      <c r="CN4" s="1379"/>
      <c r="CO4" s="1379"/>
      <c r="CP4" s="1379"/>
      <c r="CQ4" s="1"/>
      <c r="CX4" s="1"/>
    </row>
    <row r="5" spans="1:102" ht="14.25" customHeight="1">
      <c r="A5" s="7"/>
      <c r="B5" s="178" t="s">
        <v>397</v>
      </c>
      <c r="C5" s="9"/>
      <c r="D5" s="581"/>
      <c r="E5" s="1075"/>
      <c r="F5" s="1075"/>
      <c r="G5" s="1076"/>
      <c r="H5" s="1075"/>
      <c r="I5" s="1076"/>
      <c r="J5" s="1076"/>
      <c r="K5" s="1075"/>
      <c r="L5" s="1075"/>
      <c r="M5" s="1075"/>
      <c r="N5" s="1075"/>
      <c r="O5" s="1075"/>
      <c r="P5" s="1076"/>
      <c r="Q5" s="1075"/>
      <c r="R5" s="1075"/>
      <c r="S5" s="1076"/>
      <c r="T5" s="1076"/>
      <c r="U5" s="1076"/>
      <c r="V5" s="1076"/>
      <c r="W5" s="1076"/>
      <c r="X5" s="1076"/>
      <c r="Y5" s="1076"/>
      <c r="Z5" s="1075"/>
      <c r="AA5" s="1075"/>
      <c r="AB5" s="1075"/>
      <c r="AC5" s="1075"/>
      <c r="AD5" s="1075"/>
      <c r="AE5" s="1075"/>
      <c r="AF5" s="1075"/>
      <c r="AG5" s="1075"/>
      <c r="AH5" s="1075"/>
      <c r="AI5" s="1075"/>
      <c r="AJ5" s="1075"/>
      <c r="AK5" s="1075"/>
      <c r="AL5" s="1075"/>
      <c r="AM5" s="1092"/>
      <c r="AN5" s="1075"/>
      <c r="AO5" s="1075"/>
      <c r="AP5" s="1092"/>
      <c r="AQ5" s="1077"/>
      <c r="AR5" s="1114"/>
      <c r="AS5" s="657"/>
      <c r="AT5" s="657"/>
      <c r="AU5" s="657"/>
      <c r="AV5" s="660"/>
      <c r="AW5" s="660"/>
      <c r="AX5" s="660"/>
      <c r="AY5" s="660"/>
      <c r="AZ5" s="660"/>
      <c r="BA5" s="660"/>
      <c r="BB5" s="657"/>
      <c r="BC5" s="657"/>
      <c r="BD5" s="657"/>
      <c r="BE5" s="657"/>
      <c r="BF5" s="657"/>
      <c r="BG5" s="657"/>
      <c r="BH5" s="657"/>
      <c r="BI5" s="657"/>
      <c r="BJ5" s="657"/>
      <c r="BK5" s="657"/>
      <c r="BL5" s="1042"/>
      <c r="BM5" s="1042"/>
      <c r="BN5" s="1042"/>
      <c r="BO5" s="1042"/>
      <c r="BP5" s="1042"/>
      <c r="BQ5" s="1042"/>
      <c r="BR5" s="1042"/>
      <c r="BS5" s="1042"/>
      <c r="BT5" s="1077"/>
      <c r="BU5" s="810"/>
      <c r="BV5" s="810"/>
      <c r="CB5" s="7"/>
      <c r="CC5" s="7"/>
      <c r="CD5" s="7"/>
      <c r="CE5" s="7"/>
      <c r="CF5" s="298"/>
      <c r="CG5" s="298"/>
      <c r="CH5" s="7"/>
      <c r="CI5" s="7"/>
      <c r="CJ5" s="7"/>
      <c r="CK5" s="7"/>
      <c r="CL5" s="1380"/>
      <c r="CM5" s="1380"/>
      <c r="CN5" s="1380"/>
      <c r="CO5" s="1380"/>
      <c r="CP5" s="1380"/>
      <c r="CQ5" s="7"/>
      <c r="CX5" s="7"/>
    </row>
    <row r="6" spans="1:102" ht="14.25" customHeight="1">
      <c r="A6" s="7"/>
      <c r="B6" s="11" t="s">
        <v>180</v>
      </c>
      <c r="C6" s="12"/>
      <c r="D6" s="1096">
        <v>38748</v>
      </c>
      <c r="E6" s="1097">
        <v>38837</v>
      </c>
      <c r="F6" s="1097">
        <v>38929</v>
      </c>
      <c r="G6" s="1097">
        <v>39021</v>
      </c>
      <c r="H6" s="1096">
        <v>39113</v>
      </c>
      <c r="I6" s="1097">
        <v>39202</v>
      </c>
      <c r="J6" s="1097">
        <v>39294</v>
      </c>
      <c r="K6" s="1110">
        <v>39386</v>
      </c>
      <c r="L6" s="1096">
        <v>39478</v>
      </c>
      <c r="M6" s="1097">
        <v>39568</v>
      </c>
      <c r="N6" s="1097">
        <v>39660</v>
      </c>
      <c r="O6" s="1110">
        <v>39752</v>
      </c>
      <c r="P6" s="1106">
        <v>39844</v>
      </c>
      <c r="Q6" s="1034">
        <v>39933</v>
      </c>
      <c r="R6" s="1034">
        <v>40025</v>
      </c>
      <c r="S6" s="1034">
        <v>40117</v>
      </c>
      <c r="T6" s="1102">
        <v>40209</v>
      </c>
      <c r="U6" s="1089">
        <v>40298</v>
      </c>
      <c r="V6" s="1089">
        <v>40390</v>
      </c>
      <c r="W6" s="1090">
        <v>40482</v>
      </c>
      <c r="X6" s="1034">
        <v>40574</v>
      </c>
      <c r="Y6" s="1034">
        <v>40663</v>
      </c>
      <c r="Z6" s="1034">
        <v>40755</v>
      </c>
      <c r="AA6" s="1034">
        <v>40847</v>
      </c>
      <c r="AB6" s="1102">
        <v>40939</v>
      </c>
      <c r="AC6" s="1089">
        <v>41029</v>
      </c>
      <c r="AD6" s="1089">
        <v>41121</v>
      </c>
      <c r="AE6" s="1090">
        <v>41213</v>
      </c>
      <c r="AF6" s="1034">
        <v>41305</v>
      </c>
      <c r="AG6" s="1034">
        <v>41394</v>
      </c>
      <c r="AH6" s="1034">
        <v>41486</v>
      </c>
      <c r="AI6" s="1034">
        <v>41578</v>
      </c>
      <c r="AJ6" s="1102">
        <v>41670</v>
      </c>
      <c r="AK6" s="1089">
        <v>41759</v>
      </c>
      <c r="AL6" s="1089">
        <v>41851</v>
      </c>
      <c r="AM6" s="1089">
        <v>41943</v>
      </c>
      <c r="AN6" s="1102">
        <v>42035</v>
      </c>
      <c r="AO6" s="1089">
        <v>42124</v>
      </c>
      <c r="AP6" s="1033">
        <v>42216</v>
      </c>
      <c r="AQ6" s="1033">
        <v>42308</v>
      </c>
      <c r="AR6" s="1154">
        <v>42400</v>
      </c>
      <c r="AS6" s="1155">
        <v>42490</v>
      </c>
      <c r="AT6" s="1155">
        <v>42582</v>
      </c>
      <c r="AU6" s="1155">
        <v>42674</v>
      </c>
      <c r="AV6" s="1243">
        <v>42766</v>
      </c>
      <c r="AW6" s="1244">
        <v>42855</v>
      </c>
      <c r="AX6" s="1244">
        <v>42947</v>
      </c>
      <c r="AY6" s="1245">
        <v>43039</v>
      </c>
      <c r="AZ6" s="1316">
        <v>43131</v>
      </c>
      <c r="BA6" s="1317">
        <v>43220</v>
      </c>
      <c r="BB6" s="1317">
        <v>43312</v>
      </c>
      <c r="BC6" s="1318">
        <v>43404</v>
      </c>
      <c r="BD6" s="1316">
        <v>43496</v>
      </c>
      <c r="BE6" s="1317">
        <v>43585</v>
      </c>
      <c r="BF6" s="1317">
        <v>43677</v>
      </c>
      <c r="BG6" s="1318">
        <v>43769</v>
      </c>
      <c r="BH6" s="1316">
        <v>43861</v>
      </c>
      <c r="BI6" s="1317">
        <v>43951</v>
      </c>
      <c r="BJ6" s="1317">
        <v>44043</v>
      </c>
      <c r="BK6" s="1318">
        <v>44135</v>
      </c>
      <c r="BL6" s="7"/>
      <c r="BM6" s="653" t="str">
        <f t="shared" ref="BM6:BT6" si="1">LEFT(BM7,6)</f>
        <v>FY2006</v>
      </c>
      <c r="BN6" s="653" t="str">
        <f t="shared" si="1"/>
        <v>FY2007</v>
      </c>
      <c r="BO6" s="653" t="str">
        <f t="shared" si="1"/>
        <v>FY2008</v>
      </c>
      <c r="BP6" s="653" t="str">
        <f t="shared" si="1"/>
        <v>FY2009</v>
      </c>
      <c r="BQ6" s="654" t="str">
        <f t="shared" si="1"/>
        <v>FY2010</v>
      </c>
      <c r="BR6" s="654" t="str">
        <f t="shared" si="1"/>
        <v>FY2011</v>
      </c>
      <c r="BS6" s="1085"/>
      <c r="BT6" s="654" t="str">
        <f t="shared" si="1"/>
        <v>FY2013</v>
      </c>
      <c r="BU6" s="657"/>
      <c r="BV6" s="518"/>
      <c r="CB6" s="7"/>
      <c r="CC6" s="7"/>
      <c r="CD6" s="7"/>
      <c r="CE6" s="7"/>
      <c r="CF6" s="7"/>
      <c r="CG6" s="223"/>
      <c r="CH6" s="223"/>
      <c r="CI6" s="13"/>
      <c r="CJ6" s="7"/>
      <c r="CK6" s="7"/>
      <c r="CL6" s="1378"/>
      <c r="CM6" s="1379"/>
      <c r="CN6" s="1379"/>
      <c r="CO6" s="1379"/>
      <c r="CP6" s="1381"/>
      <c r="CQ6" s="7"/>
      <c r="CX6" s="7"/>
    </row>
    <row r="7" spans="1:102" ht="14.25" customHeight="1">
      <c r="A7" s="7"/>
      <c r="B7" s="14"/>
      <c r="C7" s="15"/>
      <c r="D7" s="1006" t="s">
        <v>294</v>
      </c>
      <c r="E7" s="1007" t="s">
        <v>295</v>
      </c>
      <c r="F7" s="1007" t="s">
        <v>296</v>
      </c>
      <c r="G7" s="1007" t="s">
        <v>297</v>
      </c>
      <c r="H7" s="1006" t="s">
        <v>298</v>
      </c>
      <c r="I7" s="1007" t="s">
        <v>299</v>
      </c>
      <c r="J7" s="1007" t="s">
        <v>300</v>
      </c>
      <c r="K7" s="1008" t="s">
        <v>301</v>
      </c>
      <c r="L7" s="1006" t="s">
        <v>302</v>
      </c>
      <c r="M7" s="1007" t="s">
        <v>303</v>
      </c>
      <c r="N7" s="1007" t="s">
        <v>304</v>
      </c>
      <c r="O7" s="1008" t="s">
        <v>305</v>
      </c>
      <c r="P7" s="1007" t="s">
        <v>306</v>
      </c>
      <c r="Q7" s="1007" t="s">
        <v>307</v>
      </c>
      <c r="R7" s="1007" t="s">
        <v>308</v>
      </c>
      <c r="S7" s="1007" t="s">
        <v>309</v>
      </c>
      <c r="T7" s="1006" t="s">
        <v>315</v>
      </c>
      <c r="U7" s="1007" t="s">
        <v>316</v>
      </c>
      <c r="V7" s="1007" t="s">
        <v>317</v>
      </c>
      <c r="W7" s="1008" t="s">
        <v>318</v>
      </c>
      <c r="X7" s="1007" t="s">
        <v>319</v>
      </c>
      <c r="Y7" s="1007" t="s">
        <v>320</v>
      </c>
      <c r="Z7" s="1007" t="s">
        <v>321</v>
      </c>
      <c r="AA7" s="1007" t="s">
        <v>322</v>
      </c>
      <c r="AB7" s="1006" t="s">
        <v>323</v>
      </c>
      <c r="AC7" s="1007" t="s">
        <v>324</v>
      </c>
      <c r="AD7" s="1007" t="s">
        <v>325</v>
      </c>
      <c r="AE7" s="1008" t="s">
        <v>326</v>
      </c>
      <c r="AF7" s="1007" t="s">
        <v>327</v>
      </c>
      <c r="AG7" s="1007" t="s">
        <v>335</v>
      </c>
      <c r="AH7" s="1007" t="s">
        <v>336</v>
      </c>
      <c r="AI7" s="1007" t="s">
        <v>351</v>
      </c>
      <c r="AJ7" s="1006" t="s">
        <v>293</v>
      </c>
      <c r="AK7" s="1007" t="s">
        <v>243</v>
      </c>
      <c r="AL7" s="1007" t="s">
        <v>366</v>
      </c>
      <c r="AM7" s="1007" t="s">
        <v>371</v>
      </c>
      <c r="AN7" s="1006" t="s">
        <v>372</v>
      </c>
      <c r="AO7" s="1007" t="s">
        <v>379</v>
      </c>
      <c r="AP7" s="1007" t="s">
        <v>380</v>
      </c>
      <c r="AQ7" s="1007" t="s">
        <v>386</v>
      </c>
      <c r="AR7" s="1138" t="s">
        <v>392</v>
      </c>
      <c r="AS7" s="1139" t="s">
        <v>394</v>
      </c>
      <c r="AT7" s="1139" t="s">
        <v>401</v>
      </c>
      <c r="AU7" s="1139" t="s">
        <v>407</v>
      </c>
      <c r="AV7" s="1224" t="s">
        <v>408</v>
      </c>
      <c r="AW7" s="1225" t="s">
        <v>409</v>
      </c>
      <c r="AX7" s="1225" t="s">
        <v>411</v>
      </c>
      <c r="AY7" s="1226" t="s">
        <v>417</v>
      </c>
      <c r="AZ7" s="1361" t="s">
        <v>423</v>
      </c>
      <c r="BA7" s="1320" t="s">
        <v>383</v>
      </c>
      <c r="BB7" s="1320" t="s">
        <v>384</v>
      </c>
      <c r="BC7" s="1336" t="s">
        <v>385</v>
      </c>
      <c r="BD7" s="1361" t="s">
        <v>403</v>
      </c>
      <c r="BE7" s="1320" t="s">
        <v>404</v>
      </c>
      <c r="BF7" s="1320" t="s">
        <v>405</v>
      </c>
      <c r="BG7" s="1336" t="s">
        <v>406</v>
      </c>
      <c r="BH7" s="1361" t="s">
        <v>412</v>
      </c>
      <c r="BI7" s="1320" t="s">
        <v>413</v>
      </c>
      <c r="BJ7" s="1320" t="s">
        <v>414</v>
      </c>
      <c r="BK7" s="1336" t="s">
        <v>415</v>
      </c>
      <c r="BL7" s="1391"/>
      <c r="BM7" s="1006" t="s">
        <v>328</v>
      </c>
      <c r="BN7" s="1007" t="s">
        <v>329</v>
      </c>
      <c r="BO7" s="1007" t="s">
        <v>330</v>
      </c>
      <c r="BP7" s="1007" t="s">
        <v>331</v>
      </c>
      <c r="BQ7" s="1007" t="s">
        <v>332</v>
      </c>
      <c r="BR7" s="1007" t="s">
        <v>333</v>
      </c>
      <c r="BS7" s="1007" t="s">
        <v>334</v>
      </c>
      <c r="BT7" s="1008" t="s">
        <v>354</v>
      </c>
      <c r="BU7" s="1361" t="s">
        <v>377</v>
      </c>
      <c r="BV7" s="1362" t="s">
        <v>387</v>
      </c>
      <c r="BW7" s="1362" t="s">
        <v>402</v>
      </c>
      <c r="BX7" s="1362" t="s">
        <v>418</v>
      </c>
      <c r="BY7" s="1362" t="s">
        <v>195</v>
      </c>
      <c r="BZ7" s="1362" t="s">
        <v>196</v>
      </c>
      <c r="CA7" s="1363" t="s">
        <v>416</v>
      </c>
      <c r="CB7" s="19"/>
      <c r="CC7" s="1006" t="s">
        <v>182</v>
      </c>
      <c r="CD7" s="1007" t="s">
        <v>181</v>
      </c>
      <c r="CE7" s="1007" t="s">
        <v>183</v>
      </c>
      <c r="CF7" s="1007" t="s">
        <v>184</v>
      </c>
      <c r="CG7" s="1007" t="s">
        <v>185</v>
      </c>
      <c r="CH7" s="1007" t="s">
        <v>289</v>
      </c>
      <c r="CI7" s="1138" t="s">
        <v>290</v>
      </c>
      <c r="CJ7" s="1139" t="s">
        <v>311</v>
      </c>
      <c r="CK7" s="1139" t="s">
        <v>378</v>
      </c>
      <c r="CL7" s="1139" t="s">
        <v>400</v>
      </c>
      <c r="CM7" s="1139" t="s">
        <v>410</v>
      </c>
      <c r="CN7" s="1361" t="s">
        <v>422</v>
      </c>
      <c r="CO7" s="1362" t="s">
        <v>19</v>
      </c>
      <c r="CP7" s="1363" t="s">
        <v>20</v>
      </c>
      <c r="CQ7" s="7"/>
      <c r="CX7" s="7"/>
    </row>
    <row r="8" spans="1:102" ht="14.25" customHeight="1">
      <c r="A8" s="7"/>
      <c r="B8" s="764" t="s">
        <v>51</v>
      </c>
      <c r="C8" s="22"/>
      <c r="D8" s="23">
        <v>350</v>
      </c>
      <c r="E8" s="24">
        <v>362</v>
      </c>
      <c r="F8" s="24">
        <v>408</v>
      </c>
      <c r="G8" s="24">
        <v>393</v>
      </c>
      <c r="H8" s="23">
        <v>375</v>
      </c>
      <c r="I8" s="24">
        <v>380</v>
      </c>
      <c r="J8" s="24">
        <v>381</v>
      </c>
      <c r="K8" s="302">
        <v>391</v>
      </c>
      <c r="L8" s="23">
        <v>402</v>
      </c>
      <c r="M8" s="24">
        <v>411</v>
      </c>
      <c r="N8" s="24">
        <v>439</v>
      </c>
      <c r="O8" s="302">
        <v>447</v>
      </c>
      <c r="P8" s="24">
        <v>368</v>
      </c>
      <c r="Q8" s="24">
        <v>325</v>
      </c>
      <c r="R8" s="24">
        <v>363</v>
      </c>
      <c r="S8" s="24">
        <v>428</v>
      </c>
      <c r="T8" s="23">
        <v>456</v>
      </c>
      <c r="U8" s="24">
        <v>515</v>
      </c>
      <c r="V8" s="24">
        <v>550</v>
      </c>
      <c r="W8" s="302">
        <v>572</v>
      </c>
      <c r="X8" s="24">
        <v>550</v>
      </c>
      <c r="Y8" s="24">
        <v>560</v>
      </c>
      <c r="Z8" s="24">
        <v>603</v>
      </c>
      <c r="AA8" s="24">
        <v>623</v>
      </c>
      <c r="AB8" s="23">
        <v>563</v>
      </c>
      <c r="AC8" s="24">
        <v>577</v>
      </c>
      <c r="AD8" s="24">
        <v>606</v>
      </c>
      <c r="AE8" s="302">
        <v>618</v>
      </c>
      <c r="AF8" s="24">
        <v>576</v>
      </c>
      <c r="AG8" s="24">
        <v>562</v>
      </c>
      <c r="AH8" s="24">
        <v>644</v>
      </c>
      <c r="AI8" s="24">
        <v>738</v>
      </c>
      <c r="AJ8" s="23">
        <v>709</v>
      </c>
      <c r="AK8" s="24">
        <v>701</v>
      </c>
      <c r="AL8" s="24">
        <v>1269</v>
      </c>
      <c r="AM8" s="24">
        <v>1590</v>
      </c>
      <c r="AN8" s="23">
        <v>1635</v>
      </c>
      <c r="AO8" s="24">
        <v>1614</v>
      </c>
      <c r="AP8" s="24">
        <v>1735</v>
      </c>
      <c r="AQ8" s="24">
        <v>1840</v>
      </c>
      <c r="AR8" s="23">
        <v>1771</v>
      </c>
      <c r="AS8" s="24">
        <v>3541</v>
      </c>
      <c r="AT8" s="24">
        <v>3792</v>
      </c>
      <c r="AU8" s="24">
        <v>4136</v>
      </c>
      <c r="AV8" s="23">
        <v>4139</v>
      </c>
      <c r="AW8" s="24">
        <v>4190</v>
      </c>
      <c r="AX8" s="24">
        <v>4463</v>
      </c>
      <c r="AY8" s="24">
        <v>4844</v>
      </c>
      <c r="AZ8" s="23">
        <v>5327</v>
      </c>
      <c r="BA8" s="995">
        <f>'BU Segment AVGO-LSI'!BA108</f>
        <v>5011.0400000000009</v>
      </c>
      <c r="BB8" s="995">
        <f>'BU Segment AVGO-LSI'!BB108</f>
        <v>5212.2682999999997</v>
      </c>
      <c r="BC8" s="990">
        <f>'BU Segment AVGO-LSI'!BC108</f>
        <v>5582.7637894999998</v>
      </c>
      <c r="BD8" s="999">
        <f>'BU Segment AVGO-LSI'!BD108</f>
        <v>5331.2301537399999</v>
      </c>
      <c r="BE8" s="995">
        <f>'BU Segment AVGO-LSI'!BE108</f>
        <v>5178.2279473991994</v>
      </c>
      <c r="BF8" s="995">
        <f>'BU Segment AVGO-LSI'!BF108</f>
        <v>5547.2252839510556</v>
      </c>
      <c r="BG8" s="1403">
        <f>'BU Segment AVGO-LSI'!BG108</f>
        <v>6177.6465935881088</v>
      </c>
      <c r="BH8" s="999">
        <f>'BU Segment AVGO-LSI'!BH108</f>
        <v>5902.3260627824538</v>
      </c>
      <c r="BI8" s="995">
        <f>'BU Segment AVGO-LSI'!BI108</f>
        <v>5586.4773156728315</v>
      </c>
      <c r="BJ8" s="995">
        <f>'BU Segment AVGO-LSI'!BJ108</f>
        <v>5813.2701476710463</v>
      </c>
      <c r="BK8" s="1403">
        <f>'BU Segment AVGO-LSI'!BK108</f>
        <v>6182.3150985232551</v>
      </c>
      <c r="BL8" s="1391"/>
      <c r="BM8" s="26">
        <f>SUM(D8:G8)</f>
        <v>1513</v>
      </c>
      <c r="BN8" s="25">
        <f>SUM(H8:K8)</f>
        <v>1527</v>
      </c>
      <c r="BO8" s="25">
        <f>SUM(L8:O8)</f>
        <v>1699</v>
      </c>
      <c r="BP8" s="25">
        <f>SUM(P8:S8)</f>
        <v>1484</v>
      </c>
      <c r="BQ8" s="25">
        <f>SUM(T8:W8)</f>
        <v>2093</v>
      </c>
      <c r="BR8" s="25">
        <f>SUM(X8:AA8)</f>
        <v>2336</v>
      </c>
      <c r="BS8" s="25">
        <f>SUM(AB8:AE8)</f>
        <v>2364</v>
      </c>
      <c r="BT8" s="336">
        <f>SUM(AF8:AI8)</f>
        <v>2520</v>
      </c>
      <c r="BU8" s="26">
        <f>SUM(AJ8:AM8)</f>
        <v>4269</v>
      </c>
      <c r="BV8" s="25">
        <f>SUM(AN8:AQ8)</f>
        <v>6824</v>
      </c>
      <c r="BW8" s="25">
        <f>SUM(AR8:AU8)</f>
        <v>13240</v>
      </c>
      <c r="BX8" s="25">
        <f>SUM(AV8:AY8)</f>
        <v>17636</v>
      </c>
      <c r="BY8" s="25">
        <f>SUM(AZ8:BC8)</f>
        <v>21133.072089500001</v>
      </c>
      <c r="BZ8" s="25">
        <f>SUM(BD8:BG8)</f>
        <v>22234.329978678365</v>
      </c>
      <c r="CA8" s="1444">
        <f>SUM(BH8:BK8)</f>
        <v>23484.388624649589</v>
      </c>
      <c r="CB8" s="19"/>
      <c r="CC8" s="324">
        <f>SUM(E8:H8)</f>
        <v>1538</v>
      </c>
      <c r="CD8" s="25">
        <f>SUM(I8:L8)</f>
        <v>1554</v>
      </c>
      <c r="CE8" s="25">
        <f>SUM(M8:P8)</f>
        <v>1665</v>
      </c>
      <c r="CF8" s="25">
        <f>SUM(Q8:T8)</f>
        <v>1572</v>
      </c>
      <c r="CG8" s="25">
        <f>SUM(U8:X8)</f>
        <v>2187</v>
      </c>
      <c r="CH8" s="25">
        <f>SUM(Y8:AB8)</f>
        <v>2349</v>
      </c>
      <c r="CI8" s="26">
        <f>SUM(AC8:AF8)</f>
        <v>2377</v>
      </c>
      <c r="CJ8" s="25">
        <f>SUM(AG8:AJ8)</f>
        <v>2653</v>
      </c>
      <c r="CK8" s="25">
        <f>SUM(AK8:AN8)</f>
        <v>5195</v>
      </c>
      <c r="CL8" s="25">
        <f>SUM(AO8:AR8)</f>
        <v>6960</v>
      </c>
      <c r="CM8" s="25">
        <f>SUM(AS8:AV8)</f>
        <v>15608</v>
      </c>
      <c r="CN8" s="26">
        <f>SUM(AW8:AZ8)</f>
        <v>18824</v>
      </c>
      <c r="CO8" s="25">
        <f>SUM(BA8:BD8)</f>
        <v>21137.302243240003</v>
      </c>
      <c r="CP8" s="1444">
        <f>SUM(BE8:BH8)</f>
        <v>22805.425887720816</v>
      </c>
      <c r="CQ8" s="7"/>
      <c r="CX8" s="7"/>
    </row>
    <row r="9" spans="1:102" s="652" customFormat="1" ht="14.25" hidden="1" customHeight="1" outlineLevel="1">
      <c r="A9" s="648"/>
      <c r="B9" s="764" t="s">
        <v>229</v>
      </c>
      <c r="C9" s="790"/>
      <c r="D9" s="649"/>
      <c r="E9" s="650"/>
      <c r="F9" s="650"/>
      <c r="G9" s="650"/>
      <c r="H9" s="649"/>
      <c r="I9" s="650"/>
      <c r="J9" s="650"/>
      <c r="K9" s="651"/>
      <c r="L9" s="649"/>
      <c r="M9" s="650"/>
      <c r="N9" s="650"/>
      <c r="O9" s="651"/>
      <c r="P9" s="650"/>
      <c r="Q9" s="650"/>
      <c r="R9" s="650"/>
      <c r="S9" s="650"/>
      <c r="T9" s="649"/>
      <c r="U9" s="650"/>
      <c r="V9" s="650"/>
      <c r="W9" s="651"/>
      <c r="X9" s="650"/>
      <c r="Y9" s="650"/>
      <c r="Z9" s="650"/>
      <c r="AA9" s="650"/>
      <c r="AB9" s="649"/>
      <c r="AC9" s="650"/>
      <c r="AD9" s="650"/>
      <c r="AE9" s="651"/>
      <c r="AF9" s="650"/>
      <c r="AG9" s="650"/>
      <c r="AH9" s="650"/>
      <c r="AI9" s="650"/>
      <c r="AJ9" s="649"/>
      <c r="AK9" s="650"/>
      <c r="AL9" s="650"/>
      <c r="AM9" s="650"/>
      <c r="AN9" s="649"/>
      <c r="AO9" s="650"/>
      <c r="AP9" s="650"/>
      <c r="AQ9" s="650"/>
      <c r="AR9" s="649"/>
      <c r="AS9" s="650"/>
      <c r="AT9" s="650"/>
      <c r="AU9" s="650"/>
      <c r="AV9" s="649"/>
      <c r="AW9" s="650"/>
      <c r="AX9" s="650"/>
      <c r="AY9" s="650"/>
      <c r="AZ9" s="649"/>
      <c r="BA9" s="650" t="s">
        <v>425</v>
      </c>
      <c r="BB9" s="650">
        <v>21065.8</v>
      </c>
      <c r="BC9" s="651" t="s">
        <v>426</v>
      </c>
      <c r="BD9" s="649" t="s">
        <v>427</v>
      </c>
      <c r="BE9" s="650" t="s">
        <v>428</v>
      </c>
      <c r="BF9" s="650" t="s">
        <v>428</v>
      </c>
      <c r="BG9" s="1404" t="s">
        <v>428</v>
      </c>
      <c r="BH9" s="649" t="s">
        <v>429</v>
      </c>
      <c r="BI9" s="650" t="s">
        <v>428</v>
      </c>
      <c r="BJ9" s="650" t="s">
        <v>428</v>
      </c>
      <c r="BK9" s="1404" t="s">
        <v>428</v>
      </c>
      <c r="BL9" s="797"/>
      <c r="BM9" s="649"/>
      <c r="BN9" s="650"/>
      <c r="BO9" s="650"/>
      <c r="BP9" s="650"/>
      <c r="BQ9" s="650"/>
      <c r="BR9" s="650"/>
      <c r="BS9" s="650"/>
      <c r="BT9" s="651" t="s">
        <v>430</v>
      </c>
      <c r="BU9" s="649" t="s">
        <v>431</v>
      </c>
      <c r="BV9" s="650" t="s">
        <v>431</v>
      </c>
      <c r="BW9" s="650">
        <v>21065.8</v>
      </c>
      <c r="BX9" s="650"/>
      <c r="BY9" s="650"/>
      <c r="BZ9" s="650"/>
      <c r="CA9" s="1404"/>
      <c r="CB9" s="1471"/>
      <c r="CC9" s="649"/>
      <c r="CD9" s="650"/>
      <c r="CE9" s="650"/>
      <c r="CF9" s="650"/>
      <c r="CG9" s="650"/>
      <c r="CH9" s="650"/>
      <c r="CI9" s="649"/>
      <c r="CJ9" s="650"/>
      <c r="CK9" s="650"/>
      <c r="CL9" s="650"/>
      <c r="CM9" s="650"/>
      <c r="CN9" s="649"/>
      <c r="CO9" s="650"/>
      <c r="CP9" s="1404"/>
      <c r="CQ9" s="648"/>
      <c r="CR9"/>
      <c r="CS9"/>
      <c r="CT9"/>
      <c r="CU9"/>
      <c r="CV9"/>
      <c r="CW9"/>
      <c r="CX9" s="648"/>
    </row>
    <row r="10" spans="1:102" ht="14.25" customHeight="1" collapsed="1">
      <c r="A10" s="7"/>
      <c r="B10" s="35" t="s">
        <v>198</v>
      </c>
      <c r="C10" s="36"/>
      <c r="D10" s="1013"/>
      <c r="E10" s="1011">
        <f t="shared" ref="E10:BC10" si="2">E8/D8-1</f>
        <v>3.4285714285714253E-2</v>
      </c>
      <c r="F10" s="1011">
        <f t="shared" si="2"/>
        <v>0.1270718232044199</v>
      </c>
      <c r="G10" s="1011">
        <f t="shared" si="2"/>
        <v>-3.6764705882352922E-2</v>
      </c>
      <c r="H10" s="1013">
        <f t="shared" si="2"/>
        <v>-4.5801526717557217E-2</v>
      </c>
      <c r="I10" s="1011">
        <f t="shared" si="2"/>
        <v>1.3333333333333419E-2</v>
      </c>
      <c r="J10" s="1011">
        <f t="shared" si="2"/>
        <v>2.6315789473683182E-3</v>
      </c>
      <c r="K10" s="1012">
        <f t="shared" si="2"/>
        <v>2.6246719160105014E-2</v>
      </c>
      <c r="L10" s="1013">
        <f t="shared" si="2"/>
        <v>2.8132992327365658E-2</v>
      </c>
      <c r="M10" s="1011">
        <f t="shared" si="2"/>
        <v>2.2388059701492491E-2</v>
      </c>
      <c r="N10" s="1011">
        <f t="shared" si="2"/>
        <v>6.8126520681265124E-2</v>
      </c>
      <c r="O10" s="1012">
        <f t="shared" si="2"/>
        <v>1.8223234624145768E-2</v>
      </c>
      <c r="P10" s="1011">
        <f t="shared" si="2"/>
        <v>-0.1767337807606264</v>
      </c>
      <c r="Q10" s="1011">
        <f t="shared" si="2"/>
        <v>-0.11684782608695654</v>
      </c>
      <c r="R10" s="1011">
        <f t="shared" si="2"/>
        <v>0.11692307692307691</v>
      </c>
      <c r="S10" s="1011">
        <f t="shared" si="2"/>
        <v>0.17906336088154262</v>
      </c>
      <c r="T10" s="1013">
        <f t="shared" si="2"/>
        <v>6.5420560747663448E-2</v>
      </c>
      <c r="U10" s="1011">
        <f t="shared" si="2"/>
        <v>0.1293859649122806</v>
      </c>
      <c r="V10" s="1011">
        <f t="shared" si="2"/>
        <v>6.7961165048543659E-2</v>
      </c>
      <c r="W10" s="1012">
        <f t="shared" si="2"/>
        <v>4.0000000000000036E-2</v>
      </c>
      <c r="X10" s="1011">
        <f t="shared" si="2"/>
        <v>-3.8461538461538436E-2</v>
      </c>
      <c r="Y10" s="1011">
        <f t="shared" si="2"/>
        <v>1.8181818181818077E-2</v>
      </c>
      <c r="Z10" s="1011">
        <f t="shared" si="2"/>
        <v>7.6785714285714235E-2</v>
      </c>
      <c r="AA10" s="1011">
        <f t="shared" si="2"/>
        <v>3.3167495854063089E-2</v>
      </c>
      <c r="AB10" s="1013">
        <f t="shared" si="2"/>
        <v>-9.6308186195826595E-2</v>
      </c>
      <c r="AC10" s="1011">
        <f t="shared" si="2"/>
        <v>2.4866785079928899E-2</v>
      </c>
      <c r="AD10" s="1011">
        <f t="shared" si="2"/>
        <v>5.0259965337954959E-2</v>
      </c>
      <c r="AE10" s="1012">
        <f t="shared" si="2"/>
        <v>1.980198019801982E-2</v>
      </c>
      <c r="AF10" s="1011">
        <f t="shared" si="2"/>
        <v>-6.7961165048543659E-2</v>
      </c>
      <c r="AG10" s="1011">
        <f t="shared" si="2"/>
        <v>-2.430555555555558E-2</v>
      </c>
      <c r="AH10" s="1011">
        <f t="shared" si="2"/>
        <v>0.14590747330960863</v>
      </c>
      <c r="AI10" s="1011">
        <f t="shared" si="2"/>
        <v>0.14596273291925477</v>
      </c>
      <c r="AJ10" s="1013">
        <f t="shared" si="2"/>
        <v>-3.9295392953929587E-2</v>
      </c>
      <c r="AK10" s="1011">
        <f t="shared" si="2"/>
        <v>-1.1283497884344129E-2</v>
      </c>
      <c r="AL10" s="1011">
        <f t="shared" si="2"/>
        <v>0.81027104136947226</v>
      </c>
      <c r="AM10" s="1011">
        <f t="shared" si="2"/>
        <v>0.25295508274231682</v>
      </c>
      <c r="AN10" s="1013">
        <f t="shared" si="2"/>
        <v>2.8301886792452935E-2</v>
      </c>
      <c r="AO10" s="1011">
        <f t="shared" si="2"/>
        <v>-1.2844036697247652E-2</v>
      </c>
      <c r="AP10" s="1011">
        <f t="shared" si="2"/>
        <v>7.4969021065675268E-2</v>
      </c>
      <c r="AQ10" s="1011">
        <f t="shared" si="2"/>
        <v>6.0518731988472574E-2</v>
      </c>
      <c r="AR10" s="1141">
        <f t="shared" si="2"/>
        <v>-3.7499999999999978E-2</v>
      </c>
      <c r="AS10" s="1142">
        <f t="shared" si="2"/>
        <v>0.99943534726143413</v>
      </c>
      <c r="AT10" s="1142">
        <f t="shared" si="2"/>
        <v>7.0883931092911689E-2</v>
      </c>
      <c r="AU10" s="1142">
        <f t="shared" si="2"/>
        <v>9.0717299578058963E-2</v>
      </c>
      <c r="AV10" s="1227">
        <f t="shared" si="2"/>
        <v>7.2533849129596817E-4</v>
      </c>
      <c r="AW10" s="1228">
        <f t="shared" si="2"/>
        <v>1.2321816863976709E-2</v>
      </c>
      <c r="AX10" s="1307">
        <f t="shared" si="2"/>
        <v>6.5155131264916566E-2</v>
      </c>
      <c r="AY10" s="1365">
        <f t="shared" si="2"/>
        <v>8.5368586152811954E-2</v>
      </c>
      <c r="AZ10" s="1364">
        <f t="shared" si="2"/>
        <v>9.9710982658959502E-2</v>
      </c>
      <c r="BA10" s="1365">
        <f t="shared" si="2"/>
        <v>-5.9312934109254534E-2</v>
      </c>
      <c r="BB10" s="1365">
        <f t="shared" si="2"/>
        <v>4.0156993358663851E-2</v>
      </c>
      <c r="BC10" s="1366">
        <f t="shared" si="2"/>
        <v>7.1081430996174921E-2</v>
      </c>
      <c r="BD10" s="1364">
        <f t="shared" ref="BD10" si="3">BD8/BC8-1</f>
        <v>-4.5055396438782092E-2</v>
      </c>
      <c r="BE10" s="1365">
        <f t="shared" ref="BE10" si="4">BE8/BD8-1</f>
        <v>-2.8699231120882129E-2</v>
      </c>
      <c r="BF10" s="1365">
        <f t="shared" ref="BF10" si="5">BF8/BE8-1</f>
        <v>7.1259384542387227E-2</v>
      </c>
      <c r="BG10" s="1405">
        <f t="shared" ref="BG10" si="6">BG8/BF8-1</f>
        <v>0.11364624246665356</v>
      </c>
      <c r="BH10" s="1364">
        <f t="shared" ref="BH10" si="7">BH8/BG8-1</f>
        <v>-4.4567219350393872E-2</v>
      </c>
      <c r="BI10" s="1365">
        <f t="shared" ref="BI10" si="8">BI8/BH8-1</f>
        <v>-5.3512588723491517E-2</v>
      </c>
      <c r="BJ10" s="1365">
        <f t="shared" ref="BJ10" si="9">BJ8/BI8-1</f>
        <v>4.0596751616971405E-2</v>
      </c>
      <c r="BK10" s="1405">
        <f t="shared" ref="BK10" si="10">BK8/BJ8-1</f>
        <v>6.3483193018314843E-2</v>
      </c>
      <c r="BL10" s="232"/>
      <c r="BM10" s="1015"/>
      <c r="BN10" s="1014"/>
      <c r="BO10" s="1014"/>
      <c r="BP10" s="1014"/>
      <c r="BQ10" s="1014"/>
      <c r="BR10" s="1014"/>
      <c r="BS10" s="1014"/>
      <c r="BT10" s="1016"/>
      <c r="BU10" s="764"/>
      <c r="BV10" s="757"/>
      <c r="BW10" s="757"/>
      <c r="BX10" s="757"/>
      <c r="BY10" s="757"/>
      <c r="BZ10" s="757"/>
      <c r="CA10" s="1423"/>
      <c r="CB10" s="19"/>
      <c r="CC10" s="1015"/>
      <c r="CD10" s="1014"/>
      <c r="CE10" s="1014"/>
      <c r="CF10" s="1014"/>
      <c r="CG10" s="1014"/>
      <c r="CH10" s="1014"/>
      <c r="CI10" s="1169"/>
      <c r="CJ10" s="1168"/>
      <c r="CK10" s="1168"/>
      <c r="CL10" s="1168"/>
      <c r="CM10" s="1168"/>
      <c r="CN10" s="1323"/>
      <c r="CO10" s="1322"/>
      <c r="CP10" s="1427"/>
      <c r="CQ10" s="7"/>
      <c r="CX10" s="7"/>
    </row>
    <row r="11" spans="1:102" ht="14.25" customHeight="1">
      <c r="A11" s="7"/>
      <c r="B11" s="35" t="s">
        <v>356</v>
      </c>
      <c r="C11" s="36"/>
      <c r="D11" s="1013"/>
      <c r="E11" s="1011"/>
      <c r="F11" s="1011"/>
      <c r="G11" s="1011"/>
      <c r="H11" s="1013">
        <f t="shared" ref="H11:BC11" si="11">H8/D8-1</f>
        <v>7.1428571428571397E-2</v>
      </c>
      <c r="I11" s="1011">
        <f t="shared" si="11"/>
        <v>4.9723756906077332E-2</v>
      </c>
      <c r="J11" s="1011">
        <f t="shared" si="11"/>
        <v>-6.6176470588235281E-2</v>
      </c>
      <c r="K11" s="1012">
        <f t="shared" si="11"/>
        <v>-5.0890585241730735E-3</v>
      </c>
      <c r="L11" s="1013">
        <f t="shared" si="11"/>
        <v>7.2000000000000064E-2</v>
      </c>
      <c r="M11" s="1011">
        <f t="shared" si="11"/>
        <v>8.1578947368420973E-2</v>
      </c>
      <c r="N11" s="1011">
        <f t="shared" si="11"/>
        <v>0.15223097112860895</v>
      </c>
      <c r="O11" s="1012">
        <f t="shared" si="11"/>
        <v>0.14322250639386191</v>
      </c>
      <c r="P11" s="1011">
        <f t="shared" si="11"/>
        <v>-8.4577114427860645E-2</v>
      </c>
      <c r="Q11" s="1011">
        <f t="shared" si="11"/>
        <v>-0.20924574209245739</v>
      </c>
      <c r="R11" s="1011">
        <f t="shared" si="11"/>
        <v>-0.17312072892938501</v>
      </c>
      <c r="S11" s="1011">
        <f t="shared" si="11"/>
        <v>-4.2505592841163287E-2</v>
      </c>
      <c r="T11" s="1013">
        <f t="shared" si="11"/>
        <v>0.23913043478260865</v>
      </c>
      <c r="U11" s="1011">
        <f t="shared" si="11"/>
        <v>0.58461538461538454</v>
      </c>
      <c r="V11" s="1011">
        <f t="shared" si="11"/>
        <v>0.51515151515151514</v>
      </c>
      <c r="W11" s="1012">
        <f t="shared" si="11"/>
        <v>0.33644859813084116</v>
      </c>
      <c r="X11" s="1011">
        <f t="shared" si="11"/>
        <v>0.20614035087719307</v>
      </c>
      <c r="Y11" s="1011">
        <f t="shared" si="11"/>
        <v>8.737864077669899E-2</v>
      </c>
      <c r="Z11" s="1011">
        <f t="shared" si="11"/>
        <v>9.6363636363636429E-2</v>
      </c>
      <c r="AA11" s="1011">
        <f t="shared" si="11"/>
        <v>8.9160839160839167E-2</v>
      </c>
      <c r="AB11" s="1013">
        <f t="shared" si="11"/>
        <v>2.3636363636363678E-2</v>
      </c>
      <c r="AC11" s="1011">
        <f t="shared" si="11"/>
        <v>3.0357142857142749E-2</v>
      </c>
      <c r="AD11" s="1011">
        <f t="shared" si="11"/>
        <v>4.9751243781095411E-3</v>
      </c>
      <c r="AE11" s="1012">
        <f t="shared" si="11"/>
        <v>-8.0256821829856051E-3</v>
      </c>
      <c r="AF11" s="1011">
        <f t="shared" si="11"/>
        <v>2.3090586145648295E-2</v>
      </c>
      <c r="AG11" s="1011">
        <f t="shared" si="11"/>
        <v>-2.5996533795493937E-2</v>
      </c>
      <c r="AH11" s="1011">
        <f t="shared" si="11"/>
        <v>6.2706270627062688E-2</v>
      </c>
      <c r="AI11" s="1011">
        <f t="shared" si="11"/>
        <v>0.19417475728155331</v>
      </c>
      <c r="AJ11" s="1013">
        <f t="shared" si="11"/>
        <v>0.23090277777777768</v>
      </c>
      <c r="AK11" s="1011">
        <f t="shared" si="11"/>
        <v>0.24733096085409256</v>
      </c>
      <c r="AL11" s="1011">
        <f t="shared" si="11"/>
        <v>0.97049689440993792</v>
      </c>
      <c r="AM11" s="1011">
        <f t="shared" si="11"/>
        <v>1.154471544715447</v>
      </c>
      <c r="AN11" s="1013">
        <f t="shared" si="11"/>
        <v>1.3060648801128352</v>
      </c>
      <c r="AO11" s="1011">
        <f t="shared" si="11"/>
        <v>1.3024251069900141</v>
      </c>
      <c r="AP11" s="1011">
        <f t="shared" si="11"/>
        <v>0.36721828211189922</v>
      </c>
      <c r="AQ11" s="1011">
        <f t="shared" si="11"/>
        <v>0.15723270440251569</v>
      </c>
      <c r="AR11" s="1141">
        <f t="shared" si="11"/>
        <v>8.3180428134556506E-2</v>
      </c>
      <c r="AS11" s="1142">
        <f t="shared" si="11"/>
        <v>1.1939281288723667</v>
      </c>
      <c r="AT11" s="1142">
        <f t="shared" si="11"/>
        <v>1.1855907780979829</v>
      </c>
      <c r="AU11" s="1142">
        <f t="shared" si="11"/>
        <v>1.2478260869565219</v>
      </c>
      <c r="AV11" s="1227">
        <f t="shared" si="11"/>
        <v>1.3370976849237719</v>
      </c>
      <c r="AW11" s="1228">
        <f t="shared" si="11"/>
        <v>0.18328155888167186</v>
      </c>
      <c r="AX11" s="1307">
        <f t="shared" si="11"/>
        <v>0.17695147679324896</v>
      </c>
      <c r="AY11" s="1365">
        <f t="shared" si="11"/>
        <v>0.17117988394584138</v>
      </c>
      <c r="AZ11" s="1364">
        <f t="shared" si="11"/>
        <v>0.28702585165498906</v>
      </c>
      <c r="BA11" s="1365">
        <f t="shared" si="11"/>
        <v>0.19595226730310289</v>
      </c>
      <c r="BB11" s="1365">
        <f t="shared" si="11"/>
        <v>0.16788444992157725</v>
      </c>
      <c r="BC11" s="1366">
        <f t="shared" si="11"/>
        <v>0.1525111043559042</v>
      </c>
      <c r="BD11" s="1364">
        <f t="shared" ref="BD11" si="12">BD8/AZ8-1</f>
        <v>7.9409681621922523E-4</v>
      </c>
      <c r="BE11" s="1365">
        <f t="shared" ref="BE11" si="13">BE8/BA8-1</f>
        <v>3.3363921940195773E-2</v>
      </c>
      <c r="BF11" s="1365">
        <f t="shared" ref="BF11" si="14">BF8/BB8-1</f>
        <v>6.4263189205178817E-2</v>
      </c>
      <c r="BG11" s="1405">
        <f t="shared" ref="BG11" si="15">BG8/BC8-1</f>
        <v>0.1065570435215184</v>
      </c>
      <c r="BH11" s="1364">
        <f t="shared" ref="BH11" si="16">BH8/BD8-1</f>
        <v>0.10712272638273079</v>
      </c>
      <c r="BI11" s="1365">
        <f t="shared" ref="BI11" si="17">BI8/BE8-1</f>
        <v>7.8839589995005621E-2</v>
      </c>
      <c r="BJ11" s="1365">
        <f t="shared" ref="BJ11" si="18">BJ8/BF8-1</f>
        <v>4.7959989021844507E-2</v>
      </c>
      <c r="BK11" s="1405">
        <f t="shared" ref="BK11" si="19">BK8/BG8-1</f>
        <v>7.5570929227186667E-4</v>
      </c>
      <c r="BL11" s="232"/>
      <c r="BM11" s="1013"/>
      <c r="BN11" s="1011">
        <f>BN8/BM8-1</f>
        <v>9.2531394580304127E-3</v>
      </c>
      <c r="BO11" s="1011">
        <f t="shared" ref="BO11:CA11" si="20">BO8/BN8-1</f>
        <v>0.11263916175507527</v>
      </c>
      <c r="BP11" s="1011">
        <f t="shared" si="20"/>
        <v>-0.12654502648616839</v>
      </c>
      <c r="BQ11" s="1011">
        <f t="shared" si="20"/>
        <v>0.41037735849056611</v>
      </c>
      <c r="BR11" s="1011">
        <f t="shared" si="20"/>
        <v>0.11610129001433345</v>
      </c>
      <c r="BS11" s="1011">
        <f t="shared" si="20"/>
        <v>1.1986301369863117E-2</v>
      </c>
      <c r="BT11" s="1012">
        <f t="shared" si="20"/>
        <v>6.5989847715736127E-2</v>
      </c>
      <c r="BU11" s="1364">
        <f t="shared" si="20"/>
        <v>0.69404761904761902</v>
      </c>
      <c r="BV11" s="1365">
        <f t="shared" si="20"/>
        <v>0.59850081986413683</v>
      </c>
      <c r="BW11" s="1365">
        <f t="shared" si="20"/>
        <v>0.94021101992966005</v>
      </c>
      <c r="BX11" s="1365">
        <f t="shared" si="20"/>
        <v>0.33202416918429001</v>
      </c>
      <c r="BY11" s="1365">
        <f t="shared" si="20"/>
        <v>0.19829168119188023</v>
      </c>
      <c r="BZ11" s="1365">
        <f t="shared" si="20"/>
        <v>5.2110638931929021E-2</v>
      </c>
      <c r="CA11" s="1405">
        <f t="shared" si="20"/>
        <v>5.6222006562373084E-2</v>
      </c>
      <c r="CB11" s="19"/>
      <c r="CC11" s="1013"/>
      <c r="CD11" s="1011">
        <f>CD8/CC8-1</f>
        <v>1.040312093628093E-2</v>
      </c>
      <c r="CE11" s="1011">
        <f t="shared" ref="CE11:CJ11" si="21">CE8/CD8-1</f>
        <v>7.1428571428571397E-2</v>
      </c>
      <c r="CF11" s="1011">
        <f t="shared" si="21"/>
        <v>-5.585585585585584E-2</v>
      </c>
      <c r="CG11" s="1011">
        <f t="shared" si="21"/>
        <v>0.39122137404580148</v>
      </c>
      <c r="CH11" s="1011">
        <f t="shared" si="21"/>
        <v>7.4074074074074181E-2</v>
      </c>
      <c r="CI11" s="1141">
        <f t="shared" si="21"/>
        <v>1.1919965942954525E-2</v>
      </c>
      <c r="CJ11" s="1142">
        <f t="shared" si="21"/>
        <v>0.11611274716028608</v>
      </c>
      <c r="CK11" s="1142">
        <f t="shared" ref="CK11:CP11" si="22">CK8/CJ8-1</f>
        <v>0.95816057293629853</v>
      </c>
      <c r="CL11" s="1142">
        <f t="shared" si="22"/>
        <v>0.33974975938402308</v>
      </c>
      <c r="CM11" s="1142">
        <f t="shared" si="22"/>
        <v>1.2425287356321837</v>
      </c>
      <c r="CN11" s="1364">
        <f t="shared" si="22"/>
        <v>0.20604818042029738</v>
      </c>
      <c r="CO11" s="1365">
        <f t="shared" si="22"/>
        <v>0.1228911093943903</v>
      </c>
      <c r="CP11" s="1405">
        <f t="shared" si="22"/>
        <v>7.8918474329632282E-2</v>
      </c>
      <c r="CQ11" s="7"/>
      <c r="CX11" s="7"/>
    </row>
    <row r="12" spans="1:102" ht="14.25" customHeight="1">
      <c r="A12" s="7"/>
      <c r="B12" s="35"/>
      <c r="C12" s="36"/>
      <c r="D12" s="1013"/>
      <c r="E12" s="1011"/>
      <c r="F12" s="1011"/>
      <c r="G12" s="1011"/>
      <c r="H12" s="1013"/>
      <c r="I12" s="1011"/>
      <c r="J12" s="1011"/>
      <c r="K12" s="1012"/>
      <c r="L12" s="1013"/>
      <c r="M12" s="1011"/>
      <c r="N12" s="1011"/>
      <c r="O12" s="1012"/>
      <c r="P12" s="1011"/>
      <c r="Q12" s="1011"/>
      <c r="R12" s="1011"/>
      <c r="S12" s="1011"/>
      <c r="T12" s="1013"/>
      <c r="U12" s="1011"/>
      <c r="V12" s="1011"/>
      <c r="W12" s="1012"/>
      <c r="X12" s="1011"/>
      <c r="Y12" s="1011"/>
      <c r="Z12" s="1011"/>
      <c r="AA12" s="1011"/>
      <c r="AB12" s="1013"/>
      <c r="AC12" s="1011"/>
      <c r="AD12" s="1011"/>
      <c r="AE12" s="1012"/>
      <c r="AF12" s="1011"/>
      <c r="AG12" s="1011"/>
      <c r="AH12" s="1011"/>
      <c r="AI12" s="1011"/>
      <c r="AJ12" s="1013"/>
      <c r="AK12" s="1011"/>
      <c r="AL12" s="1011"/>
      <c r="AM12" s="1011"/>
      <c r="AN12" s="1013"/>
      <c r="AO12" s="1011"/>
      <c r="AP12" s="1011"/>
      <c r="AQ12" s="1011"/>
      <c r="AR12" s="1141"/>
      <c r="AS12" s="1142"/>
      <c r="AT12" s="1142"/>
      <c r="AU12" s="1142"/>
      <c r="AV12" s="1227"/>
      <c r="AW12" s="1228"/>
      <c r="AX12" s="1307"/>
      <c r="AY12" s="1365"/>
      <c r="AZ12" s="1364"/>
      <c r="BA12" s="1365"/>
      <c r="BB12" s="1365"/>
      <c r="BC12" s="1366"/>
      <c r="BD12" s="1364"/>
      <c r="BE12" s="1365"/>
      <c r="BF12" s="1365"/>
      <c r="BG12" s="1405"/>
      <c r="BH12" s="1364"/>
      <c r="BI12" s="1365"/>
      <c r="BJ12" s="1365"/>
      <c r="BK12" s="1405"/>
      <c r="BL12" s="232"/>
      <c r="BM12" s="1013"/>
      <c r="BN12" s="1011"/>
      <c r="BO12" s="1011"/>
      <c r="BP12" s="1011"/>
      <c r="BQ12" s="1011"/>
      <c r="BR12" s="1011"/>
      <c r="BS12" s="1011"/>
      <c r="BT12" s="1012"/>
      <c r="BU12" s="1364"/>
      <c r="BV12" s="1365"/>
      <c r="BW12" s="1365"/>
      <c r="BX12" s="1365"/>
      <c r="BY12" s="1365"/>
      <c r="BZ12" s="1365"/>
      <c r="CA12" s="1405"/>
      <c r="CB12" s="19"/>
      <c r="CC12" s="1013"/>
      <c r="CD12" s="1011"/>
      <c r="CE12" s="1011"/>
      <c r="CF12" s="1011"/>
      <c r="CG12" s="1011"/>
      <c r="CH12" s="1011"/>
      <c r="CI12" s="1141"/>
      <c r="CJ12" s="1142"/>
      <c r="CK12" s="1142"/>
      <c r="CL12" s="1142"/>
      <c r="CM12" s="1142"/>
      <c r="CN12" s="1364"/>
      <c r="CO12" s="1365"/>
      <c r="CP12" s="1405"/>
      <c r="CQ12" s="7"/>
      <c r="CX12" s="7"/>
    </row>
    <row r="13" spans="1:102" s="533" customFormat="1" ht="14.25" customHeight="1">
      <c r="A13" s="525"/>
      <c r="B13" s="764" t="s">
        <v>118</v>
      </c>
      <c r="C13" s="789"/>
      <c r="D13" s="526">
        <v>282</v>
      </c>
      <c r="E13" s="527">
        <v>238</v>
      </c>
      <c r="F13" s="527">
        <v>264</v>
      </c>
      <c r="G13" s="527">
        <v>286</v>
      </c>
      <c r="H13" s="526">
        <v>264</v>
      </c>
      <c r="I13" s="527">
        <v>245</v>
      </c>
      <c r="J13" s="527">
        <v>394</v>
      </c>
      <c r="K13" s="528">
        <v>262</v>
      </c>
      <c r="L13" s="526">
        <v>245</v>
      </c>
      <c r="M13" s="527">
        <v>252</v>
      </c>
      <c r="N13" s="527">
        <v>268</v>
      </c>
      <c r="O13" s="528">
        <v>279</v>
      </c>
      <c r="P13" s="527">
        <v>225</v>
      </c>
      <c r="Q13" s="527">
        <v>227</v>
      </c>
      <c r="R13" s="527">
        <v>222</v>
      </c>
      <c r="S13" s="527">
        <v>250</v>
      </c>
      <c r="T13" s="526">
        <v>262</v>
      </c>
      <c r="U13" s="527">
        <v>282</v>
      </c>
      <c r="V13" s="527">
        <v>287</v>
      </c>
      <c r="W13" s="528">
        <v>296</v>
      </c>
      <c r="X13" s="527">
        <v>279</v>
      </c>
      <c r="Y13" s="527">
        <v>285</v>
      </c>
      <c r="Z13" s="527">
        <f>292+14</f>
        <v>306</v>
      </c>
      <c r="AA13" s="527">
        <f>305+14</f>
        <v>319</v>
      </c>
      <c r="AB13" s="526">
        <v>293</v>
      </c>
      <c r="AC13" s="527">
        <v>299</v>
      </c>
      <c r="AD13" s="527">
        <v>311</v>
      </c>
      <c r="AE13" s="528">
        <v>319</v>
      </c>
      <c r="AF13" s="527">
        <v>300</v>
      </c>
      <c r="AG13" s="527">
        <v>290</v>
      </c>
      <c r="AH13" s="527">
        <f>325+14+1</f>
        <v>340</v>
      </c>
      <c r="AI13" s="527">
        <v>393</v>
      </c>
      <c r="AJ13" s="526">
        <v>370</v>
      </c>
      <c r="AK13" s="527">
        <v>344</v>
      </c>
      <c r="AL13" s="527">
        <v>876</v>
      </c>
      <c r="AM13" s="527">
        <v>802</v>
      </c>
      <c r="AN13" s="526">
        <v>809</v>
      </c>
      <c r="AO13" s="527">
        <v>768</v>
      </c>
      <c r="AP13" s="527">
        <v>851</v>
      </c>
      <c r="AQ13" s="527">
        <v>843</v>
      </c>
      <c r="AR13" s="526">
        <v>830</v>
      </c>
      <c r="AS13" s="527">
        <v>2495</v>
      </c>
      <c r="AT13" s="527">
        <v>2010</v>
      </c>
      <c r="AU13" s="527">
        <v>1965</v>
      </c>
      <c r="AV13" s="526">
        <v>2138</v>
      </c>
      <c r="AW13" s="527">
        <v>2214</v>
      </c>
      <c r="AX13" s="527">
        <v>2314</v>
      </c>
      <c r="AY13" s="527">
        <v>2461</v>
      </c>
      <c r="AZ13" s="526">
        <v>2699</v>
      </c>
      <c r="BA13" s="530">
        <f t="shared" ref="BA13:BC13" si="23">BA18+BA17</f>
        <v>1722.776890000001</v>
      </c>
      <c r="BB13" s="530">
        <f t="shared" si="23"/>
        <v>1840.3031874999997</v>
      </c>
      <c r="BC13" s="531">
        <f t="shared" si="23"/>
        <v>2005.5572900389993</v>
      </c>
      <c r="BD13" s="532">
        <f t="shared" ref="BD13:BG13" si="24">BD18+BD17</f>
        <v>1889.5457150183297</v>
      </c>
      <c r="BE13" s="530">
        <f t="shared" si="24"/>
        <v>1816.4782511502976</v>
      </c>
      <c r="BF13" s="530">
        <f t="shared" si="24"/>
        <v>1947.6485754299783</v>
      </c>
      <c r="BG13" s="1406">
        <f t="shared" si="24"/>
        <v>2185.7722868814726</v>
      </c>
      <c r="BH13" s="532">
        <f t="shared" ref="BH13:BK13" si="25">BH18+BH17</f>
        <v>2076.9086802375964</v>
      </c>
      <c r="BI13" s="530">
        <f t="shared" si="25"/>
        <v>1963.0467904704888</v>
      </c>
      <c r="BJ13" s="530">
        <f t="shared" si="25"/>
        <v>2037.4468011680019</v>
      </c>
      <c r="BK13" s="1406">
        <f t="shared" si="25"/>
        <v>2172.6635758572179</v>
      </c>
      <c r="BL13" s="796"/>
      <c r="BM13" s="532">
        <f>SUM(D13:G13)</f>
        <v>1070</v>
      </c>
      <c r="BN13" s="530">
        <f>SUM(H13:K13)</f>
        <v>1165</v>
      </c>
      <c r="BO13" s="530">
        <f>SUM(L13:O13)</f>
        <v>1044</v>
      </c>
      <c r="BP13" s="530">
        <f>SUM(P13:S13)</f>
        <v>924</v>
      </c>
      <c r="BQ13" s="530">
        <f>SUM(T13:W13)</f>
        <v>1127</v>
      </c>
      <c r="BR13" s="530">
        <f>SUM(X13:AA13)</f>
        <v>1189</v>
      </c>
      <c r="BS13" s="530">
        <f>SUM(AB13:AE13)</f>
        <v>1222</v>
      </c>
      <c r="BT13" s="531">
        <f>SUM(AF13:AI13)</f>
        <v>1323</v>
      </c>
      <c r="BU13" s="532">
        <f>SUM(AJ13:AM13)</f>
        <v>2392</v>
      </c>
      <c r="BV13" s="530">
        <f>SUM(AN13:AQ13)</f>
        <v>3271</v>
      </c>
      <c r="BW13" s="530">
        <f>SUM(AR13:AU13)</f>
        <v>7300</v>
      </c>
      <c r="BX13" s="530">
        <f>SUM(AV13:AY13)</f>
        <v>9127</v>
      </c>
      <c r="BY13" s="530">
        <f>SUM(AZ13:BC13)</f>
        <v>8267.6373675390005</v>
      </c>
      <c r="BZ13" s="530">
        <f>SUM(BD13:BG13)</f>
        <v>7839.4448284800783</v>
      </c>
      <c r="CA13" s="1406">
        <f>SUM(BH13:BK13)</f>
        <v>8250.0658477333054</v>
      </c>
      <c r="CB13" s="529"/>
      <c r="CC13" s="532">
        <f>SUM(E13:H13)</f>
        <v>1052</v>
      </c>
      <c r="CD13" s="530">
        <f>SUM(I13:L13)</f>
        <v>1146</v>
      </c>
      <c r="CE13" s="530">
        <f>SUM(M13:P13)</f>
        <v>1024</v>
      </c>
      <c r="CF13" s="530">
        <f>SUM(Q13:T13)</f>
        <v>961</v>
      </c>
      <c r="CG13" s="530">
        <f>SUM(U13:X13)</f>
        <v>1144</v>
      </c>
      <c r="CH13" s="530">
        <f>SUM(Y13:AB13)</f>
        <v>1203</v>
      </c>
      <c r="CI13" s="532">
        <f>SUM(AC13:AF13)</f>
        <v>1229</v>
      </c>
      <c r="CJ13" s="530">
        <f>SUM(AG13:AJ13)</f>
        <v>1393</v>
      </c>
      <c r="CK13" s="530">
        <f>SUM(AK13:AN13)</f>
        <v>2831</v>
      </c>
      <c r="CL13" s="530">
        <f>SUM(AO13:AR13)</f>
        <v>3292</v>
      </c>
      <c r="CM13" s="530">
        <f>SUM(AS13:AV13)</f>
        <v>8608</v>
      </c>
      <c r="CN13" s="532">
        <f>SUM(AW13:AZ13)</f>
        <v>9688</v>
      </c>
      <c r="CO13" s="530">
        <f>SUM(BA13:BD13)</f>
        <v>7458.1830825573306</v>
      </c>
      <c r="CP13" s="1406">
        <f>SUM(BE13:BH13)</f>
        <v>8026.807793699345</v>
      </c>
      <c r="CQ13" s="525"/>
      <c r="CR13"/>
      <c r="CS13"/>
      <c r="CT13"/>
      <c r="CU13"/>
      <c r="CV13"/>
      <c r="CW13"/>
      <c r="CX13" s="525"/>
    </row>
    <row r="14" spans="1:102" s="533" customFormat="1" ht="12" customHeight="1">
      <c r="A14" s="525"/>
      <c r="B14" s="1043"/>
      <c r="C14" s="789"/>
      <c r="D14" s="526"/>
      <c r="E14" s="527"/>
      <c r="F14" s="527"/>
      <c r="G14" s="527"/>
      <c r="H14" s="526"/>
      <c r="I14" s="527"/>
      <c r="J14" s="527"/>
      <c r="K14" s="528"/>
      <c r="L14" s="526"/>
      <c r="M14" s="527"/>
      <c r="N14" s="527"/>
      <c r="O14" s="528"/>
      <c r="P14" s="527"/>
      <c r="Q14" s="527"/>
      <c r="R14" s="527"/>
      <c r="S14" s="527"/>
      <c r="T14" s="526"/>
      <c r="U14" s="527"/>
      <c r="V14" s="527"/>
      <c r="W14" s="528"/>
      <c r="X14" s="527"/>
      <c r="Y14" s="527"/>
      <c r="Z14" s="527"/>
      <c r="AA14" s="527"/>
      <c r="AB14" s="526"/>
      <c r="AC14" s="527"/>
      <c r="AD14" s="527"/>
      <c r="AE14" s="528"/>
      <c r="AF14" s="527"/>
      <c r="AG14" s="527"/>
      <c r="AH14" s="527"/>
      <c r="AI14" s="527"/>
      <c r="AJ14" s="526"/>
      <c r="AK14" s="527"/>
      <c r="AL14" s="527"/>
      <c r="AM14" s="527"/>
      <c r="AN14" s="526"/>
      <c r="AO14" s="527"/>
      <c r="AP14" s="527"/>
      <c r="AQ14" s="527"/>
      <c r="AR14" s="526"/>
      <c r="AS14" s="527"/>
      <c r="AT14" s="527"/>
      <c r="AU14" s="527"/>
      <c r="AV14" s="526"/>
      <c r="AW14" s="527"/>
      <c r="AX14" s="1328"/>
      <c r="AY14" s="527"/>
      <c r="AZ14" s="526"/>
      <c r="BA14" s="1368"/>
      <c r="BB14" s="1368"/>
      <c r="BC14" s="1373"/>
      <c r="BD14" s="1375"/>
      <c r="BE14" s="1368"/>
      <c r="BF14" s="1368"/>
      <c r="BG14" s="1407"/>
      <c r="BH14" s="1375"/>
      <c r="BI14" s="1368"/>
      <c r="BJ14" s="1368"/>
      <c r="BK14" s="1407"/>
      <c r="BL14" s="796"/>
      <c r="BM14" s="532"/>
      <c r="BN14" s="530"/>
      <c r="BO14" s="530"/>
      <c r="BP14" s="530"/>
      <c r="BQ14" s="530"/>
      <c r="BR14" s="530"/>
      <c r="BS14" s="530"/>
      <c r="BT14" s="531"/>
      <c r="BU14" s="532"/>
      <c r="BV14" s="530"/>
      <c r="BW14" s="530"/>
      <c r="BX14" s="530"/>
      <c r="BY14" s="530"/>
      <c r="BZ14" s="530"/>
      <c r="CA14" s="1406"/>
      <c r="CB14" s="529"/>
      <c r="CC14" s="532"/>
      <c r="CD14" s="530"/>
      <c r="CE14" s="530"/>
      <c r="CF14" s="530"/>
      <c r="CG14" s="530"/>
      <c r="CH14" s="530"/>
      <c r="CI14" s="532"/>
      <c r="CJ14" s="530"/>
      <c r="CK14" s="530"/>
      <c r="CL14" s="530"/>
      <c r="CM14" s="530"/>
      <c r="CN14" s="532"/>
      <c r="CO14" s="530"/>
      <c r="CP14" s="1406"/>
      <c r="CQ14" s="525"/>
      <c r="CR14"/>
      <c r="CS14"/>
      <c r="CT14"/>
      <c r="CU14"/>
      <c r="CV14"/>
      <c r="CW14"/>
      <c r="CX14" s="525"/>
    </row>
    <row r="15" spans="1:102" s="533" customFormat="1" ht="12" customHeight="1">
      <c r="A15" s="525"/>
      <c r="B15" s="1043" t="s">
        <v>347</v>
      </c>
      <c r="C15" s="789"/>
      <c r="D15" s="526"/>
      <c r="E15" s="527"/>
      <c r="F15" s="527"/>
      <c r="G15" s="527"/>
      <c r="H15" s="526"/>
      <c r="I15" s="527"/>
      <c r="J15" s="527"/>
      <c r="K15" s="528"/>
      <c r="L15" s="526"/>
      <c r="M15" s="527"/>
      <c r="N15" s="527"/>
      <c r="O15" s="528"/>
      <c r="P15" s="527"/>
      <c r="Q15" s="527"/>
      <c r="R15" s="527"/>
      <c r="S15" s="527"/>
      <c r="T15" s="526"/>
      <c r="U15" s="527"/>
      <c r="V15" s="527"/>
      <c r="W15" s="528"/>
      <c r="X15" s="527"/>
      <c r="Y15" s="527"/>
      <c r="Z15" s="527"/>
      <c r="AA15" s="527"/>
      <c r="AB15" s="526"/>
      <c r="AC15" s="527"/>
      <c r="AD15" s="527"/>
      <c r="AE15" s="528"/>
      <c r="AF15" s="527"/>
      <c r="AG15" s="527"/>
      <c r="AH15" s="527"/>
      <c r="AI15" s="527"/>
      <c r="AJ15" s="526"/>
      <c r="AK15" s="527"/>
      <c r="AL15" s="527"/>
      <c r="AM15" s="527"/>
      <c r="AN15" s="526"/>
      <c r="AO15" s="527"/>
      <c r="AP15" s="527"/>
      <c r="AQ15" s="527"/>
      <c r="AR15" s="526"/>
      <c r="AS15" s="1167">
        <v>20</v>
      </c>
      <c r="AT15" s="1277">
        <v>20</v>
      </c>
      <c r="AU15" s="1198">
        <v>20</v>
      </c>
      <c r="AV15" s="526"/>
      <c r="AW15" s="1277">
        <v>40</v>
      </c>
      <c r="AX15" s="1335">
        <v>50</v>
      </c>
      <c r="AY15" s="1335">
        <v>20</v>
      </c>
      <c r="AZ15" s="1341">
        <v>50</v>
      </c>
      <c r="BA15" s="1335">
        <v>50</v>
      </c>
      <c r="BB15" s="1335">
        <v>50</v>
      </c>
      <c r="BC15" s="1339">
        <v>50</v>
      </c>
      <c r="BD15" s="1341">
        <v>50</v>
      </c>
      <c r="BE15" s="1335">
        <v>50</v>
      </c>
      <c r="BF15" s="1335">
        <v>50</v>
      </c>
      <c r="BG15" s="1408">
        <v>50</v>
      </c>
      <c r="BH15" s="1341">
        <v>50</v>
      </c>
      <c r="BI15" s="1335">
        <v>50</v>
      </c>
      <c r="BJ15" s="1335">
        <v>50</v>
      </c>
      <c r="BK15" s="1408">
        <v>50</v>
      </c>
      <c r="BL15" s="796"/>
      <c r="BM15" s="532"/>
      <c r="BN15" s="530"/>
      <c r="BO15" s="530"/>
      <c r="BP15" s="530"/>
      <c r="BQ15" s="530"/>
      <c r="BR15" s="530"/>
      <c r="BS15" s="530"/>
      <c r="BT15" s="531"/>
      <c r="BU15" s="532"/>
      <c r="BV15" s="530"/>
      <c r="BW15" s="991">
        <f>SUM(AR15:AU15)</f>
        <v>60</v>
      </c>
      <c r="BX15" s="991">
        <f>SUM(AV15:AY15)</f>
        <v>110</v>
      </c>
      <c r="BY15" s="991">
        <f>SUM(AZ15:BC15)</f>
        <v>200</v>
      </c>
      <c r="BZ15" s="991">
        <f>SUM(BD15:BG15)</f>
        <v>200</v>
      </c>
      <c r="CA15" s="1481">
        <f>SUM(BH15:BK15)</f>
        <v>200</v>
      </c>
      <c r="CB15" s="529"/>
      <c r="CC15" s="532"/>
      <c r="CD15" s="530"/>
      <c r="CE15" s="530"/>
      <c r="CF15" s="530"/>
      <c r="CG15" s="530"/>
      <c r="CH15" s="530"/>
      <c r="CI15" s="532"/>
      <c r="CJ15" s="530"/>
      <c r="CK15" s="530"/>
      <c r="CL15" s="32"/>
      <c r="CM15" s="25">
        <f>SUM(AS15:AV15)</f>
        <v>60</v>
      </c>
      <c r="CN15" s="26">
        <f>SUM(AW15:AZ15)</f>
        <v>160</v>
      </c>
      <c r="CO15" s="25">
        <f>SUM(BA15:BD15)</f>
        <v>200</v>
      </c>
      <c r="CP15" s="1444">
        <f>SUM(BE15:BH15)</f>
        <v>200</v>
      </c>
      <c r="CQ15" s="525"/>
      <c r="CR15"/>
      <c r="CS15"/>
      <c r="CT15"/>
      <c r="CU15"/>
      <c r="CV15"/>
      <c r="CW15"/>
      <c r="CX15" s="525"/>
    </row>
    <row r="16" spans="1:102" s="533" customFormat="1" ht="12" customHeight="1">
      <c r="A16" s="525"/>
      <c r="B16" s="1043"/>
      <c r="C16" s="789"/>
      <c r="D16" s="526"/>
      <c r="E16" s="527"/>
      <c r="F16" s="527"/>
      <c r="G16" s="527"/>
      <c r="H16" s="526"/>
      <c r="I16" s="527"/>
      <c r="J16" s="527"/>
      <c r="K16" s="528"/>
      <c r="L16" s="526"/>
      <c r="M16" s="527"/>
      <c r="N16" s="527"/>
      <c r="O16" s="528"/>
      <c r="P16" s="527"/>
      <c r="Q16" s="527"/>
      <c r="R16" s="527"/>
      <c r="S16" s="527"/>
      <c r="T16" s="526"/>
      <c r="U16" s="527"/>
      <c r="V16" s="527"/>
      <c r="W16" s="528"/>
      <c r="X16" s="527"/>
      <c r="Y16" s="527"/>
      <c r="Z16" s="527"/>
      <c r="AA16" s="527"/>
      <c r="AB16" s="526"/>
      <c r="AC16" s="527"/>
      <c r="AD16" s="527"/>
      <c r="AE16" s="528"/>
      <c r="AF16" s="527"/>
      <c r="AG16" s="527"/>
      <c r="AH16" s="527"/>
      <c r="AI16" s="527"/>
      <c r="AJ16" s="526"/>
      <c r="AK16" s="527"/>
      <c r="AL16" s="527"/>
      <c r="AM16" s="527"/>
      <c r="AN16" s="526"/>
      <c r="AO16" s="527"/>
      <c r="AP16" s="527"/>
      <c r="AQ16" s="527"/>
      <c r="AR16" s="526"/>
      <c r="AS16" s="527"/>
      <c r="AT16" s="527"/>
      <c r="AU16" s="527"/>
      <c r="AV16" s="526"/>
      <c r="AW16" s="527"/>
      <c r="AX16" s="1340"/>
      <c r="AY16" s="527"/>
      <c r="AZ16" s="526"/>
      <c r="BA16" s="1340"/>
      <c r="BB16" s="1340"/>
      <c r="BC16" s="1338"/>
      <c r="BD16" s="1337"/>
      <c r="BE16" s="1340"/>
      <c r="BF16" s="1340"/>
      <c r="BG16" s="1409"/>
      <c r="BH16" s="1337"/>
      <c r="BI16" s="1340"/>
      <c r="BJ16" s="1340"/>
      <c r="BK16" s="1409"/>
      <c r="BL16" s="796"/>
      <c r="BM16" s="532"/>
      <c r="BN16" s="530"/>
      <c r="BO16" s="530"/>
      <c r="BP16" s="530"/>
      <c r="BQ16" s="530"/>
      <c r="BR16" s="530"/>
      <c r="BS16" s="530"/>
      <c r="BT16" s="531"/>
      <c r="BU16" s="532"/>
      <c r="BV16" s="530"/>
      <c r="BW16" s="530"/>
      <c r="BX16" s="530"/>
      <c r="BY16" s="530"/>
      <c r="BZ16" s="530"/>
      <c r="CA16" s="1406"/>
      <c r="CB16" s="529"/>
      <c r="CC16" s="532"/>
      <c r="CD16" s="530"/>
      <c r="CE16" s="530"/>
      <c r="CF16" s="530"/>
      <c r="CG16" s="530"/>
      <c r="CH16" s="530"/>
      <c r="CI16" s="532"/>
      <c r="CJ16" s="530"/>
      <c r="CK16" s="530"/>
      <c r="CL16" s="530"/>
      <c r="CM16" s="530"/>
      <c r="CN16" s="532"/>
      <c r="CO16" s="530"/>
      <c r="CP16" s="1406"/>
      <c r="CQ16" s="525"/>
      <c r="CR16"/>
      <c r="CS16"/>
      <c r="CT16"/>
      <c r="CU16"/>
      <c r="CV16"/>
      <c r="CW16"/>
      <c r="CX16" s="525"/>
    </row>
    <row r="17" spans="1:102" ht="14.25" customHeight="1">
      <c r="A17" s="7"/>
      <c r="B17" s="27" t="s">
        <v>230</v>
      </c>
      <c r="C17" s="28"/>
      <c r="D17" s="29">
        <v>9</v>
      </c>
      <c r="E17" s="30">
        <v>16</v>
      </c>
      <c r="F17" s="30">
        <f>15+1</f>
        <v>16</v>
      </c>
      <c r="G17" s="30">
        <f>15+1</f>
        <v>16</v>
      </c>
      <c r="H17" s="29">
        <f>15+14</f>
        <v>29</v>
      </c>
      <c r="I17" s="30">
        <f>15+1</f>
        <v>16</v>
      </c>
      <c r="J17" s="30">
        <f>15+140+8</f>
        <v>163</v>
      </c>
      <c r="K17" s="31">
        <f>15+6</f>
        <v>21</v>
      </c>
      <c r="L17" s="29">
        <f>14+1</f>
        <v>15</v>
      </c>
      <c r="M17" s="30">
        <f>14+1</f>
        <v>15</v>
      </c>
      <c r="N17" s="30">
        <f>14+3</f>
        <v>17</v>
      </c>
      <c r="O17" s="31">
        <f>15+1</f>
        <v>16</v>
      </c>
      <c r="P17" s="30">
        <f>15+6</f>
        <v>21</v>
      </c>
      <c r="Q17" s="30">
        <f>14+3</f>
        <v>17</v>
      </c>
      <c r="R17" s="30">
        <f>15+2</f>
        <v>17</v>
      </c>
      <c r="S17" s="30">
        <v>14</v>
      </c>
      <c r="T17" s="29">
        <v>15</v>
      </c>
      <c r="U17" s="30">
        <v>14</v>
      </c>
      <c r="V17" s="30">
        <f>15+1</f>
        <v>16</v>
      </c>
      <c r="W17" s="31">
        <v>14</v>
      </c>
      <c r="X17" s="30">
        <v>14</v>
      </c>
      <c r="Y17" s="30">
        <v>14</v>
      </c>
      <c r="Z17" s="30">
        <v>14</v>
      </c>
      <c r="AA17" s="30">
        <v>14</v>
      </c>
      <c r="AB17" s="29">
        <v>14</v>
      </c>
      <c r="AC17" s="30">
        <f>14+1</f>
        <v>15</v>
      </c>
      <c r="AD17" s="30">
        <v>14</v>
      </c>
      <c r="AE17" s="31">
        <f>1+14</f>
        <v>15</v>
      </c>
      <c r="AF17" s="30">
        <v>14</v>
      </c>
      <c r="AG17" s="30">
        <v>14</v>
      </c>
      <c r="AH17" s="30">
        <f>14+1+6</f>
        <v>21</v>
      </c>
      <c r="AI17" s="30">
        <f>19+6</f>
        <v>25</v>
      </c>
      <c r="AJ17" s="29">
        <f>18+5+1</f>
        <v>24</v>
      </c>
      <c r="AK17" s="30">
        <f>18+3</f>
        <v>21</v>
      </c>
      <c r="AL17" s="30">
        <f>18+200+105+11+2</f>
        <v>336</v>
      </c>
      <c r="AM17" s="30">
        <f>20+10+108+6+1</f>
        <v>145</v>
      </c>
      <c r="AN17" s="29">
        <f>22+4+113+2+1</f>
        <v>142</v>
      </c>
      <c r="AO17" s="30">
        <f>31+113+1+1</f>
        <v>146</v>
      </c>
      <c r="AP17" s="30">
        <f>15+26+129+2</f>
        <v>172</v>
      </c>
      <c r="AQ17" s="30">
        <f>129+2+1+13</f>
        <v>145</v>
      </c>
      <c r="AR17" s="29">
        <f>130+1+11</f>
        <v>142</v>
      </c>
      <c r="AS17" s="30">
        <f>198+32+828+21</f>
        <v>1079</v>
      </c>
      <c r="AT17" s="30">
        <f>10+271+211+8</f>
        <v>500</v>
      </c>
      <c r="AU17" s="30">
        <f>10+86+224+16+1</f>
        <v>337</v>
      </c>
      <c r="AV17" s="29">
        <f>10+559+6</f>
        <v>575</v>
      </c>
      <c r="AW17" s="30">
        <f>11+1+639+10</f>
        <v>661</v>
      </c>
      <c r="AX17" s="30">
        <f>4+1+655</f>
        <v>660</v>
      </c>
      <c r="AY17" s="30">
        <f>4+2+658+3+1</f>
        <v>668</v>
      </c>
      <c r="AZ17" s="29">
        <f>4+70+715+15+2</f>
        <v>806</v>
      </c>
      <c r="BA17" s="32">
        <v>0</v>
      </c>
      <c r="BB17" s="32">
        <v>0</v>
      </c>
      <c r="BC17" s="33">
        <v>0</v>
      </c>
      <c r="BD17" s="34">
        <v>0</v>
      </c>
      <c r="BE17" s="32">
        <v>0</v>
      </c>
      <c r="BF17" s="32">
        <v>0</v>
      </c>
      <c r="BG17" s="1410">
        <v>0</v>
      </c>
      <c r="BH17" s="34">
        <v>0</v>
      </c>
      <c r="BI17" s="32">
        <v>0</v>
      </c>
      <c r="BJ17" s="32">
        <v>0</v>
      </c>
      <c r="BK17" s="1410">
        <v>0</v>
      </c>
      <c r="BL17" s="232"/>
      <c r="BM17" s="34">
        <f>SUM(D17:G17)</f>
        <v>57</v>
      </c>
      <c r="BN17" s="32">
        <f>SUM(H17:K17)</f>
        <v>229</v>
      </c>
      <c r="BO17" s="32">
        <f>SUM(L17:O17)</f>
        <v>63</v>
      </c>
      <c r="BP17" s="32">
        <f>SUM(P17:S17)</f>
        <v>69</v>
      </c>
      <c r="BQ17" s="32">
        <f>SUM(T17:W17)</f>
        <v>59</v>
      </c>
      <c r="BR17" s="32">
        <f>SUM(X17:AA17)</f>
        <v>56</v>
      </c>
      <c r="BS17" s="32">
        <f>SUM(AB17:AE17)</f>
        <v>58</v>
      </c>
      <c r="BT17" s="33">
        <f>SUM(AF17:AI17)</f>
        <v>74</v>
      </c>
      <c r="BU17" s="34">
        <f>SUM(AJ17:AM17)</f>
        <v>526</v>
      </c>
      <c r="BV17" s="32">
        <f>SUM(AN17:AQ17)</f>
        <v>605</v>
      </c>
      <c r="BW17" s="32">
        <f>SUM(AR17:AU17)</f>
        <v>2058</v>
      </c>
      <c r="BX17" s="32">
        <f>SUM(AV17:AY17)</f>
        <v>2564</v>
      </c>
      <c r="BY17" s="32">
        <f>SUM(AZ17:BC17)</f>
        <v>806</v>
      </c>
      <c r="BZ17" s="32">
        <f>SUM(BD17:BG17)</f>
        <v>0</v>
      </c>
      <c r="CA17" s="1410">
        <f>SUM(BH17:BK17)</f>
        <v>0</v>
      </c>
      <c r="CB17" s="19"/>
      <c r="CC17" s="34">
        <f>SUM(E17:H17)</f>
        <v>77</v>
      </c>
      <c r="CD17" s="32">
        <f>SUM(I17:L17)</f>
        <v>215</v>
      </c>
      <c r="CE17" s="32">
        <f>SUM(M17:P17)</f>
        <v>69</v>
      </c>
      <c r="CF17" s="32">
        <f>SUM(Q17:T17)</f>
        <v>63</v>
      </c>
      <c r="CG17" s="32">
        <f>SUM(U17:X17)</f>
        <v>58</v>
      </c>
      <c r="CH17" s="32">
        <f>SUM(Y17:AB17)</f>
        <v>56</v>
      </c>
      <c r="CI17" s="34">
        <f>SUM(AC17:AF17)</f>
        <v>58</v>
      </c>
      <c r="CJ17" s="32">
        <f>SUM(AG17:AJ17)</f>
        <v>84</v>
      </c>
      <c r="CK17" s="32">
        <f>SUM(AK17:AN17)</f>
        <v>644</v>
      </c>
      <c r="CL17" s="32">
        <f>SUM(AO17:AR17)</f>
        <v>605</v>
      </c>
      <c r="CM17" s="25">
        <f>SUM(AS17:AV17)</f>
        <v>2491</v>
      </c>
      <c r="CN17" s="26">
        <f>SUM(AW17:AZ17)</f>
        <v>2795</v>
      </c>
      <c r="CO17" s="25">
        <f>SUM(BA17:BD17)</f>
        <v>0</v>
      </c>
      <c r="CP17" s="1444">
        <f>SUM(BE17:BH17)</f>
        <v>0</v>
      </c>
      <c r="CQ17" s="7"/>
      <c r="CX17" s="7"/>
    </row>
    <row r="18" spans="1:102" ht="14.25" customHeight="1">
      <c r="A18" s="7"/>
      <c r="B18" s="21" t="s">
        <v>357</v>
      </c>
      <c r="C18" s="22"/>
      <c r="D18" s="34">
        <f t="shared" ref="D18:AQ18" si="26">D13-D17</f>
        <v>273</v>
      </c>
      <c r="E18" s="32">
        <f t="shared" si="26"/>
        <v>222</v>
      </c>
      <c r="F18" s="32">
        <f t="shared" si="26"/>
        <v>248</v>
      </c>
      <c r="G18" s="32">
        <f t="shared" si="26"/>
        <v>270</v>
      </c>
      <c r="H18" s="34">
        <f t="shared" si="26"/>
        <v>235</v>
      </c>
      <c r="I18" s="32">
        <f t="shared" si="26"/>
        <v>229</v>
      </c>
      <c r="J18" s="32">
        <f t="shared" si="26"/>
        <v>231</v>
      </c>
      <c r="K18" s="33">
        <f t="shared" si="26"/>
        <v>241</v>
      </c>
      <c r="L18" s="34">
        <f t="shared" si="26"/>
        <v>230</v>
      </c>
      <c r="M18" s="32">
        <f t="shared" si="26"/>
        <v>237</v>
      </c>
      <c r="N18" s="32">
        <f t="shared" si="26"/>
        <v>251</v>
      </c>
      <c r="O18" s="33">
        <f t="shared" si="26"/>
        <v>263</v>
      </c>
      <c r="P18" s="32">
        <f t="shared" si="26"/>
        <v>204</v>
      </c>
      <c r="Q18" s="32">
        <f t="shared" si="26"/>
        <v>210</v>
      </c>
      <c r="R18" s="32">
        <f t="shared" si="26"/>
        <v>205</v>
      </c>
      <c r="S18" s="32">
        <f t="shared" si="26"/>
        <v>236</v>
      </c>
      <c r="T18" s="34">
        <f t="shared" si="26"/>
        <v>247</v>
      </c>
      <c r="U18" s="32">
        <f t="shared" si="26"/>
        <v>268</v>
      </c>
      <c r="V18" s="32">
        <f t="shared" si="26"/>
        <v>271</v>
      </c>
      <c r="W18" s="33">
        <f t="shared" si="26"/>
        <v>282</v>
      </c>
      <c r="X18" s="32">
        <f t="shared" si="26"/>
        <v>265</v>
      </c>
      <c r="Y18" s="32">
        <f t="shared" si="26"/>
        <v>271</v>
      </c>
      <c r="Z18" s="32">
        <f t="shared" si="26"/>
        <v>292</v>
      </c>
      <c r="AA18" s="32">
        <f t="shared" si="26"/>
        <v>305</v>
      </c>
      <c r="AB18" s="34">
        <f t="shared" si="26"/>
        <v>279</v>
      </c>
      <c r="AC18" s="32">
        <f t="shared" si="26"/>
        <v>284</v>
      </c>
      <c r="AD18" s="32">
        <f t="shared" si="26"/>
        <v>297</v>
      </c>
      <c r="AE18" s="33">
        <f t="shared" si="26"/>
        <v>304</v>
      </c>
      <c r="AF18" s="32">
        <f t="shared" si="26"/>
        <v>286</v>
      </c>
      <c r="AG18" s="32">
        <f t="shared" si="26"/>
        <v>276</v>
      </c>
      <c r="AH18" s="32">
        <f t="shared" si="26"/>
        <v>319</v>
      </c>
      <c r="AI18" s="32">
        <f t="shared" si="26"/>
        <v>368</v>
      </c>
      <c r="AJ18" s="34">
        <f t="shared" si="26"/>
        <v>346</v>
      </c>
      <c r="AK18" s="32">
        <f t="shared" si="26"/>
        <v>323</v>
      </c>
      <c r="AL18" s="32">
        <f t="shared" si="26"/>
        <v>540</v>
      </c>
      <c r="AM18" s="32">
        <f t="shared" si="26"/>
        <v>657</v>
      </c>
      <c r="AN18" s="34">
        <f t="shared" si="26"/>
        <v>667</v>
      </c>
      <c r="AO18" s="32">
        <f t="shared" si="26"/>
        <v>622</v>
      </c>
      <c r="AP18" s="32">
        <f t="shared" si="26"/>
        <v>679</v>
      </c>
      <c r="AQ18" s="32">
        <f t="shared" si="26"/>
        <v>698</v>
      </c>
      <c r="AR18" s="34">
        <f t="shared" ref="AR18:AU18" si="27">AR13-AR17</f>
        <v>688</v>
      </c>
      <c r="AS18" s="32">
        <f t="shared" si="27"/>
        <v>1416</v>
      </c>
      <c r="AT18" s="32">
        <f t="shared" si="27"/>
        <v>1510</v>
      </c>
      <c r="AU18" s="32">
        <f t="shared" si="27"/>
        <v>1628</v>
      </c>
      <c r="AV18" s="34">
        <f t="shared" ref="AV18:AY18" si="28">AV13-AV17</f>
        <v>1563</v>
      </c>
      <c r="AW18" s="32">
        <f t="shared" si="28"/>
        <v>1553</v>
      </c>
      <c r="AX18" s="32">
        <f t="shared" si="28"/>
        <v>1654</v>
      </c>
      <c r="AY18" s="32">
        <f t="shared" si="28"/>
        <v>1793</v>
      </c>
      <c r="AZ18" s="34">
        <f t="shared" ref="AZ18" si="29">AZ13-AZ17</f>
        <v>1893</v>
      </c>
      <c r="BA18" s="32">
        <f t="shared" ref="BA18:BC18" si="30">BA8-BA23</f>
        <v>1722.776890000001</v>
      </c>
      <c r="BB18" s="32">
        <f t="shared" si="30"/>
        <v>1840.3031874999997</v>
      </c>
      <c r="BC18" s="33">
        <f t="shared" si="30"/>
        <v>2005.5572900389993</v>
      </c>
      <c r="BD18" s="34">
        <f t="shared" ref="BD18:BG18" si="31">BD8-BD23</f>
        <v>1889.5457150183297</v>
      </c>
      <c r="BE18" s="32">
        <f t="shared" si="31"/>
        <v>1816.4782511502976</v>
      </c>
      <c r="BF18" s="32">
        <f t="shared" si="31"/>
        <v>1947.6485754299783</v>
      </c>
      <c r="BG18" s="1410">
        <f t="shared" si="31"/>
        <v>2185.7722868814726</v>
      </c>
      <c r="BH18" s="34">
        <f t="shared" ref="BH18:BK18" si="32">BH8-BH23</f>
        <v>2076.9086802375964</v>
      </c>
      <c r="BI18" s="32">
        <f t="shared" si="32"/>
        <v>1963.0467904704888</v>
      </c>
      <c r="BJ18" s="32">
        <f t="shared" si="32"/>
        <v>2037.4468011680019</v>
      </c>
      <c r="BK18" s="1410">
        <f t="shared" si="32"/>
        <v>2172.6635758572179</v>
      </c>
      <c r="BL18" s="232"/>
      <c r="BM18" s="34">
        <f t="shared" ref="BM18:BY18" si="33">BM13-BM17</f>
        <v>1013</v>
      </c>
      <c r="BN18" s="32">
        <f t="shared" si="33"/>
        <v>936</v>
      </c>
      <c r="BO18" s="32">
        <f t="shared" si="33"/>
        <v>981</v>
      </c>
      <c r="BP18" s="32">
        <f t="shared" si="33"/>
        <v>855</v>
      </c>
      <c r="BQ18" s="32">
        <f t="shared" si="33"/>
        <v>1068</v>
      </c>
      <c r="BR18" s="32">
        <f t="shared" si="33"/>
        <v>1133</v>
      </c>
      <c r="BS18" s="32">
        <f t="shared" si="33"/>
        <v>1164</v>
      </c>
      <c r="BT18" s="33">
        <f t="shared" si="33"/>
        <v>1249</v>
      </c>
      <c r="BU18" s="34">
        <f t="shared" si="33"/>
        <v>1866</v>
      </c>
      <c r="BV18" s="32">
        <f t="shared" si="33"/>
        <v>2666</v>
      </c>
      <c r="BW18" s="32">
        <f t="shared" ref="BW18" si="34">BW13-BW17</f>
        <v>5242</v>
      </c>
      <c r="BX18" s="32">
        <f t="shared" si="33"/>
        <v>6563</v>
      </c>
      <c r="BY18" s="32">
        <f t="shared" si="33"/>
        <v>7461.6373675390005</v>
      </c>
      <c r="BZ18" s="32">
        <f t="shared" ref="BZ18:CA18" si="35">BZ13-BZ17</f>
        <v>7839.4448284800783</v>
      </c>
      <c r="CA18" s="1410">
        <f t="shared" si="35"/>
        <v>8250.0658477333054</v>
      </c>
      <c r="CB18" s="19"/>
      <c r="CC18" s="34">
        <f t="shared" ref="CC18:CN18" si="36">CC13-CC17</f>
        <v>975</v>
      </c>
      <c r="CD18" s="32">
        <f t="shared" si="36"/>
        <v>931</v>
      </c>
      <c r="CE18" s="32">
        <f t="shared" si="36"/>
        <v>955</v>
      </c>
      <c r="CF18" s="32">
        <f t="shared" si="36"/>
        <v>898</v>
      </c>
      <c r="CG18" s="32">
        <f t="shared" si="36"/>
        <v>1086</v>
      </c>
      <c r="CH18" s="32">
        <f t="shared" si="36"/>
        <v>1147</v>
      </c>
      <c r="CI18" s="34">
        <f t="shared" si="36"/>
        <v>1171</v>
      </c>
      <c r="CJ18" s="32">
        <f t="shared" si="36"/>
        <v>1309</v>
      </c>
      <c r="CK18" s="32">
        <f t="shared" si="36"/>
        <v>2187</v>
      </c>
      <c r="CL18" s="32">
        <f t="shared" si="36"/>
        <v>2687</v>
      </c>
      <c r="CM18" s="32">
        <f t="shared" si="36"/>
        <v>6117</v>
      </c>
      <c r="CN18" s="34">
        <f t="shared" si="36"/>
        <v>6893</v>
      </c>
      <c r="CO18" s="32">
        <f t="shared" ref="CO18" si="37">CO13-CO17</f>
        <v>7458.1830825573306</v>
      </c>
      <c r="CP18" s="1410">
        <f t="shared" ref="CP18" si="38">CP13-CP17</f>
        <v>8026.807793699345</v>
      </c>
      <c r="CQ18" s="7"/>
      <c r="CX18" s="7"/>
    </row>
    <row r="19" spans="1:102" ht="14.25" customHeight="1">
      <c r="A19" s="7"/>
      <c r="B19" s="21"/>
      <c r="C19" s="22"/>
      <c r="D19" s="39"/>
      <c r="E19" s="37"/>
      <c r="F19" s="42"/>
      <c r="G19" s="37"/>
      <c r="H19" s="39"/>
      <c r="I19" s="37"/>
      <c r="J19" s="42"/>
      <c r="K19" s="38"/>
      <c r="L19" s="39"/>
      <c r="M19" s="37"/>
      <c r="N19" s="42"/>
      <c r="O19" s="38"/>
      <c r="P19" s="37"/>
      <c r="Q19" s="37"/>
      <c r="R19" s="42"/>
      <c r="S19" s="37"/>
      <c r="T19" s="39"/>
      <c r="U19" s="37"/>
      <c r="V19" s="42"/>
      <c r="W19" s="38"/>
      <c r="X19" s="37"/>
      <c r="Y19" s="37"/>
      <c r="Z19" s="37"/>
      <c r="AA19" s="37"/>
      <c r="AB19" s="39"/>
      <c r="AC19" s="37"/>
      <c r="AD19" s="37"/>
      <c r="AE19" s="38"/>
      <c r="AF19" s="37"/>
      <c r="AG19" s="37"/>
      <c r="AH19" s="37"/>
      <c r="AI19" s="37"/>
      <c r="AJ19" s="39"/>
      <c r="AK19" s="37"/>
      <c r="AL19" s="37"/>
      <c r="AM19" s="37"/>
      <c r="AN19" s="39"/>
      <c r="AO19" s="37"/>
      <c r="AP19" s="37"/>
      <c r="AQ19" s="37"/>
      <c r="AR19" s="39"/>
      <c r="AS19" s="37"/>
      <c r="AT19" s="37"/>
      <c r="AU19" s="37"/>
      <c r="AV19" s="39"/>
      <c r="AW19" s="37"/>
      <c r="AX19" s="37"/>
      <c r="AY19" s="37"/>
      <c r="AZ19" s="39"/>
      <c r="BA19" s="37"/>
      <c r="BB19" s="37"/>
      <c r="BC19" s="38"/>
      <c r="BD19" s="39"/>
      <c r="BE19" s="37"/>
      <c r="BF19" s="37"/>
      <c r="BG19" s="1411"/>
      <c r="BH19" s="39"/>
      <c r="BI19" s="37"/>
      <c r="BJ19" s="37"/>
      <c r="BK19" s="1411"/>
      <c r="BL19" s="232"/>
      <c r="BM19" s="50"/>
      <c r="BN19" s="40"/>
      <c r="BO19" s="40"/>
      <c r="BP19" s="40"/>
      <c r="BQ19" s="40"/>
      <c r="BR19" s="40"/>
      <c r="BS19" s="40"/>
      <c r="BT19" s="41"/>
      <c r="BU19" s="50"/>
      <c r="BV19" s="40"/>
      <c r="BW19" s="40"/>
      <c r="BX19" s="40"/>
      <c r="BY19" s="40"/>
      <c r="BZ19" s="40"/>
      <c r="CA19" s="1430"/>
      <c r="CB19" s="19"/>
      <c r="CC19" s="50"/>
      <c r="CD19" s="40"/>
      <c r="CE19" s="40"/>
      <c r="CF19" s="40"/>
      <c r="CG19" s="40"/>
      <c r="CH19" s="40"/>
      <c r="CI19" s="50"/>
      <c r="CJ19" s="40"/>
      <c r="CK19" s="40"/>
      <c r="CL19" s="40"/>
      <c r="CM19" s="40"/>
      <c r="CN19" s="50"/>
      <c r="CO19" s="40"/>
      <c r="CP19" s="1430"/>
      <c r="CQ19" s="7"/>
      <c r="CX19" s="7"/>
    </row>
    <row r="20" spans="1:102" ht="14.25" customHeight="1">
      <c r="A20" s="7"/>
      <c r="B20" s="43" t="s">
        <v>120</v>
      </c>
      <c r="C20" s="44"/>
      <c r="D20" s="45">
        <f t="shared" ref="D20:AI20" si="39">D8-D13</f>
        <v>68</v>
      </c>
      <c r="E20" s="46">
        <f t="shared" si="39"/>
        <v>124</v>
      </c>
      <c r="F20" s="46">
        <f t="shared" si="39"/>
        <v>144</v>
      </c>
      <c r="G20" s="46">
        <f t="shared" si="39"/>
        <v>107</v>
      </c>
      <c r="H20" s="45">
        <f t="shared" si="39"/>
        <v>111</v>
      </c>
      <c r="I20" s="46">
        <f t="shared" si="39"/>
        <v>135</v>
      </c>
      <c r="J20" s="46">
        <f t="shared" si="39"/>
        <v>-13</v>
      </c>
      <c r="K20" s="47">
        <f t="shared" si="39"/>
        <v>129</v>
      </c>
      <c r="L20" s="45">
        <f t="shared" si="39"/>
        <v>157</v>
      </c>
      <c r="M20" s="46">
        <f t="shared" si="39"/>
        <v>159</v>
      </c>
      <c r="N20" s="46">
        <f t="shared" si="39"/>
        <v>171</v>
      </c>
      <c r="O20" s="47">
        <f t="shared" si="39"/>
        <v>168</v>
      </c>
      <c r="P20" s="46">
        <f t="shared" si="39"/>
        <v>143</v>
      </c>
      <c r="Q20" s="46">
        <f t="shared" si="39"/>
        <v>98</v>
      </c>
      <c r="R20" s="46">
        <f t="shared" si="39"/>
        <v>141</v>
      </c>
      <c r="S20" s="46">
        <f t="shared" si="39"/>
        <v>178</v>
      </c>
      <c r="T20" s="45">
        <f t="shared" si="39"/>
        <v>194</v>
      </c>
      <c r="U20" s="46">
        <f t="shared" si="39"/>
        <v>233</v>
      </c>
      <c r="V20" s="46">
        <f t="shared" si="39"/>
        <v>263</v>
      </c>
      <c r="W20" s="47">
        <f t="shared" si="39"/>
        <v>276</v>
      </c>
      <c r="X20" s="46">
        <f t="shared" si="39"/>
        <v>271</v>
      </c>
      <c r="Y20" s="46">
        <f t="shared" si="39"/>
        <v>275</v>
      </c>
      <c r="Z20" s="46">
        <f t="shared" si="39"/>
        <v>297</v>
      </c>
      <c r="AA20" s="46">
        <f t="shared" si="39"/>
        <v>304</v>
      </c>
      <c r="AB20" s="45">
        <f t="shared" si="39"/>
        <v>270</v>
      </c>
      <c r="AC20" s="46">
        <f t="shared" si="39"/>
        <v>278</v>
      </c>
      <c r="AD20" s="46">
        <f t="shared" si="39"/>
        <v>295</v>
      </c>
      <c r="AE20" s="47">
        <f t="shared" si="39"/>
        <v>299</v>
      </c>
      <c r="AF20" s="46">
        <f t="shared" si="39"/>
        <v>276</v>
      </c>
      <c r="AG20" s="46">
        <f t="shared" si="39"/>
        <v>272</v>
      </c>
      <c r="AH20" s="46">
        <f t="shared" si="39"/>
        <v>304</v>
      </c>
      <c r="AI20" s="46">
        <f t="shared" si="39"/>
        <v>345</v>
      </c>
      <c r="AJ20" s="45">
        <f t="shared" ref="AJ20:BC20" si="40">AJ8-AJ13</f>
        <v>339</v>
      </c>
      <c r="AK20" s="46">
        <f t="shared" si="40"/>
        <v>357</v>
      </c>
      <c r="AL20" s="46">
        <f t="shared" si="40"/>
        <v>393</v>
      </c>
      <c r="AM20" s="46">
        <f t="shared" si="40"/>
        <v>788</v>
      </c>
      <c r="AN20" s="45">
        <f t="shared" si="40"/>
        <v>826</v>
      </c>
      <c r="AO20" s="46">
        <f t="shared" si="40"/>
        <v>846</v>
      </c>
      <c r="AP20" s="46">
        <f t="shared" si="40"/>
        <v>884</v>
      </c>
      <c r="AQ20" s="46">
        <f t="shared" si="40"/>
        <v>997</v>
      </c>
      <c r="AR20" s="45">
        <f t="shared" ref="AR20:AU20" si="41">AR8-AR13</f>
        <v>941</v>
      </c>
      <c r="AS20" s="46">
        <f t="shared" si="41"/>
        <v>1046</v>
      </c>
      <c r="AT20" s="46">
        <f t="shared" si="41"/>
        <v>1782</v>
      </c>
      <c r="AU20" s="46">
        <f t="shared" si="41"/>
        <v>2171</v>
      </c>
      <c r="AV20" s="45">
        <f t="shared" ref="AV20:AY20" si="42">AV8-AV13</f>
        <v>2001</v>
      </c>
      <c r="AW20" s="46">
        <f t="shared" si="42"/>
        <v>1976</v>
      </c>
      <c r="AX20" s="46">
        <f t="shared" si="42"/>
        <v>2149</v>
      </c>
      <c r="AY20" s="46">
        <f t="shared" si="42"/>
        <v>2383</v>
      </c>
      <c r="AZ20" s="45">
        <f t="shared" ref="AZ20" si="43">AZ8-AZ13</f>
        <v>2628</v>
      </c>
      <c r="BA20" s="46">
        <f t="shared" si="40"/>
        <v>3288.2631099999999</v>
      </c>
      <c r="BB20" s="46">
        <f t="shared" si="40"/>
        <v>3371.9651125</v>
      </c>
      <c r="BC20" s="47">
        <f t="shared" si="40"/>
        <v>3577.2064994610005</v>
      </c>
      <c r="BD20" s="45">
        <f t="shared" ref="BD20:BG20" si="44">BD8-BD13</f>
        <v>3441.6844387216702</v>
      </c>
      <c r="BE20" s="46">
        <f t="shared" si="44"/>
        <v>3361.7496962489017</v>
      </c>
      <c r="BF20" s="46">
        <f t="shared" si="44"/>
        <v>3599.5767085210773</v>
      </c>
      <c r="BG20" s="1412">
        <f t="shared" si="44"/>
        <v>3991.8743067066362</v>
      </c>
      <c r="BH20" s="45">
        <f t="shared" ref="BH20:BK20" si="45">BH8-BH13</f>
        <v>3825.4173825448574</v>
      </c>
      <c r="BI20" s="46">
        <f t="shared" si="45"/>
        <v>3623.4305252023428</v>
      </c>
      <c r="BJ20" s="46">
        <f t="shared" si="45"/>
        <v>3775.8233465030444</v>
      </c>
      <c r="BK20" s="1412">
        <f t="shared" si="45"/>
        <v>4009.6515226660372</v>
      </c>
      <c r="BL20" s="232"/>
      <c r="BM20" s="45">
        <f t="shared" ref="BM20:BY20" si="46">BM8-BM13</f>
        <v>443</v>
      </c>
      <c r="BN20" s="46">
        <f t="shared" si="46"/>
        <v>362</v>
      </c>
      <c r="BO20" s="46">
        <f t="shared" si="46"/>
        <v>655</v>
      </c>
      <c r="BP20" s="46">
        <f t="shared" si="46"/>
        <v>560</v>
      </c>
      <c r="BQ20" s="46">
        <f t="shared" si="46"/>
        <v>966</v>
      </c>
      <c r="BR20" s="46">
        <f t="shared" si="46"/>
        <v>1147</v>
      </c>
      <c r="BS20" s="46">
        <f t="shared" si="46"/>
        <v>1142</v>
      </c>
      <c r="BT20" s="47">
        <f t="shared" si="46"/>
        <v>1197</v>
      </c>
      <c r="BU20" s="45">
        <f t="shared" si="46"/>
        <v>1877</v>
      </c>
      <c r="BV20" s="46">
        <f t="shared" si="46"/>
        <v>3553</v>
      </c>
      <c r="BW20" s="46">
        <f t="shared" ref="BW20" si="47">BW8-BW13</f>
        <v>5940</v>
      </c>
      <c r="BX20" s="46">
        <f t="shared" si="46"/>
        <v>8509</v>
      </c>
      <c r="BY20" s="46">
        <f t="shared" si="46"/>
        <v>12865.434721961001</v>
      </c>
      <c r="BZ20" s="46">
        <f t="shared" ref="BZ20:CA20" si="48">BZ8-BZ13</f>
        <v>14394.885150198286</v>
      </c>
      <c r="CA20" s="1412">
        <f t="shared" si="48"/>
        <v>15234.322776916284</v>
      </c>
      <c r="CB20" s="19"/>
      <c r="CC20" s="45">
        <f t="shared" ref="CC20:CN20" si="49">CC8-CC13</f>
        <v>486</v>
      </c>
      <c r="CD20" s="46">
        <f t="shared" si="49"/>
        <v>408</v>
      </c>
      <c r="CE20" s="46">
        <f t="shared" si="49"/>
        <v>641</v>
      </c>
      <c r="CF20" s="46">
        <f t="shared" si="49"/>
        <v>611</v>
      </c>
      <c r="CG20" s="46">
        <f t="shared" si="49"/>
        <v>1043</v>
      </c>
      <c r="CH20" s="46">
        <f t="shared" si="49"/>
        <v>1146</v>
      </c>
      <c r="CI20" s="45">
        <f t="shared" si="49"/>
        <v>1148</v>
      </c>
      <c r="CJ20" s="46">
        <f t="shared" si="49"/>
        <v>1260</v>
      </c>
      <c r="CK20" s="46">
        <f t="shared" si="49"/>
        <v>2364</v>
      </c>
      <c r="CL20" s="46">
        <f t="shared" si="49"/>
        <v>3668</v>
      </c>
      <c r="CM20" s="46">
        <f t="shared" si="49"/>
        <v>7000</v>
      </c>
      <c r="CN20" s="45">
        <f t="shared" si="49"/>
        <v>9136</v>
      </c>
      <c r="CO20" s="46">
        <f t="shared" ref="CO20" si="50">CO8-CO13</f>
        <v>13679.119160682672</v>
      </c>
      <c r="CP20" s="1412">
        <f t="shared" ref="CP20" si="51">CP8-CP13</f>
        <v>14778.618094021471</v>
      </c>
      <c r="CQ20" s="7"/>
      <c r="CX20" s="7"/>
    </row>
    <row r="21" spans="1:102" ht="14.25" customHeight="1">
      <c r="A21" s="7"/>
      <c r="B21" s="35" t="s">
        <v>104</v>
      </c>
      <c r="C21" s="36"/>
      <c r="D21" s="1013">
        <f t="shared" ref="D21:AI21" si="52">D20/D8</f>
        <v>0.19428571428571428</v>
      </c>
      <c r="E21" s="1011">
        <f t="shared" si="52"/>
        <v>0.34254143646408841</v>
      </c>
      <c r="F21" s="1011">
        <f t="shared" si="52"/>
        <v>0.35294117647058826</v>
      </c>
      <c r="G21" s="1011">
        <f t="shared" si="52"/>
        <v>0.27226463104325699</v>
      </c>
      <c r="H21" s="1013">
        <f t="shared" si="52"/>
        <v>0.29599999999999999</v>
      </c>
      <c r="I21" s="1011">
        <f t="shared" si="52"/>
        <v>0.35526315789473684</v>
      </c>
      <c r="J21" s="1011">
        <f t="shared" si="52"/>
        <v>-3.4120734908136482E-2</v>
      </c>
      <c r="K21" s="1012">
        <f t="shared" si="52"/>
        <v>0.32992327365728902</v>
      </c>
      <c r="L21" s="1013">
        <f t="shared" si="52"/>
        <v>0.39054726368159204</v>
      </c>
      <c r="M21" s="1011">
        <f t="shared" si="52"/>
        <v>0.38686131386861317</v>
      </c>
      <c r="N21" s="1011">
        <f t="shared" si="52"/>
        <v>0.38952164009111617</v>
      </c>
      <c r="O21" s="1012">
        <f t="shared" si="52"/>
        <v>0.37583892617449666</v>
      </c>
      <c r="P21" s="1011">
        <f t="shared" si="52"/>
        <v>0.38858695652173914</v>
      </c>
      <c r="Q21" s="1011">
        <f t="shared" si="52"/>
        <v>0.30153846153846153</v>
      </c>
      <c r="R21" s="1011">
        <f t="shared" si="52"/>
        <v>0.38842975206611569</v>
      </c>
      <c r="S21" s="1011">
        <f t="shared" si="52"/>
        <v>0.41588785046728971</v>
      </c>
      <c r="T21" s="1013">
        <f t="shared" si="52"/>
        <v>0.42543859649122806</v>
      </c>
      <c r="U21" s="1011">
        <f t="shared" si="52"/>
        <v>0.45242718446601943</v>
      </c>
      <c r="V21" s="1011">
        <f t="shared" si="52"/>
        <v>0.47818181818181821</v>
      </c>
      <c r="W21" s="1012">
        <f t="shared" si="52"/>
        <v>0.4825174825174825</v>
      </c>
      <c r="X21" s="1011">
        <f t="shared" si="52"/>
        <v>0.49272727272727274</v>
      </c>
      <c r="Y21" s="1011">
        <f t="shared" si="52"/>
        <v>0.49107142857142855</v>
      </c>
      <c r="Z21" s="1011">
        <f t="shared" si="52"/>
        <v>0.4925373134328358</v>
      </c>
      <c r="AA21" s="1011">
        <f t="shared" si="52"/>
        <v>0.48796147672552165</v>
      </c>
      <c r="AB21" s="1013">
        <f t="shared" si="52"/>
        <v>0.47957371225577267</v>
      </c>
      <c r="AC21" s="1011">
        <f t="shared" si="52"/>
        <v>0.48180242634315423</v>
      </c>
      <c r="AD21" s="1011">
        <f t="shared" si="52"/>
        <v>0.48679867986798681</v>
      </c>
      <c r="AE21" s="1012">
        <f t="shared" si="52"/>
        <v>0.48381877022653724</v>
      </c>
      <c r="AF21" s="1011">
        <f t="shared" si="52"/>
        <v>0.47916666666666669</v>
      </c>
      <c r="AG21" s="1011">
        <f t="shared" si="52"/>
        <v>0.48398576512455516</v>
      </c>
      <c r="AH21" s="1011">
        <f t="shared" si="52"/>
        <v>0.47204968944099379</v>
      </c>
      <c r="AI21" s="1011">
        <f t="shared" si="52"/>
        <v>0.46747967479674796</v>
      </c>
      <c r="AJ21" s="1013">
        <f t="shared" ref="AJ21:BC21" si="53">AJ20/AJ8</f>
        <v>0.47813822284908319</v>
      </c>
      <c r="AK21" s="1011">
        <f t="shared" si="53"/>
        <v>0.50927246790299574</v>
      </c>
      <c r="AL21" s="1011">
        <f t="shared" si="53"/>
        <v>0.30969267139479906</v>
      </c>
      <c r="AM21" s="1011">
        <f t="shared" si="53"/>
        <v>0.49559748427672956</v>
      </c>
      <c r="AN21" s="1013">
        <f t="shared" si="53"/>
        <v>0.50519877675840974</v>
      </c>
      <c r="AO21" s="1011">
        <f t="shared" si="53"/>
        <v>0.52416356877323422</v>
      </c>
      <c r="AP21" s="1011">
        <f t="shared" si="53"/>
        <v>0.50951008645533136</v>
      </c>
      <c r="AQ21" s="1011">
        <f t="shared" si="53"/>
        <v>0.54184782608695647</v>
      </c>
      <c r="AR21" s="1141">
        <f t="shared" ref="AR21:AU21" si="54">AR20/AR8</f>
        <v>0.5313382269904009</v>
      </c>
      <c r="AS21" s="1142">
        <f t="shared" si="54"/>
        <v>0.29539678057046032</v>
      </c>
      <c r="AT21" s="1142">
        <f t="shared" si="54"/>
        <v>0.4699367088607595</v>
      </c>
      <c r="AU21" s="1142">
        <f t="shared" si="54"/>
        <v>0.5249032882011605</v>
      </c>
      <c r="AV21" s="1227">
        <f t="shared" ref="AV21:AY21" si="55">AV20/AV8</f>
        <v>0.48345010872191352</v>
      </c>
      <c r="AW21" s="1228">
        <f t="shared" si="55"/>
        <v>0.47159904534606206</v>
      </c>
      <c r="AX21" s="1307">
        <f t="shared" si="55"/>
        <v>0.48151467622675331</v>
      </c>
      <c r="AY21" s="1365">
        <f t="shared" si="55"/>
        <v>0.49194880264244428</v>
      </c>
      <c r="AZ21" s="1364">
        <f t="shared" ref="AZ21" si="56">AZ20/AZ8</f>
        <v>0.4933358363056129</v>
      </c>
      <c r="BA21" s="1365">
        <f t="shared" si="53"/>
        <v>0.656203724177017</v>
      </c>
      <c r="BB21" s="1365">
        <f t="shared" si="53"/>
        <v>0.64692853829109298</v>
      </c>
      <c r="BC21" s="1366">
        <f t="shared" si="53"/>
        <v>0.64075906385094972</v>
      </c>
      <c r="BD21" s="1364">
        <f t="shared" ref="BD21:BG21" si="57">BD20/BD8</f>
        <v>0.64557041048157282</v>
      </c>
      <c r="BE21" s="1365">
        <f t="shared" si="57"/>
        <v>0.6492085188983161</v>
      </c>
      <c r="BF21" s="1365">
        <f t="shared" si="57"/>
        <v>0.64889679511217724</v>
      </c>
      <c r="BG21" s="1405">
        <f t="shared" si="57"/>
        <v>0.64618042586797941</v>
      </c>
      <c r="BH21" s="1364">
        <f t="shared" ref="BH21:BK21" si="58">BH20/BH8</f>
        <v>0.64812030746086779</v>
      </c>
      <c r="BI21" s="1365">
        <f t="shared" si="58"/>
        <v>0.64860739970013448</v>
      </c>
      <c r="BJ21" s="1365">
        <f t="shared" si="58"/>
        <v>0.64951795643210242</v>
      </c>
      <c r="BK21" s="1405">
        <f t="shared" si="58"/>
        <v>0.64856796503688507</v>
      </c>
      <c r="BL21" s="232"/>
      <c r="BM21" s="1013">
        <f t="shared" ref="BM21:BY21" si="59">BM20/BM8</f>
        <v>0.29279576999339063</v>
      </c>
      <c r="BN21" s="1011">
        <f t="shared" si="59"/>
        <v>0.23706614276358873</v>
      </c>
      <c r="BO21" s="1011">
        <f t="shared" si="59"/>
        <v>0.38552089464390821</v>
      </c>
      <c r="BP21" s="1011">
        <f t="shared" si="59"/>
        <v>0.37735849056603776</v>
      </c>
      <c r="BQ21" s="1011">
        <f t="shared" si="59"/>
        <v>0.46153846153846156</v>
      </c>
      <c r="BR21" s="1011">
        <f t="shared" si="59"/>
        <v>0.49101027397260272</v>
      </c>
      <c r="BS21" s="1011">
        <f t="shared" si="59"/>
        <v>0.48307952622673433</v>
      </c>
      <c r="BT21" s="1012">
        <f t="shared" si="59"/>
        <v>0.47499999999999998</v>
      </c>
      <c r="BU21" s="1364">
        <f t="shared" si="59"/>
        <v>0.43968142422112905</v>
      </c>
      <c r="BV21" s="1365">
        <f t="shared" si="59"/>
        <v>0.52066236811254396</v>
      </c>
      <c r="BW21" s="1365">
        <f t="shared" ref="BW21" si="60">BW20/BW8</f>
        <v>0.44864048338368578</v>
      </c>
      <c r="BX21" s="1365">
        <f t="shared" si="59"/>
        <v>0.48247902018598321</v>
      </c>
      <c r="BY21" s="1365">
        <f t="shared" si="59"/>
        <v>0.6087820392357064</v>
      </c>
      <c r="BZ21" s="1365">
        <f t="shared" ref="BZ21:CA21" si="61">BZ20/BZ8</f>
        <v>0.64741708718015234</v>
      </c>
      <c r="CA21" s="1405">
        <f t="shared" si="61"/>
        <v>0.64869999472441431</v>
      </c>
      <c r="CB21" s="19"/>
      <c r="CC21" s="1013">
        <f t="shared" ref="CC21:CN21" si="62">CC20/CC8</f>
        <v>0.31599479843953188</v>
      </c>
      <c r="CD21" s="1011">
        <f t="shared" si="62"/>
        <v>0.26254826254826252</v>
      </c>
      <c r="CE21" s="1011">
        <f t="shared" si="62"/>
        <v>0.38498498498498501</v>
      </c>
      <c r="CF21" s="1011">
        <f t="shared" si="62"/>
        <v>0.388676844783715</v>
      </c>
      <c r="CG21" s="1011">
        <f t="shared" si="62"/>
        <v>0.47690900777320533</v>
      </c>
      <c r="CH21" s="1011">
        <f t="shared" si="62"/>
        <v>0.48786717752234993</v>
      </c>
      <c r="CI21" s="1141">
        <f t="shared" si="62"/>
        <v>0.48296171644930586</v>
      </c>
      <c r="CJ21" s="1142">
        <f t="shared" si="62"/>
        <v>0.47493403693931396</v>
      </c>
      <c r="CK21" s="1142">
        <f t="shared" si="62"/>
        <v>0.45505293551491821</v>
      </c>
      <c r="CL21" s="1142">
        <f t="shared" si="62"/>
        <v>0.52701149425287352</v>
      </c>
      <c r="CM21" s="1142">
        <f t="shared" si="62"/>
        <v>0.44848795489492566</v>
      </c>
      <c r="CN21" s="1364">
        <f t="shared" si="62"/>
        <v>0.48533786655333616</v>
      </c>
      <c r="CO21" s="1365">
        <f t="shared" ref="CO21" si="63">CO20/CO8</f>
        <v>0.64715539396979771</v>
      </c>
      <c r="CP21" s="1405">
        <f t="shared" ref="CP21" si="64">CP20/CP8</f>
        <v>0.64803078735656328</v>
      </c>
      <c r="CQ21" s="320"/>
      <c r="CX21" s="7"/>
    </row>
    <row r="22" spans="1:102" ht="14.25" customHeight="1">
      <c r="A22" s="7"/>
      <c r="B22" s="35"/>
      <c r="C22" s="36"/>
      <c r="D22" s="1013"/>
      <c r="E22" s="1011"/>
      <c r="F22" s="1011"/>
      <c r="G22" s="1011"/>
      <c r="H22" s="1013"/>
      <c r="I22" s="1011"/>
      <c r="J22" s="1011"/>
      <c r="K22" s="1012"/>
      <c r="L22" s="1013"/>
      <c r="M22" s="1011"/>
      <c r="N22" s="1011"/>
      <c r="O22" s="1012"/>
      <c r="P22" s="1011"/>
      <c r="Q22" s="1011"/>
      <c r="R22" s="1011"/>
      <c r="S22" s="1011"/>
      <c r="T22" s="1013"/>
      <c r="U22" s="1011"/>
      <c r="V22" s="1011"/>
      <c r="W22" s="1012"/>
      <c r="X22" s="1011"/>
      <c r="Y22" s="1011"/>
      <c r="Z22" s="1011"/>
      <c r="AA22" s="1011"/>
      <c r="AB22" s="1013"/>
      <c r="AC22" s="1011"/>
      <c r="AD22" s="1011"/>
      <c r="AE22" s="1012"/>
      <c r="AF22" s="1011"/>
      <c r="AG22" s="1011"/>
      <c r="AH22" s="1011"/>
      <c r="AI22" s="1011"/>
      <c r="AJ22" s="1013"/>
      <c r="AK22" s="1011"/>
      <c r="AL22" s="1011"/>
      <c r="AM22" s="1011"/>
      <c r="AN22" s="1013"/>
      <c r="AO22" s="1011"/>
      <c r="AP22" s="1011"/>
      <c r="AQ22" s="1011"/>
      <c r="AR22" s="1141"/>
      <c r="AS22" s="1142"/>
      <c r="AT22" s="1142"/>
      <c r="AU22" s="1142"/>
      <c r="AV22" s="1227"/>
      <c r="AW22" s="1228"/>
      <c r="AX22" s="1307"/>
      <c r="AY22" s="1365"/>
      <c r="AZ22" s="1364"/>
      <c r="BA22" s="1365"/>
      <c r="BB22" s="1365"/>
      <c r="BC22" s="1366"/>
      <c r="BD22" s="1364"/>
      <c r="BE22" s="1365"/>
      <c r="BF22" s="1365"/>
      <c r="BG22" s="1405"/>
      <c r="BH22" s="1364"/>
      <c r="BI22" s="1365"/>
      <c r="BJ22" s="1365"/>
      <c r="BK22" s="1405"/>
      <c r="BL22" s="232"/>
      <c r="BM22" s="1013"/>
      <c r="BN22" s="1011"/>
      <c r="BO22" s="1011"/>
      <c r="BP22" s="1011"/>
      <c r="BQ22" s="1011"/>
      <c r="BR22" s="1011"/>
      <c r="BS22" s="1011"/>
      <c r="BT22" s="1012"/>
      <c r="BU22" s="1364"/>
      <c r="BV22" s="1365"/>
      <c r="BW22" s="1365"/>
      <c r="BX22" s="1365"/>
      <c r="BY22" s="1365"/>
      <c r="BZ22" s="1365"/>
      <c r="CA22" s="1405"/>
      <c r="CB22" s="19"/>
      <c r="CC22" s="1013"/>
      <c r="CD22" s="1011"/>
      <c r="CE22" s="1011"/>
      <c r="CF22" s="1011"/>
      <c r="CG22" s="1011"/>
      <c r="CH22" s="1011"/>
      <c r="CI22" s="1141"/>
      <c r="CJ22" s="1142"/>
      <c r="CK22" s="1142"/>
      <c r="CL22" s="1142"/>
      <c r="CM22" s="1142"/>
      <c r="CN22" s="1364"/>
      <c r="CO22" s="1365"/>
      <c r="CP22" s="1405"/>
      <c r="CQ22" s="320"/>
      <c r="CX22" s="7"/>
    </row>
    <row r="23" spans="1:102" ht="14.25" customHeight="1">
      <c r="A23" s="7"/>
      <c r="B23" s="43" t="s">
        <v>358</v>
      </c>
      <c r="C23" s="44"/>
      <c r="D23" s="45">
        <f t="shared" ref="D23:AQ23" si="65">D8-D18</f>
        <v>77</v>
      </c>
      <c r="E23" s="46">
        <f t="shared" si="65"/>
        <v>140</v>
      </c>
      <c r="F23" s="46">
        <f t="shared" si="65"/>
        <v>160</v>
      </c>
      <c r="G23" s="46">
        <f t="shared" si="65"/>
        <v>123</v>
      </c>
      <c r="H23" s="45">
        <f t="shared" si="65"/>
        <v>140</v>
      </c>
      <c r="I23" s="46">
        <f t="shared" si="65"/>
        <v>151</v>
      </c>
      <c r="J23" s="46">
        <f t="shared" si="65"/>
        <v>150</v>
      </c>
      <c r="K23" s="47">
        <f t="shared" si="65"/>
        <v>150</v>
      </c>
      <c r="L23" s="45">
        <f t="shared" si="65"/>
        <v>172</v>
      </c>
      <c r="M23" s="46">
        <f t="shared" si="65"/>
        <v>174</v>
      </c>
      <c r="N23" s="46">
        <f t="shared" si="65"/>
        <v>188</v>
      </c>
      <c r="O23" s="47">
        <f t="shared" si="65"/>
        <v>184</v>
      </c>
      <c r="P23" s="46">
        <f t="shared" si="65"/>
        <v>164</v>
      </c>
      <c r="Q23" s="46">
        <f t="shared" si="65"/>
        <v>115</v>
      </c>
      <c r="R23" s="46">
        <f t="shared" si="65"/>
        <v>158</v>
      </c>
      <c r="S23" s="46">
        <f t="shared" si="65"/>
        <v>192</v>
      </c>
      <c r="T23" s="45">
        <f t="shared" si="65"/>
        <v>209</v>
      </c>
      <c r="U23" s="46">
        <f t="shared" si="65"/>
        <v>247</v>
      </c>
      <c r="V23" s="46">
        <f t="shared" si="65"/>
        <v>279</v>
      </c>
      <c r="W23" s="47">
        <f t="shared" si="65"/>
        <v>290</v>
      </c>
      <c r="X23" s="46">
        <f t="shared" si="65"/>
        <v>285</v>
      </c>
      <c r="Y23" s="46">
        <f t="shared" si="65"/>
        <v>289</v>
      </c>
      <c r="Z23" s="46">
        <f t="shared" si="65"/>
        <v>311</v>
      </c>
      <c r="AA23" s="46">
        <f t="shared" si="65"/>
        <v>318</v>
      </c>
      <c r="AB23" s="45">
        <f t="shared" si="65"/>
        <v>284</v>
      </c>
      <c r="AC23" s="46">
        <f t="shared" si="65"/>
        <v>293</v>
      </c>
      <c r="AD23" s="46">
        <f t="shared" si="65"/>
        <v>309</v>
      </c>
      <c r="AE23" s="47">
        <f t="shared" si="65"/>
        <v>314</v>
      </c>
      <c r="AF23" s="46">
        <f t="shared" si="65"/>
        <v>290</v>
      </c>
      <c r="AG23" s="46">
        <f t="shared" si="65"/>
        <v>286</v>
      </c>
      <c r="AH23" s="46">
        <f t="shared" si="65"/>
        <v>325</v>
      </c>
      <c r="AI23" s="46">
        <f t="shared" si="65"/>
        <v>370</v>
      </c>
      <c r="AJ23" s="45">
        <f t="shared" si="65"/>
        <v>363</v>
      </c>
      <c r="AK23" s="46">
        <f t="shared" si="65"/>
        <v>378</v>
      </c>
      <c r="AL23" s="46">
        <f t="shared" si="65"/>
        <v>729</v>
      </c>
      <c r="AM23" s="46">
        <f t="shared" si="65"/>
        <v>933</v>
      </c>
      <c r="AN23" s="45">
        <f t="shared" si="65"/>
        <v>968</v>
      </c>
      <c r="AO23" s="46">
        <f t="shared" si="65"/>
        <v>992</v>
      </c>
      <c r="AP23" s="46">
        <f t="shared" si="65"/>
        <v>1056</v>
      </c>
      <c r="AQ23" s="46">
        <f t="shared" si="65"/>
        <v>1142</v>
      </c>
      <c r="AR23" s="45">
        <f t="shared" ref="AR23:AU23" si="66">AR8-AR18</f>
        <v>1083</v>
      </c>
      <c r="AS23" s="46">
        <f t="shared" si="66"/>
        <v>2125</v>
      </c>
      <c r="AT23" s="46">
        <f t="shared" si="66"/>
        <v>2282</v>
      </c>
      <c r="AU23" s="46">
        <f t="shared" si="66"/>
        <v>2508</v>
      </c>
      <c r="AV23" s="45">
        <f t="shared" ref="AV23:AY23" si="67">AV8-AV18</f>
        <v>2576</v>
      </c>
      <c r="AW23" s="46">
        <f t="shared" si="67"/>
        <v>2637</v>
      </c>
      <c r="AX23" s="46">
        <f t="shared" si="67"/>
        <v>2809</v>
      </c>
      <c r="AY23" s="46">
        <f t="shared" si="67"/>
        <v>3051</v>
      </c>
      <c r="AZ23" s="45">
        <f t="shared" ref="AZ23" si="68">AZ8-AZ18</f>
        <v>3434</v>
      </c>
      <c r="BA23" s="1127">
        <f t="shared" ref="BA23:BC23" si="69">BA149-BA125</f>
        <v>3288.2631099999999</v>
      </c>
      <c r="BB23" s="1127">
        <f t="shared" si="69"/>
        <v>3371.9651125</v>
      </c>
      <c r="BC23" s="1129">
        <f t="shared" si="69"/>
        <v>3577.2064994610005</v>
      </c>
      <c r="BD23" s="1128">
        <f t="shared" ref="BD23:BG23" si="70">BD149-BD125</f>
        <v>3441.6844387216702</v>
      </c>
      <c r="BE23" s="1127">
        <f t="shared" si="70"/>
        <v>3361.7496962489017</v>
      </c>
      <c r="BF23" s="1127">
        <f t="shared" si="70"/>
        <v>3599.5767085210773</v>
      </c>
      <c r="BG23" s="1413">
        <f t="shared" si="70"/>
        <v>3991.8743067066362</v>
      </c>
      <c r="BH23" s="1128">
        <f t="shared" ref="BH23:BK23" si="71">BH149-BH125</f>
        <v>3825.4173825448574</v>
      </c>
      <c r="BI23" s="1127">
        <f t="shared" si="71"/>
        <v>3623.4305252023428</v>
      </c>
      <c r="BJ23" s="1127">
        <f t="shared" si="71"/>
        <v>3775.8233465030444</v>
      </c>
      <c r="BK23" s="1413">
        <f t="shared" si="71"/>
        <v>4009.6515226660372</v>
      </c>
      <c r="BL23" s="232"/>
      <c r="BM23" s="45">
        <f t="shared" ref="BM23:BY23" si="72">BM8-BM18</f>
        <v>500</v>
      </c>
      <c r="BN23" s="46">
        <f t="shared" si="72"/>
        <v>591</v>
      </c>
      <c r="BO23" s="46">
        <f t="shared" si="72"/>
        <v>718</v>
      </c>
      <c r="BP23" s="46">
        <f t="shared" si="72"/>
        <v>629</v>
      </c>
      <c r="BQ23" s="46">
        <f t="shared" si="72"/>
        <v>1025</v>
      </c>
      <c r="BR23" s="46">
        <f t="shared" si="72"/>
        <v>1203</v>
      </c>
      <c r="BS23" s="46">
        <f t="shared" si="72"/>
        <v>1200</v>
      </c>
      <c r="BT23" s="47">
        <f t="shared" si="72"/>
        <v>1271</v>
      </c>
      <c r="BU23" s="45">
        <f t="shared" si="72"/>
        <v>2403</v>
      </c>
      <c r="BV23" s="46">
        <f t="shared" si="72"/>
        <v>4158</v>
      </c>
      <c r="BW23" s="46">
        <f t="shared" ref="BW23" si="73">BW8-BW18</f>
        <v>7998</v>
      </c>
      <c r="BX23" s="46">
        <f t="shared" si="72"/>
        <v>11073</v>
      </c>
      <c r="BY23" s="46">
        <f t="shared" si="72"/>
        <v>13671.434721961001</v>
      </c>
      <c r="BZ23" s="46">
        <f t="shared" ref="BZ23:CA23" si="74">BZ8-BZ18</f>
        <v>14394.885150198286</v>
      </c>
      <c r="CA23" s="1412">
        <f t="shared" si="74"/>
        <v>15234.322776916284</v>
      </c>
      <c r="CB23" s="19"/>
      <c r="CC23" s="45">
        <f t="shared" ref="CC23:CN23" si="75">CC8-CC18</f>
        <v>563</v>
      </c>
      <c r="CD23" s="46">
        <f t="shared" si="75"/>
        <v>623</v>
      </c>
      <c r="CE23" s="46">
        <f t="shared" si="75"/>
        <v>710</v>
      </c>
      <c r="CF23" s="46">
        <f t="shared" si="75"/>
        <v>674</v>
      </c>
      <c r="CG23" s="46">
        <f t="shared" si="75"/>
        <v>1101</v>
      </c>
      <c r="CH23" s="46">
        <f t="shared" si="75"/>
        <v>1202</v>
      </c>
      <c r="CI23" s="45">
        <f t="shared" si="75"/>
        <v>1206</v>
      </c>
      <c r="CJ23" s="46">
        <f t="shared" si="75"/>
        <v>1344</v>
      </c>
      <c r="CK23" s="46">
        <f t="shared" si="75"/>
        <v>3008</v>
      </c>
      <c r="CL23" s="46">
        <f t="shared" si="75"/>
        <v>4273</v>
      </c>
      <c r="CM23" s="46">
        <f t="shared" si="75"/>
        <v>9491</v>
      </c>
      <c r="CN23" s="45">
        <f t="shared" si="75"/>
        <v>11931</v>
      </c>
      <c r="CO23" s="46">
        <f t="shared" ref="CO23" si="76">CO8-CO18</f>
        <v>13679.119160682672</v>
      </c>
      <c r="CP23" s="1412">
        <f t="shared" ref="CP23" si="77">CP8-CP18</f>
        <v>14778.618094021471</v>
      </c>
      <c r="CQ23" s="298"/>
      <c r="CX23" s="7"/>
    </row>
    <row r="24" spans="1:102" ht="14.25" customHeight="1">
      <c r="A24" s="7"/>
      <c r="B24" s="35" t="s">
        <v>359</v>
      </c>
      <c r="C24" s="36"/>
      <c r="D24" s="1013">
        <f>D23/D$8</f>
        <v>0.22</v>
      </c>
      <c r="E24" s="1011">
        <f t="shared" ref="E24:AK24" si="78">E23/E$8</f>
        <v>0.38674033149171272</v>
      </c>
      <c r="F24" s="1011">
        <f t="shared" si="78"/>
        <v>0.39215686274509803</v>
      </c>
      <c r="G24" s="1011">
        <f t="shared" si="78"/>
        <v>0.31297709923664124</v>
      </c>
      <c r="H24" s="1013">
        <f t="shared" si="78"/>
        <v>0.37333333333333335</v>
      </c>
      <c r="I24" s="1011">
        <f t="shared" si="78"/>
        <v>0.39736842105263159</v>
      </c>
      <c r="J24" s="1011">
        <f t="shared" si="78"/>
        <v>0.39370078740157483</v>
      </c>
      <c r="K24" s="1012">
        <f t="shared" si="78"/>
        <v>0.38363171355498721</v>
      </c>
      <c r="L24" s="1013">
        <f t="shared" si="78"/>
        <v>0.42786069651741293</v>
      </c>
      <c r="M24" s="1011">
        <f t="shared" si="78"/>
        <v>0.42335766423357662</v>
      </c>
      <c r="N24" s="1011">
        <f t="shared" si="78"/>
        <v>0.42824601366742598</v>
      </c>
      <c r="O24" s="1012">
        <f t="shared" si="78"/>
        <v>0.4116331096196868</v>
      </c>
      <c r="P24" s="1011">
        <f t="shared" si="78"/>
        <v>0.44565217391304346</v>
      </c>
      <c r="Q24" s="1011">
        <f t="shared" si="78"/>
        <v>0.35384615384615387</v>
      </c>
      <c r="R24" s="1011">
        <f t="shared" si="78"/>
        <v>0.43526170798898073</v>
      </c>
      <c r="S24" s="1011">
        <f t="shared" si="78"/>
        <v>0.44859813084112149</v>
      </c>
      <c r="T24" s="1013">
        <f t="shared" si="78"/>
        <v>0.45833333333333331</v>
      </c>
      <c r="U24" s="1011">
        <f t="shared" si="78"/>
        <v>0.47961165048543691</v>
      </c>
      <c r="V24" s="1011">
        <f t="shared" si="78"/>
        <v>0.50727272727272732</v>
      </c>
      <c r="W24" s="1012">
        <f t="shared" si="78"/>
        <v>0.50699300699300698</v>
      </c>
      <c r="X24" s="1011">
        <f t="shared" si="78"/>
        <v>0.51818181818181819</v>
      </c>
      <c r="Y24" s="1011">
        <f t="shared" si="78"/>
        <v>0.51607142857142863</v>
      </c>
      <c r="Z24" s="1011">
        <f t="shared" si="78"/>
        <v>0.51575456053067992</v>
      </c>
      <c r="AA24" s="1011">
        <f t="shared" si="78"/>
        <v>0.5104333868378812</v>
      </c>
      <c r="AB24" s="1013">
        <f t="shared" si="78"/>
        <v>0.50444049733570162</v>
      </c>
      <c r="AC24" s="1011">
        <f t="shared" si="78"/>
        <v>0.50779896013864823</v>
      </c>
      <c r="AD24" s="1011">
        <f t="shared" si="78"/>
        <v>0.50990099009900991</v>
      </c>
      <c r="AE24" s="1012">
        <f t="shared" si="78"/>
        <v>0.50809061488673135</v>
      </c>
      <c r="AF24" s="1011">
        <f t="shared" si="78"/>
        <v>0.50347222222222221</v>
      </c>
      <c r="AG24" s="1011">
        <f t="shared" si="78"/>
        <v>0.50889679715302494</v>
      </c>
      <c r="AH24" s="1011">
        <f t="shared" si="78"/>
        <v>0.50465838509316774</v>
      </c>
      <c r="AI24" s="1011">
        <f t="shared" si="78"/>
        <v>0.50135501355013545</v>
      </c>
      <c r="AJ24" s="1013">
        <f t="shared" si="78"/>
        <v>0.51198871650211564</v>
      </c>
      <c r="AK24" s="1011">
        <f t="shared" si="78"/>
        <v>0.53922967189728954</v>
      </c>
      <c r="AL24" s="1011">
        <f>AL23/AL$8</f>
        <v>0.57446808510638303</v>
      </c>
      <c r="AM24" s="1011">
        <f>AM23/AM$8</f>
        <v>0.58679245283018866</v>
      </c>
      <c r="AN24" s="1013">
        <f>AN23/AN$8</f>
        <v>0.59204892966360856</v>
      </c>
      <c r="AO24" s="1011">
        <f t="shared" ref="AO24:BC24" si="79">AO23/AO$8</f>
        <v>0.61462205700123917</v>
      </c>
      <c r="AP24" s="1011">
        <f>AP23/AP$8</f>
        <v>0.60864553314121039</v>
      </c>
      <c r="AQ24" s="1011">
        <f>AQ23/AQ$8</f>
        <v>0.6206521739130435</v>
      </c>
      <c r="AR24" s="1141">
        <f>AR23/AR$8</f>
        <v>0.61151891586674201</v>
      </c>
      <c r="AS24" s="1142">
        <f t="shared" ref="AS24" si="80">AS23/AS$8</f>
        <v>0.60011296243998868</v>
      </c>
      <c r="AT24" s="1142">
        <f>AT23/AT$8</f>
        <v>0.60179324894514763</v>
      </c>
      <c r="AU24" s="1142">
        <f>AU23/AU$8</f>
        <v>0.6063829787234043</v>
      </c>
      <c r="AV24" s="1227">
        <f>AV23/AV$8</f>
        <v>0.62237255375694611</v>
      </c>
      <c r="AW24" s="1228">
        <f t="shared" ref="AW24" si="81">AW23/AW$8</f>
        <v>0.62935560859188544</v>
      </c>
      <c r="AX24" s="1307">
        <f>AX23/AX$8</f>
        <v>0.62939726641272686</v>
      </c>
      <c r="AY24" s="1365">
        <f>AY23/AY$8</f>
        <v>0.62985136251032203</v>
      </c>
      <c r="AZ24" s="1364">
        <f>AZ23/AZ$8</f>
        <v>0.64464051060634509</v>
      </c>
      <c r="BA24" s="1365">
        <f>BA23/BA$8</f>
        <v>0.656203724177017</v>
      </c>
      <c r="BB24" s="1365">
        <f t="shared" si="79"/>
        <v>0.64692853829109298</v>
      </c>
      <c r="BC24" s="1366">
        <f t="shared" si="79"/>
        <v>0.64075906385094972</v>
      </c>
      <c r="BD24" s="1364">
        <f t="shared" ref="BD24:BG24" si="82">BD23/BD$8</f>
        <v>0.64557041048157282</v>
      </c>
      <c r="BE24" s="1365">
        <f t="shared" si="82"/>
        <v>0.6492085188983161</v>
      </c>
      <c r="BF24" s="1365">
        <f t="shared" si="82"/>
        <v>0.64889679511217724</v>
      </c>
      <c r="BG24" s="1405">
        <f t="shared" si="82"/>
        <v>0.64618042586797941</v>
      </c>
      <c r="BH24" s="1364">
        <f t="shared" ref="BH24:BK24" si="83">BH23/BH$8</f>
        <v>0.64812030746086779</v>
      </c>
      <c r="BI24" s="1365">
        <f t="shared" si="83"/>
        <v>0.64860739970013448</v>
      </c>
      <c r="BJ24" s="1365">
        <f t="shared" si="83"/>
        <v>0.64951795643210242</v>
      </c>
      <c r="BK24" s="1405">
        <f t="shared" si="83"/>
        <v>0.64856796503688507</v>
      </c>
      <c r="BL24" s="232"/>
      <c r="BM24" s="1013">
        <f t="shared" ref="BM24:BV24" si="84">BM23/BM$8</f>
        <v>0.33046926635822871</v>
      </c>
      <c r="BN24" s="1011">
        <f t="shared" si="84"/>
        <v>0.38703339882121807</v>
      </c>
      <c r="BO24" s="1011">
        <f t="shared" si="84"/>
        <v>0.42260153031194819</v>
      </c>
      <c r="BP24" s="1011">
        <f t="shared" si="84"/>
        <v>0.42385444743935308</v>
      </c>
      <c r="BQ24" s="1011">
        <f t="shared" si="84"/>
        <v>0.48972766364070713</v>
      </c>
      <c r="BR24" s="1011">
        <f t="shared" si="84"/>
        <v>0.51498287671232879</v>
      </c>
      <c r="BS24" s="1011">
        <f t="shared" si="84"/>
        <v>0.50761421319796951</v>
      </c>
      <c r="BT24" s="1012">
        <f t="shared" si="84"/>
        <v>0.50436507936507935</v>
      </c>
      <c r="BU24" s="1364">
        <f t="shared" si="84"/>
        <v>0.56289529163738583</v>
      </c>
      <c r="BV24" s="1365">
        <f t="shared" si="84"/>
        <v>0.60932004689331776</v>
      </c>
      <c r="BW24" s="1365">
        <f>BW23/BW$8</f>
        <v>0.6040785498489426</v>
      </c>
      <c r="BX24" s="1365">
        <f>BX23/BX$8</f>
        <v>0.62786346110229074</v>
      </c>
      <c r="BY24" s="1365">
        <f>BY23/BY$8</f>
        <v>0.64692131196361524</v>
      </c>
      <c r="BZ24" s="1365">
        <f>BZ23/BZ$8</f>
        <v>0.64741708718015234</v>
      </c>
      <c r="CA24" s="1405">
        <f>CA23/CA$8</f>
        <v>0.64869999472441431</v>
      </c>
      <c r="CB24" s="19"/>
      <c r="CC24" s="1013">
        <f t="shared" ref="CC24:CJ24" si="85">CC23/CC$8</f>
        <v>0.36605981794538361</v>
      </c>
      <c r="CD24" s="1011">
        <f t="shared" si="85"/>
        <v>0.40090090090090091</v>
      </c>
      <c r="CE24" s="1011">
        <f t="shared" si="85"/>
        <v>0.42642642642642642</v>
      </c>
      <c r="CF24" s="1011">
        <f t="shared" si="85"/>
        <v>0.42875318066157758</v>
      </c>
      <c r="CG24" s="1011">
        <f t="shared" si="85"/>
        <v>0.50342935528120714</v>
      </c>
      <c r="CH24" s="1011">
        <f t="shared" si="85"/>
        <v>0.51170710940825881</v>
      </c>
      <c r="CI24" s="1141">
        <f t="shared" si="85"/>
        <v>0.50736222128733699</v>
      </c>
      <c r="CJ24" s="1142">
        <f t="shared" si="85"/>
        <v>0.50659630606860162</v>
      </c>
      <c r="CK24" s="1142">
        <f t="shared" ref="CK24:CP24" si="86">CK23/CK$8</f>
        <v>0.5790182868142445</v>
      </c>
      <c r="CL24" s="1142">
        <f t="shared" si="86"/>
        <v>0.6139367816091954</v>
      </c>
      <c r="CM24" s="1142">
        <f t="shared" si="86"/>
        <v>0.60808559712967714</v>
      </c>
      <c r="CN24" s="1364">
        <f t="shared" si="86"/>
        <v>0.63381852953676154</v>
      </c>
      <c r="CO24" s="1365">
        <f t="shared" si="86"/>
        <v>0.64715539396979771</v>
      </c>
      <c r="CP24" s="1405">
        <f t="shared" si="86"/>
        <v>0.64803078735656328</v>
      </c>
      <c r="CQ24" s="7"/>
      <c r="CX24" s="7"/>
    </row>
    <row r="25" spans="1:102" ht="14.25" customHeight="1">
      <c r="A25" s="7"/>
      <c r="B25" s="21"/>
      <c r="C25" s="22"/>
      <c r="D25" s="39"/>
      <c r="E25" s="37"/>
      <c r="F25" s="37"/>
      <c r="G25" s="37"/>
      <c r="H25" s="39"/>
      <c r="I25" s="37"/>
      <c r="J25" s="37"/>
      <c r="K25" s="38"/>
      <c r="L25" s="39"/>
      <c r="M25" s="37"/>
      <c r="N25" s="37"/>
      <c r="O25" s="38"/>
      <c r="P25" s="37"/>
      <c r="Q25" s="37"/>
      <c r="R25" s="37"/>
      <c r="S25" s="37"/>
      <c r="T25" s="39"/>
      <c r="U25" s="37"/>
      <c r="V25" s="37"/>
      <c r="W25" s="38"/>
      <c r="X25" s="37"/>
      <c r="Y25" s="37"/>
      <c r="Z25" s="37"/>
      <c r="AA25" s="37"/>
      <c r="AB25" s="39"/>
      <c r="AC25" s="37"/>
      <c r="AD25" s="37"/>
      <c r="AE25" s="38"/>
      <c r="AF25" s="37"/>
      <c r="AG25" s="37"/>
      <c r="AH25" s="37"/>
      <c r="AI25" s="37"/>
      <c r="AJ25" s="39"/>
      <c r="AK25" s="37"/>
      <c r="AL25" s="37"/>
      <c r="AM25" s="37"/>
      <c r="AN25" s="39"/>
      <c r="AO25" s="37"/>
      <c r="AP25" s="37"/>
      <c r="AQ25" s="37"/>
      <c r="AR25" s="39"/>
      <c r="AS25" s="37"/>
      <c r="AT25" s="37"/>
      <c r="AU25" s="37"/>
      <c r="AV25" s="39"/>
      <c r="AW25" s="37"/>
      <c r="AX25" s="37"/>
      <c r="AY25" s="37"/>
      <c r="AZ25" s="39"/>
      <c r="BA25" s="37"/>
      <c r="BB25" s="37"/>
      <c r="BC25" s="38"/>
      <c r="BD25" s="39"/>
      <c r="BE25" s="37"/>
      <c r="BF25" s="37"/>
      <c r="BG25" s="1411"/>
      <c r="BH25" s="39"/>
      <c r="BI25" s="37"/>
      <c r="BJ25" s="37"/>
      <c r="BK25" s="1411"/>
      <c r="BL25" s="19"/>
      <c r="BM25" s="50"/>
      <c r="BN25" s="40"/>
      <c r="BO25" s="40"/>
      <c r="BP25" s="40"/>
      <c r="BQ25" s="40"/>
      <c r="BR25" s="40"/>
      <c r="BS25" s="40"/>
      <c r="BT25" s="41"/>
      <c r="BU25" s="50"/>
      <c r="BV25" s="40"/>
      <c r="BW25" s="40"/>
      <c r="BX25" s="40"/>
      <c r="BY25" s="40"/>
      <c r="BZ25" s="40"/>
      <c r="CA25" s="1430"/>
      <c r="CB25" s="19"/>
      <c r="CC25" s="50"/>
      <c r="CD25" s="40"/>
      <c r="CE25" s="40"/>
      <c r="CF25" s="40"/>
      <c r="CG25" s="40"/>
      <c r="CH25" s="40"/>
      <c r="CI25" s="50"/>
      <c r="CJ25" s="40"/>
      <c r="CK25" s="40"/>
      <c r="CL25" s="40"/>
      <c r="CM25" s="40"/>
      <c r="CN25" s="50"/>
      <c r="CO25" s="40"/>
      <c r="CP25" s="1430"/>
      <c r="CQ25" s="7"/>
      <c r="CX25" s="7"/>
    </row>
    <row r="26" spans="1:102" ht="14.25" hidden="1" customHeight="1">
      <c r="A26" s="7"/>
      <c r="B26" s="21"/>
      <c r="C26" s="22"/>
      <c r="D26" s="29"/>
      <c r="E26" s="30"/>
      <c r="F26" s="30"/>
      <c r="G26" s="30"/>
      <c r="H26" s="29"/>
      <c r="I26" s="30"/>
      <c r="J26" s="30"/>
      <c r="K26" s="31"/>
      <c r="L26" s="29"/>
      <c r="M26" s="30"/>
      <c r="N26" s="30"/>
      <c r="O26" s="31"/>
      <c r="P26" s="30"/>
      <c r="Q26" s="30"/>
      <c r="R26" s="30"/>
      <c r="S26" s="30"/>
      <c r="T26" s="29"/>
      <c r="U26" s="30"/>
      <c r="V26" s="30"/>
      <c r="W26" s="31"/>
      <c r="X26" s="30"/>
      <c r="Y26" s="30"/>
      <c r="Z26" s="30"/>
      <c r="AA26" s="30"/>
      <c r="AB26" s="29"/>
      <c r="AC26" s="30"/>
      <c r="AD26" s="30"/>
      <c r="AE26" s="31"/>
      <c r="AF26" s="30"/>
      <c r="AG26" s="30"/>
      <c r="AH26" s="30"/>
      <c r="AI26" s="30"/>
      <c r="AJ26" s="29"/>
      <c r="AK26" s="30"/>
      <c r="AL26" s="30"/>
      <c r="AM26" s="757"/>
      <c r="AN26" s="29"/>
      <c r="AO26" s="30"/>
      <c r="AP26" s="30"/>
      <c r="AQ26" s="757"/>
      <c r="AR26" s="29"/>
      <c r="AS26" s="30"/>
      <c r="AT26" s="30"/>
      <c r="AU26" s="757"/>
      <c r="AV26" s="29"/>
      <c r="AW26" s="30"/>
      <c r="AX26" s="30"/>
      <c r="AY26" s="1354"/>
      <c r="AZ26" s="29"/>
      <c r="BA26" s="1347"/>
      <c r="BB26" s="1347"/>
      <c r="BC26" s="1348"/>
      <c r="BD26" s="1349"/>
      <c r="BE26" s="1347"/>
      <c r="BF26" s="1347"/>
      <c r="BG26" s="1414"/>
      <c r="BH26" s="1349"/>
      <c r="BI26" s="1347"/>
      <c r="BJ26" s="1347"/>
      <c r="BK26" s="1414"/>
      <c r="BL26" s="19"/>
      <c r="BM26" s="34"/>
      <c r="BN26" s="32"/>
      <c r="BO26" s="32"/>
      <c r="BP26" s="32"/>
      <c r="BQ26" s="32"/>
      <c r="BR26" s="32"/>
      <c r="BS26" s="32"/>
      <c r="BT26" s="33"/>
      <c r="BU26" s="34"/>
      <c r="BV26" s="32"/>
      <c r="BW26" s="32"/>
      <c r="BX26" s="32"/>
      <c r="BY26" s="32"/>
      <c r="BZ26" s="32"/>
      <c r="CA26" s="1410"/>
      <c r="CB26" s="19"/>
      <c r="CC26" s="34"/>
      <c r="CD26" s="32"/>
      <c r="CE26" s="32"/>
      <c r="CF26" s="32"/>
      <c r="CG26" s="32"/>
      <c r="CH26" s="32"/>
      <c r="CI26" s="34"/>
      <c r="CJ26" s="32"/>
      <c r="CK26" s="32"/>
      <c r="CL26" s="32"/>
      <c r="CM26" s="32"/>
      <c r="CN26" s="34"/>
      <c r="CO26" s="32"/>
      <c r="CP26" s="1410"/>
      <c r="CQ26" s="7"/>
      <c r="CX26" s="7"/>
    </row>
    <row r="27" spans="1:102" ht="14.25" hidden="1" customHeight="1">
      <c r="A27" s="7"/>
      <c r="B27" s="35"/>
      <c r="C27" s="36"/>
      <c r="D27" s="1013"/>
      <c r="E27" s="1011"/>
      <c r="F27" s="1011"/>
      <c r="G27" s="1011"/>
      <c r="H27" s="1013"/>
      <c r="I27" s="1011"/>
      <c r="J27" s="1011"/>
      <c r="K27" s="1012"/>
      <c r="L27" s="1013"/>
      <c r="M27" s="1011"/>
      <c r="N27" s="1011"/>
      <c r="O27" s="1012"/>
      <c r="P27" s="1011"/>
      <c r="Q27" s="1011"/>
      <c r="R27" s="1011"/>
      <c r="S27" s="1011"/>
      <c r="T27" s="1013"/>
      <c r="U27" s="1011"/>
      <c r="V27" s="1011"/>
      <c r="W27" s="1012"/>
      <c r="X27" s="1011"/>
      <c r="Y27" s="1011"/>
      <c r="Z27" s="1011"/>
      <c r="AA27" s="1011"/>
      <c r="AB27" s="1013"/>
      <c r="AC27" s="1011"/>
      <c r="AD27" s="1011"/>
      <c r="AE27" s="1012"/>
      <c r="AF27" s="1011"/>
      <c r="AG27" s="1011"/>
      <c r="AH27" s="1011"/>
      <c r="AI27" s="1011"/>
      <c r="AJ27" s="1013"/>
      <c r="AK27" s="1011"/>
      <c r="AL27" s="1011"/>
      <c r="AM27" s="1011"/>
      <c r="AN27" s="1013"/>
      <c r="AO27" s="1011"/>
      <c r="AP27" s="1011"/>
      <c r="AQ27" s="1011"/>
      <c r="AR27" s="1141"/>
      <c r="AS27" s="1142"/>
      <c r="AT27" s="1142"/>
      <c r="AU27" s="1142"/>
      <c r="AV27" s="1227"/>
      <c r="AW27" s="1228"/>
      <c r="AX27" s="1307"/>
      <c r="AY27" s="1365"/>
      <c r="AZ27" s="1364"/>
      <c r="BA27" s="30"/>
      <c r="BB27" s="30"/>
      <c r="BC27" s="31"/>
      <c r="BD27" s="29"/>
      <c r="BE27" s="30"/>
      <c r="BF27" s="30"/>
      <c r="BG27" s="1415"/>
      <c r="BH27" s="29"/>
      <c r="BI27" s="30"/>
      <c r="BJ27" s="30"/>
      <c r="BK27" s="1415"/>
      <c r="BL27" s="19"/>
      <c r="BM27" s="1013"/>
      <c r="BN27" s="1011"/>
      <c r="BO27" s="1011"/>
      <c r="BP27" s="1011"/>
      <c r="BQ27" s="1011"/>
      <c r="BR27" s="1011"/>
      <c r="BS27" s="1011"/>
      <c r="BT27" s="1012"/>
      <c r="BU27" s="1364"/>
      <c r="BV27" s="1365"/>
      <c r="BW27" s="1365"/>
      <c r="BX27" s="1365"/>
      <c r="BY27" s="1365"/>
      <c r="BZ27" s="1365"/>
      <c r="CA27" s="1405"/>
      <c r="CB27" s="19"/>
      <c r="CC27" s="1013"/>
      <c r="CD27" s="1011"/>
      <c r="CE27" s="1011"/>
      <c r="CF27" s="1011"/>
      <c r="CG27" s="1011"/>
      <c r="CH27" s="1011"/>
      <c r="CI27" s="1141"/>
      <c r="CJ27" s="1142"/>
      <c r="CK27" s="1142"/>
      <c r="CL27" s="1142"/>
      <c r="CM27" s="1142"/>
      <c r="CN27" s="1364"/>
      <c r="CO27" s="1365"/>
      <c r="CP27" s="1405"/>
      <c r="CQ27" s="7"/>
      <c r="CX27" s="7"/>
    </row>
    <row r="28" spans="1:102" ht="14.25" customHeight="1">
      <c r="A28" s="7"/>
      <c r="B28" s="21" t="s">
        <v>121</v>
      </c>
      <c r="C28" s="22"/>
      <c r="D28" s="29">
        <v>55</v>
      </c>
      <c r="E28" s="30">
        <v>48</v>
      </c>
      <c r="F28" s="30">
        <v>57</v>
      </c>
      <c r="G28" s="30">
        <v>49</v>
      </c>
      <c r="H28" s="29">
        <v>50</v>
      </c>
      <c r="I28" s="30">
        <v>51</v>
      </c>
      <c r="J28" s="30">
        <v>53</v>
      </c>
      <c r="K28" s="31">
        <v>51</v>
      </c>
      <c r="L28" s="29">
        <v>66</v>
      </c>
      <c r="M28" s="30">
        <v>62</v>
      </c>
      <c r="N28" s="30">
        <v>68</v>
      </c>
      <c r="O28" s="31">
        <v>69</v>
      </c>
      <c r="P28" s="30">
        <v>62</v>
      </c>
      <c r="Q28" s="30">
        <v>59</v>
      </c>
      <c r="R28" s="30">
        <v>59</v>
      </c>
      <c r="S28" s="30">
        <v>65</v>
      </c>
      <c r="T28" s="29">
        <v>64</v>
      </c>
      <c r="U28" s="30">
        <v>70</v>
      </c>
      <c r="V28" s="30">
        <v>71</v>
      </c>
      <c r="W28" s="31">
        <v>75</v>
      </c>
      <c r="X28" s="30">
        <v>73</v>
      </c>
      <c r="Y28" s="30">
        <v>76</v>
      </c>
      <c r="Z28" s="30">
        <v>85</v>
      </c>
      <c r="AA28" s="30">
        <v>83</v>
      </c>
      <c r="AB28" s="29">
        <v>82</v>
      </c>
      <c r="AC28" s="30">
        <v>84</v>
      </c>
      <c r="AD28" s="30">
        <v>89</v>
      </c>
      <c r="AE28" s="31">
        <v>80</v>
      </c>
      <c r="AF28" s="30">
        <v>93</v>
      </c>
      <c r="AG28" s="30">
        <v>95</v>
      </c>
      <c r="AH28" s="30">
        <v>101</v>
      </c>
      <c r="AI28" s="30">
        <v>108</v>
      </c>
      <c r="AJ28" s="29">
        <v>107</v>
      </c>
      <c r="AK28" s="30">
        <v>114</v>
      </c>
      <c r="AL28" s="30">
        <v>240</v>
      </c>
      <c r="AM28" s="30">
        <v>234</v>
      </c>
      <c r="AN28" s="29">
        <v>235</v>
      </c>
      <c r="AO28" s="30">
        <v>251</v>
      </c>
      <c r="AP28" s="30">
        <v>276</v>
      </c>
      <c r="AQ28" s="30">
        <v>287</v>
      </c>
      <c r="AR28" s="29">
        <v>267</v>
      </c>
      <c r="AS28" s="30">
        <v>787</v>
      </c>
      <c r="AT28" s="30">
        <v>814</v>
      </c>
      <c r="AU28" s="30">
        <v>806</v>
      </c>
      <c r="AV28" s="29">
        <v>808</v>
      </c>
      <c r="AW28" s="30">
        <v>829</v>
      </c>
      <c r="AX28" s="30">
        <v>827</v>
      </c>
      <c r="AY28" s="30">
        <v>828</v>
      </c>
      <c r="AZ28" s="29">
        <v>925</v>
      </c>
      <c r="BA28" s="1343">
        <f t="shared" ref="BA28:BC28" si="87">BA32-BA35</f>
        <v>931.64191056880031</v>
      </c>
      <c r="BB28" s="1343">
        <f t="shared" si="87"/>
        <v>932.87751143053265</v>
      </c>
      <c r="BC28" s="1342">
        <f t="shared" si="87"/>
        <v>943.82629987607356</v>
      </c>
      <c r="BD28" s="1344">
        <f t="shared" ref="BD28:BG28" si="88">BD32-BD35</f>
        <v>934.47436480097144</v>
      </c>
      <c r="BE28" s="1343">
        <f t="shared" si="88"/>
        <v>928.57108010150637</v>
      </c>
      <c r="BF28" s="1343">
        <f t="shared" si="88"/>
        <v>972.29175159283295</v>
      </c>
      <c r="BG28" s="1416">
        <f t="shared" si="88"/>
        <v>1044.9997821578602</v>
      </c>
      <c r="BH28" s="1344">
        <f t="shared" ref="BH28:BK28" si="89">BH32-BH35</f>
        <v>1019.6187555921201</v>
      </c>
      <c r="BI28" s="1343">
        <f t="shared" si="89"/>
        <v>989.82244436073643</v>
      </c>
      <c r="BJ28" s="1343">
        <f t="shared" si="89"/>
        <v>1011.822279646042</v>
      </c>
      <c r="BK28" s="1416">
        <f t="shared" si="89"/>
        <v>1046.9228442574033</v>
      </c>
      <c r="BL28" s="19"/>
      <c r="BM28" s="34">
        <f>SUM(D28:G28)</f>
        <v>209</v>
      </c>
      <c r="BN28" s="32">
        <f>SUM(H28:K28)</f>
        <v>205</v>
      </c>
      <c r="BO28" s="32">
        <f>SUM(L28:O28)</f>
        <v>265</v>
      </c>
      <c r="BP28" s="32">
        <f>SUM(P28:S28)</f>
        <v>245</v>
      </c>
      <c r="BQ28" s="32">
        <f>SUM(T28:W28)</f>
        <v>280</v>
      </c>
      <c r="BR28" s="32">
        <f>SUM(X28:AA28)</f>
        <v>317</v>
      </c>
      <c r="BS28" s="32">
        <f>SUM(AB28:AE28)</f>
        <v>335</v>
      </c>
      <c r="BT28" s="33">
        <f>SUM(AF28:AI28)</f>
        <v>397</v>
      </c>
      <c r="BU28" s="34">
        <f>SUM(AJ28:AM28)</f>
        <v>695</v>
      </c>
      <c r="BV28" s="32">
        <f>SUM(AN28:AQ28)</f>
        <v>1049</v>
      </c>
      <c r="BW28" s="32">
        <f>SUM(AR28:AU28)</f>
        <v>2674</v>
      </c>
      <c r="BX28" s="32">
        <f>SUM(AV28:AY28)</f>
        <v>3292</v>
      </c>
      <c r="BY28" s="32">
        <f>SUM(AZ28:BC28)</f>
        <v>3733.3457218754065</v>
      </c>
      <c r="BZ28" s="32">
        <f>SUM(BD28:BG28)</f>
        <v>3880.3369786531712</v>
      </c>
      <c r="CA28" s="1410">
        <f>SUM(BH28:BK28)</f>
        <v>4068.1863238563019</v>
      </c>
      <c r="CB28" s="19"/>
      <c r="CC28" s="34">
        <f>SUM(E28:H28)</f>
        <v>204</v>
      </c>
      <c r="CD28" s="32">
        <f>SUM(I28:L28)</f>
        <v>221</v>
      </c>
      <c r="CE28" s="32">
        <f>SUM(M28:P28)</f>
        <v>261</v>
      </c>
      <c r="CF28" s="32">
        <f>SUM(Q28:T28)</f>
        <v>247</v>
      </c>
      <c r="CG28" s="32">
        <f>SUM(U28:X28)</f>
        <v>289</v>
      </c>
      <c r="CH28" s="32">
        <f>SUM(Y28:AB28)</f>
        <v>326</v>
      </c>
      <c r="CI28" s="34">
        <f>SUM(AC28:AF28)</f>
        <v>346</v>
      </c>
      <c r="CJ28" s="32">
        <f>SUM(AG28:AJ28)</f>
        <v>411</v>
      </c>
      <c r="CK28" s="32">
        <f>SUM(AK28:AN28)</f>
        <v>823</v>
      </c>
      <c r="CL28" s="32">
        <f>SUM(AO28:AR28)</f>
        <v>1081</v>
      </c>
      <c r="CM28" s="25">
        <f>SUM(AS28:AV28)</f>
        <v>3215</v>
      </c>
      <c r="CN28" s="26">
        <f>SUM(AW28:AZ28)</f>
        <v>3409</v>
      </c>
      <c r="CO28" s="25">
        <f>SUM(BA28:BD28)</f>
        <v>3742.8200866763782</v>
      </c>
      <c r="CP28" s="1444">
        <f>SUM(BE28:BH28)</f>
        <v>3965.4813694443196</v>
      </c>
      <c r="CQ28" s="7"/>
      <c r="CX28" s="7"/>
    </row>
    <row r="29" spans="1:102" s="761" customFormat="1" ht="14.25" customHeight="1">
      <c r="B29" s="35" t="s">
        <v>231</v>
      </c>
      <c r="D29" s="930">
        <f t="shared" ref="D29:AI29" si="90">D28/D8</f>
        <v>0.15714285714285714</v>
      </c>
      <c r="E29" s="931">
        <f t="shared" si="90"/>
        <v>0.13259668508287292</v>
      </c>
      <c r="F29" s="931">
        <f t="shared" si="90"/>
        <v>0.13970588235294118</v>
      </c>
      <c r="G29" s="931">
        <f t="shared" si="90"/>
        <v>0.12468193384223919</v>
      </c>
      <c r="H29" s="930">
        <f t="shared" si="90"/>
        <v>0.13333333333333333</v>
      </c>
      <c r="I29" s="931">
        <f t="shared" si="90"/>
        <v>0.13421052631578947</v>
      </c>
      <c r="J29" s="931">
        <f t="shared" si="90"/>
        <v>0.13910761154855644</v>
      </c>
      <c r="K29" s="932">
        <f t="shared" si="90"/>
        <v>0.13043478260869565</v>
      </c>
      <c r="L29" s="930">
        <f t="shared" si="90"/>
        <v>0.16417910447761194</v>
      </c>
      <c r="M29" s="931">
        <f t="shared" si="90"/>
        <v>0.15085158150851583</v>
      </c>
      <c r="N29" s="931">
        <f t="shared" si="90"/>
        <v>0.15489749430523919</v>
      </c>
      <c r="O29" s="932">
        <f t="shared" si="90"/>
        <v>0.15436241610738255</v>
      </c>
      <c r="P29" s="931">
        <f t="shared" si="90"/>
        <v>0.16847826086956522</v>
      </c>
      <c r="Q29" s="931">
        <f t="shared" si="90"/>
        <v>0.18153846153846154</v>
      </c>
      <c r="R29" s="931">
        <f t="shared" si="90"/>
        <v>0.16253443526170799</v>
      </c>
      <c r="S29" s="931">
        <f t="shared" si="90"/>
        <v>0.15186915887850466</v>
      </c>
      <c r="T29" s="930">
        <f t="shared" si="90"/>
        <v>0.14035087719298245</v>
      </c>
      <c r="U29" s="931">
        <f t="shared" si="90"/>
        <v>0.13592233009708737</v>
      </c>
      <c r="V29" s="931">
        <f t="shared" si="90"/>
        <v>0.12909090909090909</v>
      </c>
      <c r="W29" s="932">
        <f t="shared" si="90"/>
        <v>0.13111888111888112</v>
      </c>
      <c r="X29" s="931">
        <f t="shared" si="90"/>
        <v>0.13272727272727272</v>
      </c>
      <c r="Y29" s="931">
        <f t="shared" si="90"/>
        <v>0.1357142857142857</v>
      </c>
      <c r="Z29" s="931">
        <f t="shared" si="90"/>
        <v>0.14096185737976782</v>
      </c>
      <c r="AA29" s="931">
        <f t="shared" si="90"/>
        <v>0.1332263242375602</v>
      </c>
      <c r="AB29" s="930">
        <f t="shared" si="90"/>
        <v>0.14564831261101244</v>
      </c>
      <c r="AC29" s="931">
        <f t="shared" si="90"/>
        <v>0.14558058925476602</v>
      </c>
      <c r="AD29" s="931">
        <f t="shared" si="90"/>
        <v>0.14686468646864687</v>
      </c>
      <c r="AE29" s="932">
        <f t="shared" si="90"/>
        <v>0.12944983818770225</v>
      </c>
      <c r="AF29" s="931">
        <f t="shared" si="90"/>
        <v>0.16145833333333334</v>
      </c>
      <c r="AG29" s="931">
        <f t="shared" si="90"/>
        <v>0.16903914590747332</v>
      </c>
      <c r="AH29" s="931">
        <f t="shared" si="90"/>
        <v>0.15683229813664595</v>
      </c>
      <c r="AI29" s="931">
        <f t="shared" si="90"/>
        <v>0.14634146341463414</v>
      </c>
      <c r="AJ29" s="930">
        <f t="shared" ref="AJ29:BC29" si="91">AJ28/AJ8</f>
        <v>0.15091678420310295</v>
      </c>
      <c r="AK29" s="931">
        <f t="shared" si="91"/>
        <v>0.16262482168330955</v>
      </c>
      <c r="AL29" s="931">
        <f t="shared" si="91"/>
        <v>0.18912529550827423</v>
      </c>
      <c r="AM29" s="931">
        <f t="shared" si="91"/>
        <v>0.14716981132075471</v>
      </c>
      <c r="AN29" s="930">
        <f t="shared" si="91"/>
        <v>0.14373088685015289</v>
      </c>
      <c r="AO29" s="931">
        <f t="shared" si="91"/>
        <v>0.15551425030978935</v>
      </c>
      <c r="AP29" s="931">
        <f t="shared" si="91"/>
        <v>0.15907780979827088</v>
      </c>
      <c r="AQ29" s="931">
        <f t="shared" si="91"/>
        <v>0.15597826086956521</v>
      </c>
      <c r="AR29" s="930">
        <f t="shared" ref="AR29:AU29" si="92">AR28/AR8</f>
        <v>0.15076228119706381</v>
      </c>
      <c r="AS29" s="931">
        <f t="shared" si="92"/>
        <v>0.22225360067777464</v>
      </c>
      <c r="AT29" s="931">
        <f t="shared" si="92"/>
        <v>0.21466244725738395</v>
      </c>
      <c r="AU29" s="931">
        <f t="shared" si="92"/>
        <v>0.1948742746615087</v>
      </c>
      <c r="AV29" s="930">
        <f t="shared" ref="AV29:AY29" si="93">AV28/AV8</f>
        <v>0.19521623580575018</v>
      </c>
      <c r="AW29" s="931">
        <f t="shared" si="93"/>
        <v>0.19785202863961815</v>
      </c>
      <c r="AX29" s="1353">
        <f t="shared" si="93"/>
        <v>0.18530136679363657</v>
      </c>
      <c r="AY29" s="1353">
        <f t="shared" si="93"/>
        <v>0.17093311312964493</v>
      </c>
      <c r="AZ29" s="1459">
        <f t="shared" ref="AZ29" si="94">AZ28/AZ8</f>
        <v>0.17364370189600151</v>
      </c>
      <c r="BA29" s="1371">
        <f t="shared" si="91"/>
        <v>0.18591787544477795</v>
      </c>
      <c r="BB29" s="1371">
        <f t="shared" si="91"/>
        <v>0.178977262438799</v>
      </c>
      <c r="BC29" s="1374">
        <f t="shared" si="91"/>
        <v>0.16906076192068373</v>
      </c>
      <c r="BD29" s="1367">
        <f t="shared" ref="BD29:BG29" si="95">BD28/BD8</f>
        <v>0.1752830656064272</v>
      </c>
      <c r="BE29" s="1371">
        <f t="shared" si="95"/>
        <v>0.17932217151002161</v>
      </c>
      <c r="BF29" s="1371">
        <f t="shared" si="95"/>
        <v>0.17527533168804538</v>
      </c>
      <c r="BG29" s="1417">
        <f t="shared" si="95"/>
        <v>0.169158233046624</v>
      </c>
      <c r="BH29" s="1367">
        <f t="shared" ref="BH29:BK29" si="96">BH28/BH8</f>
        <v>0.17274863244533376</v>
      </c>
      <c r="BI29" s="1371">
        <f t="shared" si="96"/>
        <v>0.17718186048725107</v>
      </c>
      <c r="BJ29" s="1371">
        <f t="shared" si="96"/>
        <v>0.17405388945349554</v>
      </c>
      <c r="BK29" s="1417">
        <f t="shared" si="96"/>
        <v>0.16934155370169948</v>
      </c>
      <c r="BL29" s="1437"/>
      <c r="BM29" s="1013">
        <f t="shared" ref="BM29:BT29" si="97">BM28/BM8</f>
        <v>0.1381361533377396</v>
      </c>
      <c r="BN29" s="1011">
        <f t="shared" si="97"/>
        <v>0.13425016371971185</v>
      </c>
      <c r="BO29" s="1011">
        <f t="shared" si="97"/>
        <v>0.15597410241318421</v>
      </c>
      <c r="BP29" s="1011">
        <f t="shared" si="97"/>
        <v>0.1650943396226415</v>
      </c>
      <c r="BQ29" s="1011">
        <f t="shared" si="97"/>
        <v>0.13377926421404682</v>
      </c>
      <c r="BR29" s="1011">
        <f t="shared" si="97"/>
        <v>0.13570205479452055</v>
      </c>
      <c r="BS29" s="1011">
        <f t="shared" si="97"/>
        <v>0.14170896785109982</v>
      </c>
      <c r="BT29" s="1012">
        <f t="shared" si="97"/>
        <v>0.15753968253968254</v>
      </c>
      <c r="BU29" s="1367">
        <f t="shared" ref="BU29:BZ29" si="98">BU28/BU13</f>
        <v>0.29055183946488294</v>
      </c>
      <c r="BV29" s="1371">
        <f t="shared" si="98"/>
        <v>0.3206970345460104</v>
      </c>
      <c r="BW29" s="1371">
        <f t="shared" si="98"/>
        <v>0.3663013698630137</v>
      </c>
      <c r="BX29" s="1371">
        <f t="shared" si="98"/>
        <v>0.36068806836857675</v>
      </c>
      <c r="BY29" s="1371">
        <f t="shared" si="98"/>
        <v>0.45156137792563811</v>
      </c>
      <c r="BZ29" s="1371">
        <f t="shared" si="98"/>
        <v>0.49497599173811596</v>
      </c>
      <c r="CA29" s="1417">
        <f t="shared" ref="CA29" si="99">CA28/CA13</f>
        <v>0.49310955802541029</v>
      </c>
      <c r="CB29" s="1437"/>
      <c r="CC29" s="1013">
        <f t="shared" ref="CC29:CN29" si="100">CC28/CC8</f>
        <v>0.13263979193758127</v>
      </c>
      <c r="CD29" s="1013">
        <f t="shared" si="100"/>
        <v>0.14221364221364222</v>
      </c>
      <c r="CE29" s="1013">
        <f t="shared" si="100"/>
        <v>0.15675675675675677</v>
      </c>
      <c r="CF29" s="1013">
        <f t="shared" si="100"/>
        <v>0.15712468193384224</v>
      </c>
      <c r="CG29" s="1013">
        <f t="shared" si="100"/>
        <v>0.13214449016918153</v>
      </c>
      <c r="CH29" s="1013">
        <f t="shared" si="100"/>
        <v>0.13878246062154109</v>
      </c>
      <c r="CI29" s="1141">
        <f t="shared" si="100"/>
        <v>0.14556163230963398</v>
      </c>
      <c r="CJ29" s="1142">
        <f t="shared" si="100"/>
        <v>0.15491895966830005</v>
      </c>
      <c r="CK29" s="1172">
        <f t="shared" si="100"/>
        <v>0.15842155919153031</v>
      </c>
      <c r="CL29" s="1172">
        <f t="shared" si="100"/>
        <v>0.15531609195402299</v>
      </c>
      <c r="CM29" s="1172">
        <f t="shared" si="100"/>
        <v>0.20598411071245515</v>
      </c>
      <c r="CN29" s="1367">
        <f t="shared" si="100"/>
        <v>0.18109859753506163</v>
      </c>
      <c r="CO29" s="1371">
        <f t="shared" ref="CO29" si="101">CO28/CO8</f>
        <v>0.17707179675085466</v>
      </c>
      <c r="CP29" s="1417">
        <f t="shared" ref="CP29" si="102">CP28/CP8</f>
        <v>0.17388324116233514</v>
      </c>
      <c r="CR29"/>
      <c r="CS29"/>
      <c r="CT29"/>
      <c r="CU29"/>
      <c r="CV29"/>
      <c r="CW29"/>
    </row>
    <row r="30" spans="1:102" s="761" customFormat="1" ht="14.25" customHeight="1">
      <c r="B30" s="35" t="s">
        <v>232</v>
      </c>
      <c r="D30" s="930"/>
      <c r="E30" s="931">
        <f t="shared" ref="E30:AZ30" si="103">(E28/D28-1)/E10</f>
        <v>-3.7121212121212168</v>
      </c>
      <c r="F30" s="931">
        <f t="shared" si="103"/>
        <v>1.4755434782608694</v>
      </c>
      <c r="G30" s="931">
        <f t="shared" si="103"/>
        <v>3.8175438596491245</v>
      </c>
      <c r="H30" s="930">
        <f t="shared" si="103"/>
        <v>-0.44557823129251783</v>
      </c>
      <c r="I30" s="931">
        <f t="shared" si="103"/>
        <v>1.4999999999999916</v>
      </c>
      <c r="J30" s="931">
        <f t="shared" si="103"/>
        <v>14.901960784314339</v>
      </c>
      <c r="K30" s="932">
        <f t="shared" si="103"/>
        <v>-1.4377358490566019</v>
      </c>
      <c r="L30" s="930">
        <f t="shared" si="103"/>
        <v>10.454545454545483</v>
      </c>
      <c r="M30" s="931">
        <f t="shared" si="103"/>
        <v>-2.7070707070707103</v>
      </c>
      <c r="N30" s="931">
        <f t="shared" si="103"/>
        <v>1.4205069124423968</v>
      </c>
      <c r="O30" s="932">
        <f t="shared" si="103"/>
        <v>0.80698529411764497</v>
      </c>
      <c r="P30" s="931">
        <f t="shared" si="103"/>
        <v>0.57402311502476611</v>
      </c>
      <c r="Q30" s="931">
        <f t="shared" si="103"/>
        <v>0.41410352588146992</v>
      </c>
      <c r="R30" s="931">
        <f t="shared" si="103"/>
        <v>0</v>
      </c>
      <c r="S30" s="931">
        <f t="shared" si="103"/>
        <v>0.56792698826597132</v>
      </c>
      <c r="T30" s="930">
        <f t="shared" si="103"/>
        <v>-0.23516483516483469</v>
      </c>
      <c r="U30" s="931">
        <f t="shared" si="103"/>
        <v>0.72457627118644119</v>
      </c>
      <c r="V30" s="931">
        <f t="shared" si="103"/>
        <v>0.21020408163265242</v>
      </c>
      <c r="W30" s="932">
        <f t="shared" si="103"/>
        <v>1.4084507042253489</v>
      </c>
      <c r="X30" s="931">
        <f t="shared" si="103"/>
        <v>0.69333333333333247</v>
      </c>
      <c r="Y30" s="931">
        <f t="shared" si="103"/>
        <v>2.2602739726027496</v>
      </c>
      <c r="Z30" s="931">
        <f t="shared" si="103"/>
        <v>1.5422276621787041</v>
      </c>
      <c r="AA30" s="931">
        <f t="shared" si="103"/>
        <v>-0.70941176470588163</v>
      </c>
      <c r="AB30" s="930">
        <f t="shared" si="103"/>
        <v>0.12510040160642616</v>
      </c>
      <c r="AC30" s="931">
        <f t="shared" si="103"/>
        <v>0.98083623693380084</v>
      </c>
      <c r="AD30" s="931">
        <f t="shared" si="103"/>
        <v>1.1843185550082098</v>
      </c>
      <c r="AE30" s="932">
        <f t="shared" si="103"/>
        <v>-5.1067415730337045</v>
      </c>
      <c r="AF30" s="931">
        <f t="shared" si="103"/>
        <v>-2.391071428571431</v>
      </c>
      <c r="AG30" s="931">
        <f t="shared" si="103"/>
        <v>-0.88479262672810888</v>
      </c>
      <c r="AH30" s="931">
        <f t="shared" si="103"/>
        <v>0.43286264441591743</v>
      </c>
      <c r="AI30" s="931">
        <f t="shared" si="103"/>
        <v>0.47482620602485787</v>
      </c>
      <c r="AJ30" s="930">
        <f t="shared" si="103"/>
        <v>0.23563218390804674</v>
      </c>
      <c r="AK30" s="931">
        <f t="shared" si="103"/>
        <v>-5.7978971962616823</v>
      </c>
      <c r="AL30" s="931">
        <f t="shared" si="103"/>
        <v>1.364065974796145</v>
      </c>
      <c r="AM30" s="931">
        <f t="shared" si="103"/>
        <v>-9.8831775700934654E-2</v>
      </c>
      <c r="AN30" s="930">
        <f t="shared" si="103"/>
        <v>0.15099715099714991</v>
      </c>
      <c r="AO30" s="931">
        <f t="shared" si="103"/>
        <v>-5.300911854103374</v>
      </c>
      <c r="AP30" s="931">
        <f t="shared" si="103"/>
        <v>1.3285700174508579</v>
      </c>
      <c r="AQ30" s="931">
        <f t="shared" si="103"/>
        <v>0.65855762594893008</v>
      </c>
      <c r="AR30" s="930">
        <f t="shared" si="103"/>
        <v>1.8583042973286883</v>
      </c>
      <c r="AS30" s="931">
        <f t="shared" si="103"/>
        <v>1.9486658625870206</v>
      </c>
      <c r="AT30" s="931">
        <f t="shared" si="103"/>
        <v>0.48399540339278063</v>
      </c>
      <c r="AU30" s="931">
        <f t="shared" si="103"/>
        <v>-0.10833666647620116</v>
      </c>
      <c r="AV30" s="930">
        <f t="shared" si="103"/>
        <v>3.4210090984281907</v>
      </c>
      <c r="AW30" s="931">
        <f t="shared" si="103"/>
        <v>2.1092748980780525</v>
      </c>
      <c r="AX30" s="1353">
        <f t="shared" si="103"/>
        <v>-3.7027708921556907E-2</v>
      </c>
      <c r="AY30" s="1353">
        <f t="shared" si="103"/>
        <v>1.4164341911915804E-2</v>
      </c>
      <c r="AZ30" s="1459">
        <f t="shared" si="103"/>
        <v>1.1748932297136467</v>
      </c>
      <c r="BA30" s="934"/>
      <c r="BB30" s="934"/>
      <c r="BC30" s="935"/>
      <c r="BD30" s="933"/>
      <c r="BE30" s="934"/>
      <c r="BF30" s="934"/>
      <c r="BG30" s="1418"/>
      <c r="BH30" s="933"/>
      <c r="BI30" s="934"/>
      <c r="BJ30" s="934"/>
      <c r="BK30" s="1418"/>
      <c r="BL30" s="1437"/>
      <c r="BM30" s="1013"/>
      <c r="BN30" s="1011">
        <f>(BN28/BM28-1)/BN13</f>
        <v>-1.64281167217693E-5</v>
      </c>
      <c r="BO30" s="1011">
        <f>(BO28/BN28-1)/BO13</f>
        <v>2.8034763106251758E-4</v>
      </c>
      <c r="BP30" s="1011">
        <f>(BP28/BO28-1)/BP13</f>
        <v>-8.1679326962345817E-5</v>
      </c>
      <c r="BQ30" s="1011">
        <f>(BQ28/BP28-1)/BQ13</f>
        <v>1.267587780453796E-4</v>
      </c>
      <c r="BR30" s="1011">
        <f>(BR28/BQ28-1)/BR13</f>
        <v>1.1113781088549799E-4</v>
      </c>
      <c r="BS30" s="801" t="e">
        <f>#REF!</f>
        <v>#REF!</v>
      </c>
      <c r="BT30" s="994" t="e">
        <f>#REF!</f>
        <v>#REF!</v>
      </c>
      <c r="BU30" s="1367">
        <f t="shared" ref="BU30:CA30" si="104">(BU28/BT28-1)/BU11</f>
        <v>1.081524815187664</v>
      </c>
      <c r="BV30" s="1371">
        <f t="shared" si="104"/>
        <v>0.85104731870081229</v>
      </c>
      <c r="BW30" s="1371">
        <f t="shared" si="104"/>
        <v>1.6476028708020223</v>
      </c>
      <c r="BX30" s="1371">
        <f t="shared" si="104"/>
        <v>0.69607714363298967</v>
      </c>
      <c r="BY30" s="1371">
        <f t="shared" si="104"/>
        <v>0.67610570373569834</v>
      </c>
      <c r="BZ30" s="1371">
        <f t="shared" si="104"/>
        <v>0.75555641266852402</v>
      </c>
      <c r="CA30" s="1417">
        <f t="shared" si="104"/>
        <v>0.8610609650015536</v>
      </c>
      <c r="CB30" s="1437"/>
      <c r="CC30" s="1013"/>
      <c r="CD30" s="1011">
        <f t="shared" ref="CD30:CP30" si="105">(CD28/CC28-1)/CD11</f>
        <v>8.0104166666666252</v>
      </c>
      <c r="CE30" s="1011">
        <f t="shared" si="105"/>
        <v>2.5339366515837121</v>
      </c>
      <c r="CF30" s="1011">
        <f t="shared" si="105"/>
        <v>0.9603262884686693</v>
      </c>
      <c r="CG30" s="1011">
        <f t="shared" si="105"/>
        <v>0.43464007109706743</v>
      </c>
      <c r="CH30" s="1011">
        <f t="shared" si="105"/>
        <v>1.7283737024221424</v>
      </c>
      <c r="CI30" s="1141">
        <f t="shared" si="105"/>
        <v>5.1468010517090024</v>
      </c>
      <c r="CJ30" s="1172">
        <f t="shared" si="105"/>
        <v>1.6179211694730673</v>
      </c>
      <c r="CK30" s="1172">
        <f t="shared" si="105"/>
        <v>1.0462057387232691</v>
      </c>
      <c r="CL30" s="1172">
        <f t="shared" si="105"/>
        <v>0.92270040857912949</v>
      </c>
      <c r="CM30" s="1172">
        <f t="shared" si="105"/>
        <v>1.5887745697486055</v>
      </c>
      <c r="CN30" s="1367">
        <f t="shared" si="105"/>
        <v>0.29285454531386568</v>
      </c>
      <c r="CO30" s="1371">
        <f t="shared" si="105"/>
        <v>0.79682875779628037</v>
      </c>
      <c r="CP30" s="1417">
        <f t="shared" si="105"/>
        <v>0.7538189909300349</v>
      </c>
      <c r="CR30"/>
      <c r="CS30"/>
      <c r="CT30"/>
      <c r="CU30"/>
      <c r="CV30"/>
      <c r="CW30"/>
    </row>
    <row r="31" spans="1:102" ht="4.5" customHeight="1">
      <c r="A31" s="7"/>
      <c r="B31" s="27"/>
      <c r="C31" s="28"/>
      <c r="D31" s="29"/>
      <c r="E31" s="30"/>
      <c r="F31" s="30"/>
      <c r="G31" s="30"/>
      <c r="H31" s="29"/>
      <c r="I31" s="30"/>
      <c r="J31" s="30"/>
      <c r="K31" s="31"/>
      <c r="L31" s="29"/>
      <c r="M31" s="30"/>
      <c r="N31" s="30"/>
      <c r="O31" s="31"/>
      <c r="P31" s="30"/>
      <c r="Q31" s="30"/>
      <c r="R31" s="30"/>
      <c r="S31" s="30"/>
      <c r="T31" s="29"/>
      <c r="U31" s="30"/>
      <c r="V31" s="30"/>
      <c r="W31" s="31"/>
      <c r="X31" s="30"/>
      <c r="Y31" s="30"/>
      <c r="Z31" s="30"/>
      <c r="AA31" s="30"/>
      <c r="AB31" s="29"/>
      <c r="AC31" s="30"/>
      <c r="AD31" s="30"/>
      <c r="AE31" s="31"/>
      <c r="AF31" s="30"/>
      <c r="AG31" s="30"/>
      <c r="AH31" s="30"/>
      <c r="AI31" s="30"/>
      <c r="AJ31" s="29"/>
      <c r="AK31" s="30"/>
      <c r="AL31" s="30"/>
      <c r="AM31" s="30"/>
      <c r="AN31" s="29"/>
      <c r="AO31" s="30"/>
      <c r="AP31" s="30"/>
      <c r="AQ31" s="31"/>
      <c r="AR31" s="29"/>
      <c r="AS31" s="30"/>
      <c r="AT31" s="30"/>
      <c r="AU31" s="30"/>
      <c r="AV31" s="29"/>
      <c r="AW31" s="30"/>
      <c r="AX31" s="30"/>
      <c r="AY31" s="30"/>
      <c r="AZ31" s="29"/>
      <c r="BA31" s="32"/>
      <c r="BB31" s="32"/>
      <c r="BC31" s="33"/>
      <c r="BD31" s="34"/>
      <c r="BE31" s="32"/>
      <c r="BF31" s="32"/>
      <c r="BG31" s="1410"/>
      <c r="BH31" s="34"/>
      <c r="BI31" s="32"/>
      <c r="BJ31" s="32"/>
      <c r="BK31" s="1410"/>
      <c r="BL31" s="232"/>
      <c r="BM31" s="34"/>
      <c r="BN31" s="32"/>
      <c r="BO31" s="32"/>
      <c r="BP31" s="32"/>
      <c r="BQ31" s="32"/>
      <c r="BR31" s="32"/>
      <c r="BS31" s="32"/>
      <c r="BT31" s="33"/>
      <c r="BU31" s="34"/>
      <c r="BV31" s="32"/>
      <c r="BW31" s="32"/>
      <c r="BX31" s="32"/>
      <c r="BY31" s="32"/>
      <c r="BZ31" s="32"/>
      <c r="CA31" s="1410"/>
      <c r="CB31" s="19"/>
      <c r="CC31" s="34"/>
      <c r="CD31" s="32"/>
      <c r="CE31" s="32"/>
      <c r="CF31" s="32"/>
      <c r="CG31" s="32"/>
      <c r="CH31" s="32"/>
      <c r="CI31" s="34"/>
      <c r="CJ31" s="32"/>
      <c r="CK31" s="32"/>
      <c r="CL31" s="32"/>
      <c r="CM31" s="32"/>
      <c r="CN31" s="34"/>
      <c r="CO31" s="32"/>
      <c r="CP31" s="1410"/>
      <c r="CQ31" s="7"/>
      <c r="CX31" s="7"/>
    </row>
    <row r="32" spans="1:102" ht="14.25" customHeight="1">
      <c r="A32" s="7"/>
      <c r="B32" s="1118" t="s">
        <v>390</v>
      </c>
      <c r="C32" s="28"/>
      <c r="D32" s="29"/>
      <c r="E32" s="30"/>
      <c r="F32" s="30"/>
      <c r="G32" s="30"/>
      <c r="H32" s="29"/>
      <c r="I32" s="30"/>
      <c r="J32" s="30"/>
      <c r="K32" s="31"/>
      <c r="L32" s="29"/>
      <c r="M32" s="30"/>
      <c r="N32" s="30"/>
      <c r="O32" s="31"/>
      <c r="P32" s="30"/>
      <c r="Q32" s="30"/>
      <c r="R32" s="30"/>
      <c r="S32" s="30"/>
      <c r="T32" s="29"/>
      <c r="U32" s="30"/>
      <c r="V32" s="30"/>
      <c r="W32" s="31"/>
      <c r="X32" s="30"/>
      <c r="Y32" s="30"/>
      <c r="Z32" s="30"/>
      <c r="AA32" s="30"/>
      <c r="AB32" s="29"/>
      <c r="AC32" s="30"/>
      <c r="AD32" s="30"/>
      <c r="AE32" s="31"/>
      <c r="AF32" s="30"/>
      <c r="AG32" s="30"/>
      <c r="AH32" s="30"/>
      <c r="AI32" s="30"/>
      <c r="AJ32" s="29"/>
      <c r="AK32" s="30"/>
      <c r="AL32" s="30"/>
      <c r="AM32" s="30"/>
      <c r="AN32" s="29"/>
      <c r="AO32" s="30"/>
      <c r="AP32" s="30"/>
      <c r="AQ32" s="31"/>
      <c r="AR32" s="29"/>
      <c r="AS32" s="30"/>
      <c r="AT32" s="30">
        <f t="shared" ref="AT32:AY32" si="106">AT28+AT35</f>
        <v>879</v>
      </c>
      <c r="AU32" s="30">
        <f t="shared" si="106"/>
        <v>871</v>
      </c>
      <c r="AV32" s="29">
        <f t="shared" si="106"/>
        <v>902</v>
      </c>
      <c r="AW32" s="30">
        <f t="shared" si="106"/>
        <v>923</v>
      </c>
      <c r="AX32" s="30">
        <f t="shared" si="106"/>
        <v>921</v>
      </c>
      <c r="AY32" s="30">
        <f t="shared" si="106"/>
        <v>893</v>
      </c>
      <c r="AZ32" s="29">
        <f t="shared" ref="AZ32" si="107">AZ28+AZ35</f>
        <v>1019</v>
      </c>
      <c r="BA32" s="32">
        <f t="shared" ref="BA32" si="108">(AZ32-AZ37)*(1+BA10*BA33)</f>
        <v>1025.6419105688003</v>
      </c>
      <c r="BB32" s="32">
        <f>(BA32-BA37)*(1+BB10*BB33)</f>
        <v>1026.8775114305326</v>
      </c>
      <c r="BC32" s="33">
        <f>(BB32-BB37)*(1+BC10*BC33)</f>
        <v>1037.8262998760736</v>
      </c>
      <c r="BD32" s="34">
        <f t="shared" ref="BD32" si="109">(BC32-BC37)*(1+BD10*BD33)</f>
        <v>1028.4743648009714</v>
      </c>
      <c r="BE32" s="32">
        <f t="shared" ref="BE32" si="110">(BD32-BD37)*(1+BE10*BE33)</f>
        <v>1022.5710801015064</v>
      </c>
      <c r="BF32" s="32">
        <f>(BE32-BE37)*(1+BF10*BF33)</f>
        <v>1066.291751592833</v>
      </c>
      <c r="BG32" s="1410">
        <f>(BF32-BF37)*(1+BG10*BG33)</f>
        <v>1138.9997821578602</v>
      </c>
      <c r="BH32" s="34">
        <f t="shared" ref="BH32" si="111">(BG32-BG37)*(1+BH10*BH33)</f>
        <v>1113.6187555921201</v>
      </c>
      <c r="BI32" s="32">
        <f t="shared" ref="BI32" si="112">(BH32-BH37)*(1+BI10*BI33)</f>
        <v>1083.8224443607364</v>
      </c>
      <c r="BJ32" s="32">
        <f>(BI32-BI37)*(1+BJ10*BJ33)</f>
        <v>1105.822279646042</v>
      </c>
      <c r="BK32" s="1410">
        <f>(BJ32-BJ37)*(1+BK10*BK33)</f>
        <v>1140.9228442574033</v>
      </c>
      <c r="BL32" s="232"/>
      <c r="BM32" s="34"/>
      <c r="BN32" s="32"/>
      <c r="BO32" s="32"/>
      <c r="BP32" s="32"/>
      <c r="BQ32" s="32"/>
      <c r="BR32" s="32"/>
      <c r="BS32" s="32"/>
      <c r="BT32" s="33"/>
      <c r="BU32" s="34"/>
      <c r="BV32" s="32"/>
      <c r="BW32" s="32">
        <f>SUM(AR32:AU32)</f>
        <v>1750</v>
      </c>
      <c r="BX32" s="32">
        <f>SUM(AV32:AY32)</f>
        <v>3639</v>
      </c>
      <c r="BY32" s="32">
        <f>SUM(AZ32:BC32)</f>
        <v>4109.3457218754065</v>
      </c>
      <c r="BZ32" s="32">
        <f>SUM(BD32:BG32)</f>
        <v>4256.3369786531712</v>
      </c>
      <c r="CA32" s="1410">
        <f>SUM(BH32:BK32)</f>
        <v>4444.1863238563019</v>
      </c>
      <c r="CB32" s="19"/>
      <c r="CC32" s="34"/>
      <c r="CD32" s="32"/>
      <c r="CE32" s="32"/>
      <c r="CF32" s="32"/>
      <c r="CG32" s="32"/>
      <c r="CH32" s="32"/>
      <c r="CI32" s="34"/>
      <c r="CJ32" s="32"/>
      <c r="CK32" s="32"/>
      <c r="CL32" s="32"/>
      <c r="CM32" s="25">
        <f>SUM(AS32:AV32)</f>
        <v>2652</v>
      </c>
      <c r="CN32" s="26">
        <f>SUM(AW32:AZ32)</f>
        <v>3756</v>
      </c>
      <c r="CO32" s="25">
        <f>SUM(BA32:BD32)</f>
        <v>4118.8200866763782</v>
      </c>
      <c r="CP32" s="1444">
        <f>SUM(BE32:BH32)</f>
        <v>4341.4813694443201</v>
      </c>
      <c r="CQ32" s="7"/>
      <c r="CX32" s="7"/>
    </row>
    <row r="33" spans="1:102" ht="14.25" customHeight="1">
      <c r="A33" s="7"/>
      <c r="B33" s="1121" t="s">
        <v>232</v>
      </c>
      <c r="C33" s="28"/>
      <c r="D33" s="29"/>
      <c r="E33" s="30"/>
      <c r="F33" s="30"/>
      <c r="G33" s="30"/>
      <c r="H33" s="29"/>
      <c r="I33" s="30"/>
      <c r="J33" s="30"/>
      <c r="K33" s="31"/>
      <c r="L33" s="29"/>
      <c r="M33" s="30"/>
      <c r="N33" s="30"/>
      <c r="O33" s="31"/>
      <c r="P33" s="30"/>
      <c r="Q33" s="30"/>
      <c r="R33" s="30"/>
      <c r="S33" s="30"/>
      <c r="T33" s="29"/>
      <c r="U33" s="30"/>
      <c r="V33" s="30"/>
      <c r="W33" s="31"/>
      <c r="X33" s="30"/>
      <c r="Y33" s="30"/>
      <c r="Z33" s="30"/>
      <c r="AA33" s="30"/>
      <c r="AB33" s="29"/>
      <c r="AC33" s="30"/>
      <c r="AD33" s="30"/>
      <c r="AE33" s="31"/>
      <c r="AF33" s="30"/>
      <c r="AG33" s="30"/>
      <c r="AH33" s="30"/>
      <c r="AI33" s="30"/>
      <c r="AJ33" s="29"/>
      <c r="AK33" s="30"/>
      <c r="AL33" s="30"/>
      <c r="AM33" s="30"/>
      <c r="AN33" s="29"/>
      <c r="AO33" s="30"/>
      <c r="AP33" s="30"/>
      <c r="AQ33" s="31"/>
      <c r="AR33" s="29"/>
      <c r="AS33" s="30"/>
      <c r="AT33" s="30"/>
      <c r="AU33" s="30"/>
      <c r="AV33" s="29"/>
      <c r="AW33" s="30"/>
      <c r="AX33" s="30"/>
      <c r="AY33" s="30"/>
      <c r="AZ33" s="29"/>
      <c r="BA33" s="1369">
        <v>-0.16</v>
      </c>
      <c r="BB33" s="1369">
        <v>0.03</v>
      </c>
      <c r="BC33" s="1387">
        <v>0.15</v>
      </c>
      <c r="BD33" s="1372">
        <v>0.2</v>
      </c>
      <c r="BE33" s="1369">
        <v>0.2</v>
      </c>
      <c r="BF33" s="1369">
        <v>0.6</v>
      </c>
      <c r="BG33" s="1387">
        <v>0.6</v>
      </c>
      <c r="BH33" s="1372">
        <v>0.5</v>
      </c>
      <c r="BI33" s="1369">
        <v>0.5</v>
      </c>
      <c r="BJ33" s="1369">
        <v>0.5</v>
      </c>
      <c r="BK33" s="1387">
        <v>0.5</v>
      </c>
      <c r="BL33" s="232"/>
      <c r="BM33" s="34"/>
      <c r="BN33" s="32"/>
      <c r="BO33" s="32"/>
      <c r="BP33" s="32"/>
      <c r="BQ33" s="32"/>
      <c r="BR33" s="32"/>
      <c r="BS33" s="32"/>
      <c r="BT33" s="33"/>
      <c r="BU33" s="34"/>
      <c r="BV33" s="32"/>
      <c r="BW33" s="32"/>
      <c r="BX33" s="32"/>
      <c r="BY33" s="32"/>
      <c r="BZ33" s="32"/>
      <c r="CA33" s="1410"/>
      <c r="CB33" s="19"/>
      <c r="CC33" s="34"/>
      <c r="CD33" s="32"/>
      <c r="CE33" s="32"/>
      <c r="CF33" s="32"/>
      <c r="CG33" s="32"/>
      <c r="CH33" s="32"/>
      <c r="CI33" s="34"/>
      <c r="CJ33" s="32"/>
      <c r="CK33" s="32"/>
      <c r="CL33" s="32"/>
      <c r="CM33" s="32"/>
      <c r="CN33" s="34"/>
      <c r="CO33" s="32"/>
      <c r="CP33" s="1410"/>
      <c r="CQ33" s="7"/>
      <c r="CX33" s="7"/>
    </row>
    <row r="34" spans="1:102" ht="6.75" customHeight="1">
      <c r="A34" s="7"/>
      <c r="B34" s="27"/>
      <c r="C34" s="28"/>
      <c r="D34" s="29"/>
      <c r="E34" s="30"/>
      <c r="F34" s="30"/>
      <c r="G34" s="30"/>
      <c r="H34" s="29"/>
      <c r="I34" s="30"/>
      <c r="J34" s="30"/>
      <c r="K34" s="31"/>
      <c r="L34" s="29"/>
      <c r="M34" s="30"/>
      <c r="N34" s="30"/>
      <c r="O34" s="31"/>
      <c r="P34" s="30"/>
      <c r="Q34" s="30"/>
      <c r="R34" s="30"/>
      <c r="S34" s="30"/>
      <c r="T34" s="29"/>
      <c r="U34" s="30"/>
      <c r="V34" s="30"/>
      <c r="W34" s="31"/>
      <c r="X34" s="30"/>
      <c r="Y34" s="30"/>
      <c r="Z34" s="30"/>
      <c r="AA34" s="30"/>
      <c r="AB34" s="29"/>
      <c r="AC34" s="30"/>
      <c r="AD34" s="30"/>
      <c r="AE34" s="31"/>
      <c r="AF34" s="30"/>
      <c r="AG34" s="30"/>
      <c r="AH34" s="30"/>
      <c r="AI34" s="30"/>
      <c r="AJ34" s="29"/>
      <c r="AK34" s="30"/>
      <c r="AL34" s="30"/>
      <c r="AM34" s="30"/>
      <c r="AN34" s="29"/>
      <c r="AO34" s="30"/>
      <c r="AP34" s="30"/>
      <c r="AQ34" s="30"/>
      <c r="AR34" s="29"/>
      <c r="AS34" s="30"/>
      <c r="AT34" s="30"/>
      <c r="AU34" s="30"/>
      <c r="AV34" s="29"/>
      <c r="AW34" s="30"/>
      <c r="AX34" s="32"/>
      <c r="AY34" s="30"/>
      <c r="AZ34" s="29"/>
      <c r="BA34" s="32"/>
      <c r="BB34" s="32"/>
      <c r="BC34" s="33"/>
      <c r="BD34" s="34"/>
      <c r="BE34" s="32"/>
      <c r="BF34" s="32"/>
      <c r="BG34" s="1410"/>
      <c r="BH34" s="34"/>
      <c r="BI34" s="32"/>
      <c r="BJ34" s="32"/>
      <c r="BK34" s="1410"/>
      <c r="BL34" s="232"/>
      <c r="BM34" s="34"/>
      <c r="BN34" s="32"/>
      <c r="BO34" s="32"/>
      <c r="BP34" s="32"/>
      <c r="BQ34" s="32"/>
      <c r="BR34" s="32"/>
      <c r="BS34" s="32"/>
      <c r="BT34" s="33"/>
      <c r="BU34" s="34"/>
      <c r="BV34" s="32"/>
      <c r="BW34" s="32"/>
      <c r="BX34" s="32"/>
      <c r="BY34" s="32"/>
      <c r="BZ34" s="32"/>
      <c r="CA34" s="1410"/>
      <c r="CB34" s="19"/>
      <c r="CC34" s="34"/>
      <c r="CD34" s="32"/>
      <c r="CE34" s="32"/>
      <c r="CF34" s="32"/>
      <c r="CG34" s="32"/>
      <c r="CH34" s="32"/>
      <c r="CI34" s="34"/>
      <c r="CJ34" s="32"/>
      <c r="CK34" s="32"/>
      <c r="CL34" s="32"/>
      <c r="CM34" s="32"/>
      <c r="CN34" s="34"/>
      <c r="CO34" s="32"/>
      <c r="CP34" s="1410"/>
      <c r="CQ34" s="7"/>
      <c r="CX34" s="7"/>
    </row>
    <row r="35" spans="1:102" s="533" customFormat="1" ht="12" customHeight="1">
      <c r="A35" s="525"/>
      <c r="B35" s="1043" t="s">
        <v>347</v>
      </c>
      <c r="C35" s="789"/>
      <c r="D35" s="526"/>
      <c r="E35" s="527"/>
      <c r="F35" s="527"/>
      <c r="G35" s="527"/>
      <c r="H35" s="526"/>
      <c r="I35" s="527"/>
      <c r="J35" s="527"/>
      <c r="K35" s="528"/>
      <c r="L35" s="526"/>
      <c r="M35" s="527"/>
      <c r="N35" s="527"/>
      <c r="O35" s="528"/>
      <c r="P35" s="527"/>
      <c r="Q35" s="527"/>
      <c r="R35" s="527"/>
      <c r="S35" s="527"/>
      <c r="T35" s="526"/>
      <c r="U35" s="527"/>
      <c r="V35" s="527"/>
      <c r="W35" s="528"/>
      <c r="X35" s="527"/>
      <c r="Y35" s="527"/>
      <c r="Z35" s="527"/>
      <c r="AA35" s="527"/>
      <c r="AB35" s="526"/>
      <c r="AC35" s="527"/>
      <c r="AD35" s="527"/>
      <c r="AE35" s="528"/>
      <c r="AF35" s="527"/>
      <c r="AG35" s="527"/>
      <c r="AH35" s="527"/>
      <c r="AI35" s="527"/>
      <c r="AJ35" s="526"/>
      <c r="AK35" s="527"/>
      <c r="AL35" s="527"/>
      <c r="AM35" s="527"/>
      <c r="AN35" s="526"/>
      <c r="AO35" s="527"/>
      <c r="AP35" s="527"/>
      <c r="AQ35" s="527"/>
      <c r="AR35" s="526"/>
      <c r="AS35" s="1167">
        <v>60</v>
      </c>
      <c r="AT35" s="1198">
        <v>65</v>
      </c>
      <c r="AU35" s="1223">
        <v>65</v>
      </c>
      <c r="AV35" s="1278">
        <v>94</v>
      </c>
      <c r="AW35" s="1277">
        <v>94</v>
      </c>
      <c r="AX35" s="1335">
        <v>94</v>
      </c>
      <c r="AY35" s="1335">
        <v>65</v>
      </c>
      <c r="AZ35" s="1341">
        <v>94</v>
      </c>
      <c r="BA35" s="1335">
        <v>94</v>
      </c>
      <c r="BB35" s="1335">
        <v>94</v>
      </c>
      <c r="BC35" s="1339">
        <v>94</v>
      </c>
      <c r="BD35" s="1341">
        <v>94</v>
      </c>
      <c r="BE35" s="1335">
        <v>94</v>
      </c>
      <c r="BF35" s="1335">
        <v>94</v>
      </c>
      <c r="BG35" s="1408">
        <v>94</v>
      </c>
      <c r="BH35" s="1341">
        <v>94</v>
      </c>
      <c r="BI35" s="1335">
        <v>94</v>
      </c>
      <c r="BJ35" s="1335">
        <v>94</v>
      </c>
      <c r="BK35" s="1408">
        <v>94</v>
      </c>
      <c r="BL35" s="796"/>
      <c r="BM35" s="532"/>
      <c r="BN35" s="530"/>
      <c r="BO35" s="530"/>
      <c r="BP35" s="530"/>
      <c r="BQ35" s="530"/>
      <c r="BR35" s="530"/>
      <c r="BS35" s="530"/>
      <c r="BT35" s="531"/>
      <c r="BU35" s="532"/>
      <c r="BV35" s="530"/>
      <c r="BW35" s="32">
        <f>SUM(AR35:AU35)</f>
        <v>190</v>
      </c>
      <c r="BX35" s="32">
        <f>SUM(AV35:AY35)</f>
        <v>347</v>
      </c>
      <c r="BY35" s="32">
        <f>SUM(AZ35:BC35)</f>
        <v>376</v>
      </c>
      <c r="BZ35" s="32">
        <f>SUM(BD35:BG35)</f>
        <v>376</v>
      </c>
      <c r="CA35" s="1410">
        <f>SUM(BH35:BK35)</f>
        <v>376</v>
      </c>
      <c r="CB35" s="529"/>
      <c r="CC35" s="532"/>
      <c r="CD35" s="530"/>
      <c r="CE35" s="530"/>
      <c r="CF35" s="530"/>
      <c r="CG35" s="530"/>
      <c r="CH35" s="530"/>
      <c r="CI35" s="532"/>
      <c r="CJ35" s="530"/>
      <c r="CK35" s="530"/>
      <c r="CL35" s="530"/>
      <c r="CM35" s="32">
        <f>SUM(AS35:AV35)</f>
        <v>284</v>
      </c>
      <c r="CN35" s="34">
        <f>SUM(AW35:AZ35)</f>
        <v>347</v>
      </c>
      <c r="CO35" s="32">
        <f>SUM(BA35:BD35)</f>
        <v>376</v>
      </c>
      <c r="CP35" s="1410">
        <f>SUM(BE35:BH35)</f>
        <v>376</v>
      </c>
      <c r="CQ35" s="525"/>
      <c r="CR35"/>
      <c r="CS35"/>
      <c r="CT35"/>
      <c r="CU35"/>
      <c r="CV35"/>
      <c r="CW35"/>
      <c r="CX35" s="525"/>
    </row>
    <row r="36" spans="1:102" ht="14.25" customHeight="1">
      <c r="A36" s="7"/>
      <c r="B36" s="1001"/>
      <c r="C36" s="28"/>
      <c r="D36" s="29"/>
      <c r="E36" s="30"/>
      <c r="F36" s="30"/>
      <c r="G36" s="30"/>
      <c r="H36" s="29"/>
      <c r="I36" s="30"/>
      <c r="J36" s="30"/>
      <c r="K36" s="31"/>
      <c r="L36" s="29"/>
      <c r="M36" s="30"/>
      <c r="N36" s="30"/>
      <c r="O36" s="31"/>
      <c r="P36" s="30"/>
      <c r="Q36" s="30"/>
      <c r="R36" s="30"/>
      <c r="S36" s="30"/>
      <c r="T36" s="29"/>
      <c r="U36" s="30"/>
      <c r="V36" s="30"/>
      <c r="W36" s="31"/>
      <c r="X36" s="30"/>
      <c r="Y36" s="30"/>
      <c r="Z36" s="30"/>
      <c r="AA36" s="30"/>
      <c r="AB36" s="29"/>
      <c r="AC36" s="30"/>
      <c r="AD36" s="30"/>
      <c r="AE36" s="31"/>
      <c r="AF36" s="30"/>
      <c r="AG36" s="30"/>
      <c r="AH36" s="30"/>
      <c r="AI36" s="30"/>
      <c r="AJ36" s="29"/>
      <c r="AK36" s="30"/>
      <c r="AL36" s="30"/>
      <c r="AM36" s="30"/>
      <c r="AN36" s="29"/>
      <c r="AO36" s="30"/>
      <c r="AP36" s="30"/>
      <c r="AQ36" s="30"/>
      <c r="AR36" s="29"/>
      <c r="AS36" s="30"/>
      <c r="AT36" s="30"/>
      <c r="AU36" s="30"/>
      <c r="AV36" s="29"/>
      <c r="AW36" s="30"/>
      <c r="AX36" s="32"/>
      <c r="AY36" s="30"/>
      <c r="AZ36" s="29"/>
      <c r="BA36" s="32"/>
      <c r="BB36" s="32"/>
      <c r="BC36" s="33"/>
      <c r="BD36" s="34"/>
      <c r="BE36" s="32"/>
      <c r="BF36" s="32"/>
      <c r="BG36" s="1410"/>
      <c r="BH36" s="34"/>
      <c r="BI36" s="32"/>
      <c r="BJ36" s="32"/>
      <c r="BK36" s="1410"/>
      <c r="BL36" s="232"/>
      <c r="BM36" s="34"/>
      <c r="BN36" s="32"/>
      <c r="BO36" s="32"/>
      <c r="BP36" s="32"/>
      <c r="BQ36" s="32"/>
      <c r="BR36" s="32"/>
      <c r="BS36" s="32"/>
      <c r="BT36" s="33"/>
      <c r="BU36" s="34"/>
      <c r="BV36" s="32"/>
      <c r="BW36" s="32"/>
      <c r="BX36" s="32"/>
      <c r="BY36" s="32"/>
      <c r="BZ36" s="32"/>
      <c r="CA36" s="1410"/>
      <c r="CB36" s="19"/>
      <c r="CC36" s="34"/>
      <c r="CD36" s="32"/>
      <c r="CE36" s="32"/>
      <c r="CF36" s="32"/>
      <c r="CG36" s="32"/>
      <c r="CH36" s="32"/>
      <c r="CI36" s="34"/>
      <c r="CJ36" s="32"/>
      <c r="CK36" s="32"/>
      <c r="CL36" s="32"/>
      <c r="CM36" s="32"/>
      <c r="CN36" s="34"/>
      <c r="CO36" s="32"/>
      <c r="CP36" s="1410"/>
      <c r="CQ36" s="7"/>
      <c r="CX36" s="7"/>
    </row>
    <row r="37" spans="1:102" s="533" customFormat="1" ht="14.25" customHeight="1">
      <c r="A37" s="525"/>
      <c r="B37" s="764" t="s">
        <v>230</v>
      </c>
      <c r="C37" s="788"/>
      <c r="D37" s="526">
        <v>0</v>
      </c>
      <c r="E37" s="527">
        <v>0</v>
      </c>
      <c r="F37" s="527">
        <v>0</v>
      </c>
      <c r="G37" s="527">
        <v>0</v>
      </c>
      <c r="H37" s="526">
        <v>0</v>
      </c>
      <c r="I37" s="527">
        <v>0</v>
      </c>
      <c r="J37" s="527">
        <v>0</v>
      </c>
      <c r="K37" s="528">
        <v>0</v>
      </c>
      <c r="L37" s="526">
        <v>0</v>
      </c>
      <c r="M37" s="527">
        <v>0</v>
      </c>
      <c r="N37" s="527">
        <v>0</v>
      </c>
      <c r="O37" s="528">
        <v>0</v>
      </c>
      <c r="P37" s="527">
        <v>0</v>
      </c>
      <c r="Q37" s="527">
        <v>0</v>
      </c>
      <c r="R37" s="527">
        <v>0</v>
      </c>
      <c r="S37" s="527">
        <v>0</v>
      </c>
      <c r="T37" s="526">
        <v>0</v>
      </c>
      <c r="U37" s="527">
        <v>0</v>
      </c>
      <c r="V37" s="527">
        <v>0</v>
      </c>
      <c r="W37" s="528">
        <v>0</v>
      </c>
      <c r="X37" s="527">
        <v>0</v>
      </c>
      <c r="Y37" s="527">
        <v>0</v>
      </c>
      <c r="Z37" s="527">
        <v>0</v>
      </c>
      <c r="AA37" s="527">
        <v>0</v>
      </c>
      <c r="AB37" s="526">
        <v>0</v>
      </c>
      <c r="AC37" s="527">
        <v>0</v>
      </c>
      <c r="AD37" s="527">
        <v>0</v>
      </c>
      <c r="AE37" s="528">
        <v>0</v>
      </c>
      <c r="AF37" s="527">
        <v>0</v>
      </c>
      <c r="AG37" s="527">
        <v>0</v>
      </c>
      <c r="AH37" s="527">
        <v>2</v>
      </c>
      <c r="AI37" s="527">
        <v>1</v>
      </c>
      <c r="AJ37" s="526">
        <v>1</v>
      </c>
      <c r="AK37" s="527">
        <v>3</v>
      </c>
      <c r="AL37" s="527">
        <v>1</v>
      </c>
      <c r="AM37" s="527">
        <v>1</v>
      </c>
      <c r="AN37" s="526">
        <v>6</v>
      </c>
      <c r="AO37" s="527">
        <v>3</v>
      </c>
      <c r="AP37" s="527">
        <v>0</v>
      </c>
      <c r="AQ37" s="527">
        <v>0</v>
      </c>
      <c r="AR37" s="526">
        <f>1</f>
        <v>1</v>
      </c>
      <c r="AS37" s="527">
        <v>2</v>
      </c>
      <c r="AT37" s="527">
        <v>3</v>
      </c>
      <c r="AU37" s="527">
        <v>4</v>
      </c>
      <c r="AV37" s="526">
        <v>3</v>
      </c>
      <c r="AW37" s="527">
        <v>2</v>
      </c>
      <c r="AX37" s="527">
        <v>1</v>
      </c>
      <c r="AY37" s="527">
        <v>0</v>
      </c>
      <c r="AZ37" s="526">
        <v>3</v>
      </c>
      <c r="BA37" s="530">
        <v>0</v>
      </c>
      <c r="BB37" s="530">
        <v>0</v>
      </c>
      <c r="BC37" s="531">
        <v>0</v>
      </c>
      <c r="BD37" s="532">
        <v>0</v>
      </c>
      <c r="BE37" s="530">
        <v>0</v>
      </c>
      <c r="BF37" s="530">
        <v>0</v>
      </c>
      <c r="BG37" s="1406">
        <v>0</v>
      </c>
      <c r="BH37" s="532">
        <v>0</v>
      </c>
      <c r="BI37" s="530">
        <v>0</v>
      </c>
      <c r="BJ37" s="530">
        <v>0</v>
      </c>
      <c r="BK37" s="1406">
        <v>0</v>
      </c>
      <c r="BL37" s="796"/>
      <c r="BM37" s="532">
        <f>SUM(D37:G37)</f>
        <v>0</v>
      </c>
      <c r="BN37" s="530">
        <f>SUM(H37:K37)</f>
        <v>0</v>
      </c>
      <c r="BO37" s="530">
        <f>SUM(L37:O37)</f>
        <v>0</v>
      </c>
      <c r="BP37" s="530">
        <f>SUM(P37:S37)</f>
        <v>0</v>
      </c>
      <c r="BQ37" s="530">
        <f>SUM(T37:W37)</f>
        <v>0</v>
      </c>
      <c r="BR37" s="530">
        <f>SUM(X37:AA37)</f>
        <v>0</v>
      </c>
      <c r="BS37" s="530">
        <f>SUM(AB37:AE37)</f>
        <v>0</v>
      </c>
      <c r="BT37" s="531">
        <f>SUM(AF37:AI37)</f>
        <v>3</v>
      </c>
      <c r="BU37" s="532">
        <f>SUM(AJ37:AM37)</f>
        <v>6</v>
      </c>
      <c r="BV37" s="530">
        <f>SUM(AN37:AQ37)</f>
        <v>9</v>
      </c>
      <c r="BW37" s="530">
        <f>SUM(AR37:AU37)</f>
        <v>10</v>
      </c>
      <c r="BX37" s="530">
        <f>SUM(AV37:AY37)</f>
        <v>6</v>
      </c>
      <c r="BY37" s="530">
        <f>SUM(AZ37:BC37)</f>
        <v>3</v>
      </c>
      <c r="BZ37" s="530">
        <f>SUM(BD37:BG37)</f>
        <v>0</v>
      </c>
      <c r="CA37" s="1406">
        <f>SUM(BH37:BK37)</f>
        <v>0</v>
      </c>
      <c r="CB37" s="529"/>
      <c r="CC37" s="532">
        <f>SUM(E37:H37)</f>
        <v>0</v>
      </c>
      <c r="CD37" s="530">
        <f>SUM(I37:L37)</f>
        <v>0</v>
      </c>
      <c r="CE37" s="530">
        <f>SUM(M37:P37)</f>
        <v>0</v>
      </c>
      <c r="CF37" s="530">
        <f>SUM(Q37:T37)</f>
        <v>0</v>
      </c>
      <c r="CG37" s="530">
        <f>SUM(U37:X37)</f>
        <v>0</v>
      </c>
      <c r="CH37" s="530">
        <f>SUM(Y37:AB37)</f>
        <v>0</v>
      </c>
      <c r="CI37" s="532">
        <f>SUM(AC37:AF37)</f>
        <v>0</v>
      </c>
      <c r="CJ37" s="530">
        <f>SUM(AG37:AJ37)</f>
        <v>4</v>
      </c>
      <c r="CK37" s="530">
        <f>SUM(AK37:AN37)</f>
        <v>11</v>
      </c>
      <c r="CL37" s="530">
        <f>SUM(AO37:AR37)</f>
        <v>4</v>
      </c>
      <c r="CM37" s="530">
        <f>SUM(AS37:AV37)</f>
        <v>12</v>
      </c>
      <c r="CN37" s="532">
        <f>SUM(AW37:AZ37)</f>
        <v>6</v>
      </c>
      <c r="CO37" s="530">
        <f>SUM(BA37:BD37)</f>
        <v>0</v>
      </c>
      <c r="CP37" s="1406">
        <f>SUM(BE37:BH37)</f>
        <v>0</v>
      </c>
      <c r="CQ37" s="525"/>
      <c r="CR37"/>
      <c r="CS37"/>
      <c r="CT37"/>
      <c r="CU37"/>
      <c r="CV37"/>
      <c r="CW37"/>
      <c r="CX37" s="525"/>
    </row>
    <row r="38" spans="1:102" ht="14.25" customHeight="1">
      <c r="A38" s="7"/>
      <c r="B38" s="21" t="s">
        <v>360</v>
      </c>
      <c r="C38" s="22"/>
      <c r="D38" s="34">
        <f t="shared" ref="D38:AI38" si="113">D28-D37</f>
        <v>55</v>
      </c>
      <c r="E38" s="34">
        <f t="shared" si="113"/>
        <v>48</v>
      </c>
      <c r="F38" s="34">
        <f t="shared" si="113"/>
        <v>57</v>
      </c>
      <c r="G38" s="34">
        <f t="shared" si="113"/>
        <v>49</v>
      </c>
      <c r="H38" s="34">
        <f t="shared" si="113"/>
        <v>50</v>
      </c>
      <c r="I38" s="34">
        <f t="shared" si="113"/>
        <v>51</v>
      </c>
      <c r="J38" s="34">
        <f t="shared" si="113"/>
        <v>53</v>
      </c>
      <c r="K38" s="34">
        <f t="shared" si="113"/>
        <v>51</v>
      </c>
      <c r="L38" s="34">
        <f t="shared" si="113"/>
        <v>66</v>
      </c>
      <c r="M38" s="34">
        <f t="shared" si="113"/>
        <v>62</v>
      </c>
      <c r="N38" s="34">
        <f t="shared" si="113"/>
        <v>68</v>
      </c>
      <c r="O38" s="34">
        <f t="shared" si="113"/>
        <v>69</v>
      </c>
      <c r="P38" s="34">
        <f t="shared" si="113"/>
        <v>62</v>
      </c>
      <c r="Q38" s="34">
        <f t="shared" si="113"/>
        <v>59</v>
      </c>
      <c r="R38" s="34">
        <f t="shared" si="113"/>
        <v>59</v>
      </c>
      <c r="S38" s="34">
        <f t="shared" si="113"/>
        <v>65</v>
      </c>
      <c r="T38" s="34">
        <f t="shared" si="113"/>
        <v>64</v>
      </c>
      <c r="U38" s="34">
        <f t="shared" si="113"/>
        <v>70</v>
      </c>
      <c r="V38" s="34">
        <f t="shared" si="113"/>
        <v>71</v>
      </c>
      <c r="W38" s="34">
        <f t="shared" si="113"/>
        <v>75</v>
      </c>
      <c r="X38" s="34">
        <f t="shared" si="113"/>
        <v>73</v>
      </c>
      <c r="Y38" s="34">
        <f t="shared" si="113"/>
        <v>76</v>
      </c>
      <c r="Z38" s="34">
        <f t="shared" si="113"/>
        <v>85</v>
      </c>
      <c r="AA38" s="34">
        <f t="shared" si="113"/>
        <v>83</v>
      </c>
      <c r="AB38" s="34">
        <f t="shared" si="113"/>
        <v>82</v>
      </c>
      <c r="AC38" s="34">
        <f t="shared" si="113"/>
        <v>84</v>
      </c>
      <c r="AD38" s="34">
        <f t="shared" si="113"/>
        <v>89</v>
      </c>
      <c r="AE38" s="34">
        <f t="shared" si="113"/>
        <v>80</v>
      </c>
      <c r="AF38" s="34">
        <f t="shared" si="113"/>
        <v>93</v>
      </c>
      <c r="AG38" s="34">
        <f t="shared" si="113"/>
        <v>95</v>
      </c>
      <c r="AH38" s="34">
        <f t="shared" si="113"/>
        <v>99</v>
      </c>
      <c r="AI38" s="34">
        <f t="shared" si="113"/>
        <v>107</v>
      </c>
      <c r="AJ38" s="34">
        <f t="shared" ref="AJ38:BC38" si="114">AJ28-AJ37</f>
        <v>106</v>
      </c>
      <c r="AK38" s="34">
        <f t="shared" si="114"/>
        <v>111</v>
      </c>
      <c r="AL38" s="34">
        <f t="shared" si="114"/>
        <v>239</v>
      </c>
      <c r="AM38" s="34">
        <f t="shared" si="114"/>
        <v>233</v>
      </c>
      <c r="AN38" s="34">
        <f t="shared" si="114"/>
        <v>229</v>
      </c>
      <c r="AO38" s="32">
        <f t="shared" si="114"/>
        <v>248</v>
      </c>
      <c r="AP38" s="32">
        <f t="shared" si="114"/>
        <v>276</v>
      </c>
      <c r="AQ38" s="32">
        <f t="shared" si="114"/>
        <v>287</v>
      </c>
      <c r="AR38" s="34">
        <f t="shared" ref="AR38:AU38" si="115">AR28-AR37</f>
        <v>266</v>
      </c>
      <c r="AS38" s="32">
        <f t="shared" si="115"/>
        <v>785</v>
      </c>
      <c r="AT38" s="32">
        <f t="shared" si="115"/>
        <v>811</v>
      </c>
      <c r="AU38" s="32">
        <f t="shared" si="115"/>
        <v>802</v>
      </c>
      <c r="AV38" s="34">
        <f t="shared" ref="AV38:AY38" si="116">AV28-AV37</f>
        <v>805</v>
      </c>
      <c r="AW38" s="32">
        <f t="shared" si="116"/>
        <v>827</v>
      </c>
      <c r="AX38" s="32">
        <f t="shared" si="116"/>
        <v>826</v>
      </c>
      <c r="AY38" s="32">
        <f t="shared" si="116"/>
        <v>828</v>
      </c>
      <c r="AZ38" s="34">
        <f t="shared" ref="AZ38" si="117">AZ28-AZ37</f>
        <v>922</v>
      </c>
      <c r="BA38" s="32">
        <f t="shared" si="114"/>
        <v>931.64191056880031</v>
      </c>
      <c r="BB38" s="32">
        <f t="shared" si="114"/>
        <v>932.87751143053265</v>
      </c>
      <c r="BC38" s="33">
        <f t="shared" si="114"/>
        <v>943.82629987607356</v>
      </c>
      <c r="BD38" s="34">
        <f t="shared" ref="BD38:BG38" si="118">BD28-BD37</f>
        <v>934.47436480097144</v>
      </c>
      <c r="BE38" s="32">
        <f t="shared" si="118"/>
        <v>928.57108010150637</v>
      </c>
      <c r="BF38" s="32">
        <f t="shared" si="118"/>
        <v>972.29175159283295</v>
      </c>
      <c r="BG38" s="1410">
        <f t="shared" si="118"/>
        <v>1044.9997821578602</v>
      </c>
      <c r="BH38" s="34">
        <f t="shared" ref="BH38:BK38" si="119">BH28-BH37</f>
        <v>1019.6187555921201</v>
      </c>
      <c r="BI38" s="32">
        <f t="shared" si="119"/>
        <v>989.82244436073643</v>
      </c>
      <c r="BJ38" s="32">
        <f t="shared" si="119"/>
        <v>1011.822279646042</v>
      </c>
      <c r="BK38" s="1410">
        <f t="shared" si="119"/>
        <v>1046.9228442574033</v>
      </c>
      <c r="BL38" s="232"/>
      <c r="BM38" s="32">
        <f>BM28-BM37</f>
        <v>209</v>
      </c>
      <c r="BN38" s="32">
        <f t="shared" ref="BN38:BR38" si="120">BN28-BN37</f>
        <v>205</v>
      </c>
      <c r="BO38" s="32">
        <f t="shared" si="120"/>
        <v>265</v>
      </c>
      <c r="BP38" s="32">
        <f t="shared" si="120"/>
        <v>245</v>
      </c>
      <c r="BQ38" s="32">
        <f t="shared" si="120"/>
        <v>280</v>
      </c>
      <c r="BR38" s="32">
        <f t="shared" si="120"/>
        <v>317</v>
      </c>
      <c r="BS38" s="32">
        <f t="shared" ref="BS38:BY38" si="121">BS28-BS37</f>
        <v>335</v>
      </c>
      <c r="BT38" s="33">
        <f t="shared" si="121"/>
        <v>394</v>
      </c>
      <c r="BU38" s="34">
        <f t="shared" si="121"/>
        <v>689</v>
      </c>
      <c r="BV38" s="32">
        <f t="shared" si="121"/>
        <v>1040</v>
      </c>
      <c r="BW38" s="32">
        <f t="shared" ref="BW38" si="122">BW28-BW37</f>
        <v>2664</v>
      </c>
      <c r="BX38" s="32">
        <f t="shared" si="121"/>
        <v>3286</v>
      </c>
      <c r="BY38" s="32">
        <f t="shared" si="121"/>
        <v>3730.3457218754065</v>
      </c>
      <c r="BZ38" s="32">
        <f t="shared" ref="BZ38:CA38" si="123">BZ28-BZ37</f>
        <v>3880.3369786531712</v>
      </c>
      <c r="CA38" s="1410">
        <f t="shared" si="123"/>
        <v>4068.1863238563019</v>
      </c>
      <c r="CB38" s="19"/>
      <c r="CC38" s="34">
        <f t="shared" ref="CC38:CH38" si="124">CC28-CC37</f>
        <v>204</v>
      </c>
      <c r="CD38" s="34">
        <f t="shared" si="124"/>
        <v>221</v>
      </c>
      <c r="CE38" s="34">
        <f t="shared" si="124"/>
        <v>261</v>
      </c>
      <c r="CF38" s="34">
        <f t="shared" si="124"/>
        <v>247</v>
      </c>
      <c r="CG38" s="34">
        <f t="shared" si="124"/>
        <v>289</v>
      </c>
      <c r="CH38" s="34">
        <f t="shared" si="124"/>
        <v>326</v>
      </c>
      <c r="CI38" s="34">
        <f t="shared" ref="CI38:CN38" si="125">CI28-CI37</f>
        <v>346</v>
      </c>
      <c r="CJ38" s="32">
        <f t="shared" si="125"/>
        <v>407</v>
      </c>
      <c r="CK38" s="32">
        <f t="shared" si="125"/>
        <v>812</v>
      </c>
      <c r="CL38" s="32">
        <f t="shared" si="125"/>
        <v>1077</v>
      </c>
      <c r="CM38" s="32">
        <f t="shared" si="125"/>
        <v>3203</v>
      </c>
      <c r="CN38" s="34">
        <f t="shared" si="125"/>
        <v>3403</v>
      </c>
      <c r="CO38" s="32">
        <f t="shared" ref="CO38" si="126">CO28-CO37</f>
        <v>3742.8200866763782</v>
      </c>
      <c r="CP38" s="1410">
        <f t="shared" ref="CP38" si="127">CP28-CP37</f>
        <v>3965.4813694443196</v>
      </c>
      <c r="CQ38" s="7"/>
      <c r="CX38" s="7"/>
    </row>
    <row r="39" spans="1:102" ht="14.25" customHeight="1">
      <c r="A39" s="7"/>
      <c r="B39" s="35" t="s">
        <v>231</v>
      </c>
      <c r="C39" s="36"/>
      <c r="D39" s="1013">
        <f>D38/D$8</f>
        <v>0.15714285714285714</v>
      </c>
      <c r="E39" s="1011">
        <f t="shared" ref="E39:AK39" si="128">E38/E$8</f>
        <v>0.13259668508287292</v>
      </c>
      <c r="F39" s="1011">
        <f t="shared" si="128"/>
        <v>0.13970588235294118</v>
      </c>
      <c r="G39" s="1011">
        <f t="shared" si="128"/>
        <v>0.12468193384223919</v>
      </c>
      <c r="H39" s="1013">
        <f t="shared" si="128"/>
        <v>0.13333333333333333</v>
      </c>
      <c r="I39" s="1011">
        <f t="shared" si="128"/>
        <v>0.13421052631578947</v>
      </c>
      <c r="J39" s="1011">
        <f t="shared" si="128"/>
        <v>0.13910761154855644</v>
      </c>
      <c r="K39" s="1012">
        <f t="shared" si="128"/>
        <v>0.13043478260869565</v>
      </c>
      <c r="L39" s="1013">
        <f t="shared" si="128"/>
        <v>0.16417910447761194</v>
      </c>
      <c r="M39" s="1011">
        <f t="shared" si="128"/>
        <v>0.15085158150851583</v>
      </c>
      <c r="N39" s="1011">
        <f t="shared" si="128"/>
        <v>0.15489749430523919</v>
      </c>
      <c r="O39" s="1012">
        <f t="shared" si="128"/>
        <v>0.15436241610738255</v>
      </c>
      <c r="P39" s="1011">
        <f t="shared" si="128"/>
        <v>0.16847826086956522</v>
      </c>
      <c r="Q39" s="1011">
        <f t="shared" si="128"/>
        <v>0.18153846153846154</v>
      </c>
      <c r="R39" s="1011">
        <f t="shared" si="128"/>
        <v>0.16253443526170799</v>
      </c>
      <c r="S39" s="1011">
        <f t="shared" si="128"/>
        <v>0.15186915887850466</v>
      </c>
      <c r="T39" s="1013">
        <f t="shared" si="128"/>
        <v>0.14035087719298245</v>
      </c>
      <c r="U39" s="1011">
        <f t="shared" si="128"/>
        <v>0.13592233009708737</v>
      </c>
      <c r="V39" s="1011">
        <f t="shared" si="128"/>
        <v>0.12909090909090909</v>
      </c>
      <c r="W39" s="1012">
        <f t="shared" si="128"/>
        <v>0.13111888111888112</v>
      </c>
      <c r="X39" s="1011">
        <f t="shared" si="128"/>
        <v>0.13272727272727272</v>
      </c>
      <c r="Y39" s="1011">
        <f t="shared" si="128"/>
        <v>0.1357142857142857</v>
      </c>
      <c r="Z39" s="1011">
        <f t="shared" si="128"/>
        <v>0.14096185737976782</v>
      </c>
      <c r="AA39" s="1011">
        <f t="shared" si="128"/>
        <v>0.1332263242375602</v>
      </c>
      <c r="AB39" s="1013">
        <f t="shared" si="128"/>
        <v>0.14564831261101244</v>
      </c>
      <c r="AC39" s="1011">
        <f t="shared" si="128"/>
        <v>0.14558058925476602</v>
      </c>
      <c r="AD39" s="1011">
        <f t="shared" si="128"/>
        <v>0.14686468646864687</v>
      </c>
      <c r="AE39" s="1012">
        <f t="shared" si="128"/>
        <v>0.12944983818770225</v>
      </c>
      <c r="AF39" s="1011">
        <f t="shared" si="128"/>
        <v>0.16145833333333334</v>
      </c>
      <c r="AG39" s="1011">
        <f t="shared" si="128"/>
        <v>0.16903914590747332</v>
      </c>
      <c r="AH39" s="1011">
        <f t="shared" si="128"/>
        <v>0.15372670807453417</v>
      </c>
      <c r="AI39" s="1011">
        <f t="shared" si="128"/>
        <v>0.14498644986449866</v>
      </c>
      <c r="AJ39" s="1013">
        <f t="shared" si="128"/>
        <v>0.14950634696755993</v>
      </c>
      <c r="AK39" s="1011">
        <f t="shared" si="128"/>
        <v>0.15834522111269614</v>
      </c>
      <c r="AL39" s="1011">
        <f>AL38/AL$8</f>
        <v>0.18833727344365642</v>
      </c>
      <c r="AM39" s="1011">
        <f>AM38/AM$8</f>
        <v>0.14654088050314465</v>
      </c>
      <c r="AN39" s="1013">
        <f>AN38/AN$8</f>
        <v>0.14006116207951069</v>
      </c>
      <c r="AO39" s="1011">
        <f t="shared" ref="AO39:BC39" si="129">AO38/AO$8</f>
        <v>0.15365551425030979</v>
      </c>
      <c r="AP39" s="1011">
        <f>AP38/AP$8</f>
        <v>0.15907780979827088</v>
      </c>
      <c r="AQ39" s="1011">
        <f>AQ38/AQ$8</f>
        <v>0.15597826086956521</v>
      </c>
      <c r="AR39" s="1141">
        <f>AR38/AR$8</f>
        <v>0.15019762845849802</v>
      </c>
      <c r="AS39" s="1142">
        <f t="shared" ref="AS39" si="130">AS38/AS$8</f>
        <v>0.22168878847783113</v>
      </c>
      <c r="AT39" s="1142">
        <f>AT38/AT$8</f>
        <v>0.21387130801687765</v>
      </c>
      <c r="AU39" s="1142">
        <f>AU38/AU$8</f>
        <v>0.19390715667311412</v>
      </c>
      <c r="AV39" s="1227">
        <f>AV38/AV$8</f>
        <v>0.19449142304904565</v>
      </c>
      <c r="AW39" s="1228">
        <f t="shared" ref="AW39" si="131">AW38/AW$8</f>
        <v>0.19737470167064439</v>
      </c>
      <c r="AX39" s="1307">
        <f>AX38/AX$8</f>
        <v>0.18507730226305175</v>
      </c>
      <c r="AY39" s="1365">
        <f>AY38/AY$8</f>
        <v>0.17093311312964493</v>
      </c>
      <c r="AZ39" s="1364">
        <f>AZ38/AZ$8</f>
        <v>0.17308053313309554</v>
      </c>
      <c r="BA39" s="1365">
        <f t="shared" si="129"/>
        <v>0.18591787544477795</v>
      </c>
      <c r="BB39" s="1365">
        <f t="shared" si="129"/>
        <v>0.178977262438799</v>
      </c>
      <c r="BC39" s="1366">
        <f t="shared" si="129"/>
        <v>0.16906076192068373</v>
      </c>
      <c r="BD39" s="1364">
        <f t="shared" ref="BD39:BG39" si="132">BD38/BD$8</f>
        <v>0.1752830656064272</v>
      </c>
      <c r="BE39" s="1365">
        <f t="shared" si="132"/>
        <v>0.17932217151002161</v>
      </c>
      <c r="BF39" s="1365">
        <f t="shared" si="132"/>
        <v>0.17527533168804538</v>
      </c>
      <c r="BG39" s="1405">
        <f t="shared" si="132"/>
        <v>0.169158233046624</v>
      </c>
      <c r="BH39" s="1364">
        <f t="shared" ref="BH39:BK39" si="133">BH38/BH$8</f>
        <v>0.17274863244533376</v>
      </c>
      <c r="BI39" s="1365">
        <f t="shared" si="133"/>
        <v>0.17718186048725107</v>
      </c>
      <c r="BJ39" s="1365">
        <f t="shared" si="133"/>
        <v>0.17405388945349554</v>
      </c>
      <c r="BK39" s="1405">
        <f t="shared" si="133"/>
        <v>0.16934155370169948</v>
      </c>
      <c r="BL39" s="232"/>
      <c r="BM39" s="1013">
        <f t="shared" ref="BM39:BV39" si="134">BM38/BM$8</f>
        <v>0.1381361533377396</v>
      </c>
      <c r="BN39" s="1011">
        <f t="shared" si="134"/>
        <v>0.13425016371971185</v>
      </c>
      <c r="BO39" s="1011">
        <f t="shared" si="134"/>
        <v>0.15597410241318421</v>
      </c>
      <c r="BP39" s="1011">
        <f t="shared" si="134"/>
        <v>0.1650943396226415</v>
      </c>
      <c r="BQ39" s="1011">
        <f t="shared" si="134"/>
        <v>0.13377926421404682</v>
      </c>
      <c r="BR39" s="1011">
        <f t="shared" si="134"/>
        <v>0.13570205479452055</v>
      </c>
      <c r="BS39" s="1011">
        <f t="shared" si="134"/>
        <v>0.14170896785109982</v>
      </c>
      <c r="BT39" s="1012">
        <f t="shared" si="134"/>
        <v>0.15634920634920635</v>
      </c>
      <c r="BU39" s="1364">
        <f t="shared" si="134"/>
        <v>0.16139611150152261</v>
      </c>
      <c r="BV39" s="1365">
        <f t="shared" si="134"/>
        <v>0.15240328253223914</v>
      </c>
      <c r="BW39" s="1365">
        <f>BW38/BW$8</f>
        <v>0.20120845921450151</v>
      </c>
      <c r="BX39" s="1365">
        <f>BX38/BX$8</f>
        <v>0.18632342934905874</v>
      </c>
      <c r="BY39" s="1365">
        <f>BY38/BY$8</f>
        <v>0.17651696384118401</v>
      </c>
      <c r="BZ39" s="1365">
        <f>BZ38/BZ$8</f>
        <v>0.17452007694291777</v>
      </c>
      <c r="CA39" s="1405">
        <f>CA38/CA$8</f>
        <v>0.17322939033576837</v>
      </c>
      <c r="CB39" s="19"/>
      <c r="CC39" s="1013">
        <f t="shared" ref="CC39:CJ39" si="135">CC38/CC$8</f>
        <v>0.13263979193758127</v>
      </c>
      <c r="CD39" s="1011">
        <f t="shared" si="135"/>
        <v>0.14221364221364222</v>
      </c>
      <c r="CE39" s="1011">
        <f t="shared" si="135"/>
        <v>0.15675675675675677</v>
      </c>
      <c r="CF39" s="1011">
        <f t="shared" si="135"/>
        <v>0.15712468193384224</v>
      </c>
      <c r="CG39" s="1011">
        <f t="shared" si="135"/>
        <v>0.13214449016918153</v>
      </c>
      <c r="CH39" s="1011">
        <f t="shared" si="135"/>
        <v>0.13878246062154109</v>
      </c>
      <c r="CI39" s="1141">
        <f t="shared" si="135"/>
        <v>0.14556163230963398</v>
      </c>
      <c r="CJ39" s="1142">
        <f t="shared" si="135"/>
        <v>0.15341123256690539</v>
      </c>
      <c r="CK39" s="1142">
        <f t="shared" ref="CK39:CP39" si="136">CK38/CK$8</f>
        <v>0.15630413859480269</v>
      </c>
      <c r="CL39" s="1142">
        <f t="shared" si="136"/>
        <v>0.15474137931034482</v>
      </c>
      <c r="CM39" s="1142">
        <f t="shared" si="136"/>
        <v>0.20521527421834956</v>
      </c>
      <c r="CN39" s="1364">
        <f t="shared" si="136"/>
        <v>0.18077985550361242</v>
      </c>
      <c r="CO39" s="1365">
        <f t="shared" si="136"/>
        <v>0.17707179675085466</v>
      </c>
      <c r="CP39" s="1405">
        <f t="shared" si="136"/>
        <v>0.17388324116233514</v>
      </c>
      <c r="CQ39" s="7"/>
      <c r="CX39" s="7"/>
    </row>
    <row r="40" spans="1:102" ht="14.25" customHeight="1">
      <c r="A40" s="7"/>
      <c r="B40" s="48"/>
      <c r="C40" s="49"/>
      <c r="D40" s="39"/>
      <c r="E40" s="37"/>
      <c r="F40" s="42"/>
      <c r="G40" s="37"/>
      <c r="H40" s="39"/>
      <c r="I40" s="37"/>
      <c r="J40" s="42"/>
      <c r="K40" s="38"/>
      <c r="L40" s="39"/>
      <c r="M40" s="37"/>
      <c r="N40" s="42"/>
      <c r="O40" s="38"/>
      <c r="P40" s="37"/>
      <c r="Q40" s="37"/>
      <c r="R40" s="42"/>
      <c r="S40" s="37"/>
      <c r="T40" s="39"/>
      <c r="U40" s="37"/>
      <c r="V40" s="37"/>
      <c r="W40" s="38"/>
      <c r="X40" s="37"/>
      <c r="Y40" s="37"/>
      <c r="Z40" s="37"/>
      <c r="AA40" s="37"/>
      <c r="AB40" s="39"/>
      <c r="AC40" s="37"/>
      <c r="AD40" s="37"/>
      <c r="AE40" s="38"/>
      <c r="AF40" s="37"/>
      <c r="AG40" s="37"/>
      <c r="AH40" s="37"/>
      <c r="AI40" s="37"/>
      <c r="AJ40" s="39"/>
      <c r="AK40" s="37"/>
      <c r="AL40" s="37"/>
      <c r="AM40" s="37"/>
      <c r="AN40" s="39"/>
      <c r="AO40" s="37"/>
      <c r="AP40" s="37"/>
      <c r="AQ40" s="37"/>
      <c r="AR40" s="39"/>
      <c r="AS40" s="37"/>
      <c r="AT40" s="37"/>
      <c r="AU40" s="37"/>
      <c r="AV40" s="39"/>
      <c r="AW40" s="37"/>
      <c r="AX40" s="37"/>
      <c r="AY40" s="37"/>
      <c r="AZ40" s="39"/>
      <c r="BA40" s="37"/>
      <c r="BB40" s="37"/>
      <c r="BC40" s="38"/>
      <c r="BD40" s="39"/>
      <c r="BE40" s="37"/>
      <c r="BF40" s="37"/>
      <c r="BG40" s="1411"/>
      <c r="BH40" s="39"/>
      <c r="BI40" s="37"/>
      <c r="BJ40" s="37"/>
      <c r="BK40" s="1411"/>
      <c r="BL40" s="232"/>
      <c r="BM40" s="50"/>
      <c r="BN40" s="40"/>
      <c r="BO40" s="40"/>
      <c r="BP40" s="40"/>
      <c r="BQ40" s="40"/>
      <c r="BR40" s="40"/>
      <c r="BS40" s="40"/>
      <c r="BT40" s="41"/>
      <c r="BU40" s="50"/>
      <c r="BV40" s="40"/>
      <c r="BW40" s="40"/>
      <c r="BX40" s="40"/>
      <c r="BY40" s="40"/>
      <c r="BZ40" s="40"/>
      <c r="CA40" s="1430"/>
      <c r="CB40" s="19"/>
      <c r="CC40" s="50"/>
      <c r="CD40" s="40"/>
      <c r="CE40" s="40"/>
      <c r="CF40" s="40"/>
      <c r="CG40" s="40"/>
      <c r="CH40" s="40"/>
      <c r="CI40" s="50"/>
      <c r="CJ40" s="40"/>
      <c r="CK40" s="40"/>
      <c r="CL40" s="40"/>
      <c r="CM40" s="40"/>
      <c r="CN40" s="50"/>
      <c r="CO40" s="40"/>
      <c r="CP40" s="1430"/>
      <c r="CQ40" s="7"/>
      <c r="CX40" s="7"/>
    </row>
    <row r="41" spans="1:102" ht="14.25" hidden="1" customHeight="1">
      <c r="A41" s="7"/>
      <c r="B41" s="21"/>
      <c r="C41" s="36"/>
      <c r="D41" s="1013"/>
      <c r="E41" s="1011"/>
      <c r="F41" s="1011"/>
      <c r="G41" s="1011"/>
      <c r="H41" s="1013"/>
      <c r="I41" s="1011"/>
      <c r="J41" s="1011"/>
      <c r="K41" s="1012"/>
      <c r="L41" s="1013"/>
      <c r="M41" s="1011"/>
      <c r="N41" s="1011"/>
      <c r="O41" s="1012"/>
      <c r="P41" s="1011"/>
      <c r="Q41" s="1011"/>
      <c r="R41" s="1011"/>
      <c r="S41" s="1011"/>
      <c r="T41" s="1013"/>
      <c r="U41" s="1011"/>
      <c r="V41" s="1011"/>
      <c r="W41" s="1012"/>
      <c r="X41" s="1011"/>
      <c r="Y41" s="1011"/>
      <c r="Z41" s="1011"/>
      <c r="AA41" s="1011"/>
      <c r="AB41" s="1013"/>
      <c r="AC41" s="1011"/>
      <c r="AD41" s="1011"/>
      <c r="AE41" s="1012"/>
      <c r="AF41" s="1011"/>
      <c r="AG41" s="1011"/>
      <c r="AH41" s="1011"/>
      <c r="AI41" s="1011"/>
      <c r="AJ41" s="1013"/>
      <c r="AK41" s="1011"/>
      <c r="AL41" s="30"/>
      <c r="AM41" s="30"/>
      <c r="AN41" s="29"/>
      <c r="AO41" s="30"/>
      <c r="AP41" s="30"/>
      <c r="AQ41" s="30"/>
      <c r="AR41" s="29"/>
      <c r="AS41" s="30"/>
      <c r="AT41" s="30"/>
      <c r="AU41" s="30"/>
      <c r="AV41" s="29"/>
      <c r="AW41" s="30"/>
      <c r="AX41" s="30"/>
      <c r="AY41" s="30"/>
      <c r="AZ41" s="29"/>
      <c r="BA41" s="1345"/>
      <c r="BB41" s="1345"/>
      <c r="BC41" s="1346"/>
      <c r="BD41" s="1350"/>
      <c r="BE41" s="1345"/>
      <c r="BF41" s="1345"/>
      <c r="BG41" s="1419"/>
      <c r="BH41" s="1350"/>
      <c r="BI41" s="1345"/>
      <c r="BJ41" s="1345"/>
      <c r="BK41" s="1419"/>
      <c r="BL41" s="232"/>
      <c r="BM41" s="1013"/>
      <c r="BN41" s="1011"/>
      <c r="BO41" s="1011"/>
      <c r="BP41" s="1011"/>
      <c r="BQ41" s="1011"/>
      <c r="BR41" s="1011"/>
      <c r="BS41" s="1011"/>
      <c r="BT41" s="1012"/>
      <c r="BU41" s="34"/>
      <c r="BV41" s="32"/>
      <c r="BW41" s="32"/>
      <c r="BX41" s="32"/>
      <c r="BY41" s="32"/>
      <c r="BZ41" s="32"/>
      <c r="CA41" s="1410"/>
      <c r="CB41" s="19"/>
      <c r="CC41" s="1013"/>
      <c r="CD41" s="1011"/>
      <c r="CE41" s="1011"/>
      <c r="CF41" s="1011"/>
      <c r="CG41" s="1011"/>
      <c r="CH41" s="1011"/>
      <c r="CI41" s="1141"/>
      <c r="CJ41" s="1142"/>
      <c r="CK41" s="32"/>
      <c r="CL41" s="32"/>
      <c r="CM41" s="32"/>
      <c r="CN41" s="34"/>
      <c r="CO41" s="32"/>
      <c r="CP41" s="1410"/>
      <c r="CQ41" s="7"/>
      <c r="CX41" s="7"/>
    </row>
    <row r="42" spans="1:102" ht="13.5" hidden="1" customHeight="1">
      <c r="A42" s="7"/>
      <c r="B42" s="21"/>
      <c r="C42" s="22"/>
      <c r="D42" s="29"/>
      <c r="E42" s="30"/>
      <c r="F42" s="30"/>
      <c r="G42" s="30"/>
      <c r="H42" s="29"/>
      <c r="I42" s="30"/>
      <c r="J42" s="30"/>
      <c r="K42" s="31"/>
      <c r="L42" s="29"/>
      <c r="M42" s="30"/>
      <c r="N42" s="30"/>
      <c r="O42" s="31"/>
      <c r="P42" s="30"/>
      <c r="Q42" s="30"/>
      <c r="R42" s="30"/>
      <c r="S42" s="30"/>
      <c r="T42" s="29"/>
      <c r="U42" s="30"/>
      <c r="V42" s="30"/>
      <c r="W42" s="31"/>
      <c r="X42" s="30"/>
      <c r="Y42" s="30"/>
      <c r="Z42" s="30"/>
      <c r="AA42" s="30"/>
      <c r="AB42" s="29"/>
      <c r="AC42" s="30"/>
      <c r="AD42" s="30"/>
      <c r="AE42" s="31"/>
      <c r="AF42" s="30"/>
      <c r="AG42" s="30"/>
      <c r="AH42" s="30"/>
      <c r="AI42" s="30"/>
      <c r="AJ42" s="29"/>
      <c r="AK42" s="30"/>
      <c r="AL42" s="30"/>
      <c r="AM42" s="757"/>
      <c r="AN42" s="29"/>
      <c r="AO42" s="30"/>
      <c r="AP42" s="30"/>
      <c r="AQ42" s="763"/>
      <c r="AR42" s="29"/>
      <c r="AS42" s="30"/>
      <c r="AT42" s="30"/>
      <c r="AU42" s="757"/>
      <c r="AV42" s="29"/>
      <c r="AW42" s="30"/>
      <c r="AX42" s="30"/>
      <c r="AY42" s="1354"/>
      <c r="AZ42" s="29"/>
      <c r="BA42" s="1326"/>
      <c r="BB42" s="1326"/>
      <c r="BC42" s="1327"/>
      <c r="BD42" s="1325"/>
      <c r="BE42" s="1326"/>
      <c r="BF42" s="1326"/>
      <c r="BG42" s="1420"/>
      <c r="BH42" s="1325"/>
      <c r="BI42" s="1326"/>
      <c r="BJ42" s="1326"/>
      <c r="BK42" s="1420"/>
      <c r="BL42" s="232"/>
      <c r="BM42" s="34"/>
      <c r="BN42" s="32"/>
      <c r="BO42" s="32"/>
      <c r="BP42" s="32"/>
      <c r="BQ42" s="32"/>
      <c r="BR42" s="32"/>
      <c r="BS42" s="32"/>
      <c r="BT42" s="33"/>
      <c r="BU42" s="34"/>
      <c r="BV42" s="32"/>
      <c r="BW42" s="32"/>
      <c r="BX42" s="32"/>
      <c r="BY42" s="32"/>
      <c r="BZ42" s="32"/>
      <c r="CA42" s="1410"/>
      <c r="CB42" s="19"/>
      <c r="CC42" s="34"/>
      <c r="CD42" s="32"/>
      <c r="CE42" s="32"/>
      <c r="CF42" s="32"/>
      <c r="CG42" s="32"/>
      <c r="CH42" s="32"/>
      <c r="CI42" s="34"/>
      <c r="CJ42" s="32"/>
      <c r="CK42" s="32"/>
      <c r="CL42" s="32"/>
      <c r="CM42" s="32"/>
      <c r="CN42" s="34"/>
      <c r="CO42" s="32"/>
      <c r="CP42" s="1410"/>
      <c r="CQ42" s="7"/>
      <c r="CX42" s="7"/>
    </row>
    <row r="43" spans="1:102" ht="14.25" customHeight="1">
      <c r="A43" s="7"/>
      <c r="B43" s="21" t="s">
        <v>122</v>
      </c>
      <c r="C43" s="36"/>
      <c r="D43" s="29">
        <v>72</v>
      </c>
      <c r="E43" s="30">
        <v>72</v>
      </c>
      <c r="F43" s="30">
        <v>59</v>
      </c>
      <c r="G43" s="30">
        <v>67</v>
      </c>
      <c r="H43" s="29">
        <v>57</v>
      </c>
      <c r="I43" s="30">
        <v>47</v>
      </c>
      <c r="J43" s="30">
        <v>44</v>
      </c>
      <c r="K43" s="31">
        <v>45</v>
      </c>
      <c r="L43" s="34">
        <v>50</v>
      </c>
      <c r="M43" s="32">
        <v>48</v>
      </c>
      <c r="N43" s="32">
        <v>50</v>
      </c>
      <c r="O43" s="33">
        <v>48</v>
      </c>
      <c r="P43" s="32">
        <v>40</v>
      </c>
      <c r="Q43" s="32">
        <v>42</v>
      </c>
      <c r="R43" s="32">
        <v>40</v>
      </c>
      <c r="S43" s="32">
        <v>43</v>
      </c>
      <c r="T43" s="34">
        <v>46</v>
      </c>
      <c r="U43" s="32">
        <v>48</v>
      </c>
      <c r="V43" s="32">
        <v>51</v>
      </c>
      <c r="W43" s="33">
        <v>51</v>
      </c>
      <c r="X43" s="32">
        <v>50</v>
      </c>
      <c r="Y43" s="32">
        <v>55</v>
      </c>
      <c r="Z43" s="32">
        <v>60</v>
      </c>
      <c r="AA43" s="32">
        <v>55</v>
      </c>
      <c r="AB43" s="34">
        <v>50</v>
      </c>
      <c r="AC43" s="32">
        <v>51</v>
      </c>
      <c r="AD43" s="32">
        <v>49</v>
      </c>
      <c r="AE43" s="33">
        <v>49</v>
      </c>
      <c r="AF43" s="32">
        <v>53</v>
      </c>
      <c r="AG43" s="32">
        <v>52</v>
      </c>
      <c r="AH43" s="32">
        <v>57</v>
      </c>
      <c r="AI43" s="32">
        <v>60</v>
      </c>
      <c r="AJ43" s="34">
        <v>74</v>
      </c>
      <c r="AK43" s="32">
        <v>67</v>
      </c>
      <c r="AL43" s="1109">
        <v>137</v>
      </c>
      <c r="AM43" s="1109">
        <v>129</v>
      </c>
      <c r="AN43" s="1108">
        <v>117</v>
      </c>
      <c r="AO43" s="1109">
        <v>108</v>
      </c>
      <c r="AP43" s="1109">
        <v>143</v>
      </c>
      <c r="AQ43" s="1126">
        <v>118</v>
      </c>
      <c r="AR43" s="29">
        <v>114</v>
      </c>
      <c r="AS43" s="30">
        <v>238</v>
      </c>
      <c r="AT43" s="30">
        <v>230</v>
      </c>
      <c r="AU43" s="30">
        <v>224</v>
      </c>
      <c r="AV43" s="29">
        <v>201</v>
      </c>
      <c r="AW43" s="30">
        <v>204</v>
      </c>
      <c r="AX43" s="30">
        <v>200</v>
      </c>
      <c r="AY43" s="30">
        <v>194</v>
      </c>
      <c r="AZ43" s="29">
        <v>291</v>
      </c>
      <c r="BA43" s="803">
        <f t="shared" ref="BA43:BC43" si="137">BA47-BA50</f>
        <v>243.02673099305423</v>
      </c>
      <c r="BB43" s="803">
        <f t="shared" si="137"/>
        <v>243.02673099305423</v>
      </c>
      <c r="BC43" s="799">
        <f t="shared" si="137"/>
        <v>243.02673099305423</v>
      </c>
      <c r="BD43" s="938">
        <f t="shared" ref="BD43:BG43" si="138">BD47-BD50</f>
        <v>240.44481590201417</v>
      </c>
      <c r="BE43" s="803">
        <f t="shared" si="138"/>
        <v>238.81501632258454</v>
      </c>
      <c r="BF43" s="803">
        <f t="shared" si="138"/>
        <v>248.87381347769525</v>
      </c>
      <c r="BG43" s="1421">
        <f t="shared" si="138"/>
        <v>265.48740612638841</v>
      </c>
      <c r="BH43" s="938">
        <f t="shared" ref="BH43:BK43" si="139">BH47-BH50</f>
        <v>258.60205137371639</v>
      </c>
      <c r="BI43" s="803">
        <f t="shared" si="139"/>
        <v>250.51891995987398</v>
      </c>
      <c r="BJ43" s="803">
        <f t="shared" si="139"/>
        <v>256.48702649202454</v>
      </c>
      <c r="BK43" s="1421">
        <f t="shared" si="139"/>
        <v>266.00909364491628</v>
      </c>
      <c r="BL43" s="232"/>
      <c r="BM43" s="34">
        <f>SUM(D43:G43)</f>
        <v>270</v>
      </c>
      <c r="BN43" s="32">
        <f>SUM(H43:K43)</f>
        <v>193</v>
      </c>
      <c r="BO43" s="32">
        <f>SUM(L43:O43)</f>
        <v>196</v>
      </c>
      <c r="BP43" s="32">
        <f>SUM(P43:S43)</f>
        <v>165</v>
      </c>
      <c r="BQ43" s="32">
        <f>SUM(T43:W43)</f>
        <v>196</v>
      </c>
      <c r="BR43" s="32">
        <f>SUM(X43:AA43)</f>
        <v>220</v>
      </c>
      <c r="BS43" s="32">
        <f>SUM(AB43:AE43)</f>
        <v>199</v>
      </c>
      <c r="BT43" s="33">
        <f>SUM(AF43:AI43)</f>
        <v>222</v>
      </c>
      <c r="BU43" s="34">
        <f>SUM(AJ43:AM43)</f>
        <v>407</v>
      </c>
      <c r="BV43" s="32">
        <f>SUM(AN43:AQ43)</f>
        <v>486</v>
      </c>
      <c r="BW43" s="32">
        <f>SUM(AR43:AU43)</f>
        <v>806</v>
      </c>
      <c r="BX43" s="32">
        <f>SUM(AV43:AY43)</f>
        <v>799</v>
      </c>
      <c r="BY43" s="32">
        <f>SUM(AZ43:BC43)</f>
        <v>1020.0801929791627</v>
      </c>
      <c r="BZ43" s="32">
        <f>SUM(BD43:BG43)</f>
        <v>993.62105182868231</v>
      </c>
      <c r="CA43" s="1410">
        <f>SUM(BH43:BK43)</f>
        <v>1031.6170914705312</v>
      </c>
      <c r="CB43" s="19"/>
      <c r="CC43" s="34">
        <f>SUM(E43:H43)</f>
        <v>255</v>
      </c>
      <c r="CD43" s="32">
        <f>SUM(I43:L43)</f>
        <v>186</v>
      </c>
      <c r="CE43" s="32">
        <f>SUM(M43:P43)</f>
        <v>186</v>
      </c>
      <c r="CF43" s="32">
        <f>SUM(Q43:T43)</f>
        <v>171</v>
      </c>
      <c r="CG43" s="32">
        <f>SUM(U43:X43)</f>
        <v>200</v>
      </c>
      <c r="CH43" s="32">
        <f>SUM(Y43:AB43)</f>
        <v>220</v>
      </c>
      <c r="CI43" s="34">
        <f>SUM(AC43:AF43)</f>
        <v>202</v>
      </c>
      <c r="CJ43" s="32">
        <f>SUM(AG43:AJ43)</f>
        <v>243</v>
      </c>
      <c r="CK43" s="32">
        <f>SUM(AK43:AN43)</f>
        <v>450</v>
      </c>
      <c r="CL43" s="32">
        <f>SUM(AO43:AR43)</f>
        <v>483</v>
      </c>
      <c r="CM43" s="32">
        <f>SUM(AS43:AV43)</f>
        <v>893</v>
      </c>
      <c r="CN43" s="34">
        <f>SUM(AW43:AZ43)</f>
        <v>889</v>
      </c>
      <c r="CO43" s="32">
        <f>SUM(BA43:BD43)</f>
        <v>969.52500888117686</v>
      </c>
      <c r="CP43" s="1410">
        <f>SUM(BE43:BH43)</f>
        <v>1011.7782873003846</v>
      </c>
      <c r="CQ43" s="7"/>
      <c r="CX43" s="7"/>
    </row>
    <row r="44" spans="1:102" ht="14.25" customHeight="1">
      <c r="A44" s="7"/>
      <c r="B44" s="35" t="s">
        <v>231</v>
      </c>
      <c r="C44" s="36"/>
      <c r="D44" s="1013">
        <f t="shared" ref="D44:AI44" si="140">D43/D8</f>
        <v>0.20571428571428571</v>
      </c>
      <c r="E44" s="1011">
        <f t="shared" si="140"/>
        <v>0.19889502762430938</v>
      </c>
      <c r="F44" s="1011">
        <f t="shared" si="140"/>
        <v>0.14460784313725492</v>
      </c>
      <c r="G44" s="1011">
        <f t="shared" si="140"/>
        <v>0.17048346055979643</v>
      </c>
      <c r="H44" s="1013">
        <f t="shared" si="140"/>
        <v>0.152</v>
      </c>
      <c r="I44" s="1011">
        <f t="shared" si="140"/>
        <v>0.12368421052631579</v>
      </c>
      <c r="J44" s="1011">
        <f t="shared" si="140"/>
        <v>0.11548556430446194</v>
      </c>
      <c r="K44" s="1012">
        <f t="shared" si="140"/>
        <v>0.11508951406649616</v>
      </c>
      <c r="L44" s="1013">
        <f t="shared" si="140"/>
        <v>0.12437810945273632</v>
      </c>
      <c r="M44" s="1011">
        <f t="shared" si="140"/>
        <v>0.11678832116788321</v>
      </c>
      <c r="N44" s="1011">
        <f t="shared" si="140"/>
        <v>0.11389521640091116</v>
      </c>
      <c r="O44" s="1012">
        <f t="shared" si="140"/>
        <v>0.10738255033557047</v>
      </c>
      <c r="P44" s="1011">
        <f t="shared" si="140"/>
        <v>0.10869565217391304</v>
      </c>
      <c r="Q44" s="1011">
        <f t="shared" si="140"/>
        <v>0.12923076923076923</v>
      </c>
      <c r="R44" s="1011">
        <f t="shared" si="140"/>
        <v>0.11019283746556474</v>
      </c>
      <c r="S44" s="1013">
        <f t="shared" si="140"/>
        <v>0.10046728971962617</v>
      </c>
      <c r="T44" s="1013">
        <f t="shared" si="140"/>
        <v>0.10087719298245613</v>
      </c>
      <c r="U44" s="1011">
        <f t="shared" si="140"/>
        <v>9.3203883495145634E-2</v>
      </c>
      <c r="V44" s="1011">
        <f t="shared" si="140"/>
        <v>9.2727272727272728E-2</v>
      </c>
      <c r="W44" s="1012">
        <f t="shared" si="140"/>
        <v>8.9160839160839167E-2</v>
      </c>
      <c r="X44" s="1011">
        <f t="shared" si="140"/>
        <v>9.0909090909090912E-2</v>
      </c>
      <c r="Y44" s="1011">
        <f t="shared" si="140"/>
        <v>9.8214285714285712E-2</v>
      </c>
      <c r="Z44" s="1011">
        <f t="shared" si="140"/>
        <v>9.950248756218906E-2</v>
      </c>
      <c r="AA44" s="1011">
        <f t="shared" si="140"/>
        <v>8.8282504012841087E-2</v>
      </c>
      <c r="AB44" s="1013">
        <f t="shared" si="140"/>
        <v>8.8809946714031973E-2</v>
      </c>
      <c r="AC44" s="1011">
        <f t="shared" si="140"/>
        <v>8.838821490467938E-2</v>
      </c>
      <c r="AD44" s="1011">
        <f t="shared" si="140"/>
        <v>8.0858085808580851E-2</v>
      </c>
      <c r="AE44" s="1012">
        <f t="shared" si="140"/>
        <v>7.9288025889967639E-2</v>
      </c>
      <c r="AF44" s="1011">
        <f t="shared" si="140"/>
        <v>9.2013888888888895E-2</v>
      </c>
      <c r="AG44" s="1011">
        <f t="shared" si="140"/>
        <v>9.2526690391459068E-2</v>
      </c>
      <c r="AH44" s="1011">
        <f t="shared" si="140"/>
        <v>8.8509316770186336E-2</v>
      </c>
      <c r="AI44" s="1011">
        <f t="shared" si="140"/>
        <v>8.1300813008130079E-2</v>
      </c>
      <c r="AJ44" s="1013">
        <f t="shared" ref="AJ44:BC44" si="141">AJ43/AJ8</f>
        <v>0.10437235543018336</v>
      </c>
      <c r="AK44" s="1011">
        <f t="shared" si="141"/>
        <v>9.5577746077032816E-2</v>
      </c>
      <c r="AL44" s="1011">
        <f t="shared" si="141"/>
        <v>0.10795902285263988</v>
      </c>
      <c r="AM44" s="1011">
        <f t="shared" si="141"/>
        <v>8.1132075471698109E-2</v>
      </c>
      <c r="AN44" s="1013">
        <f t="shared" si="141"/>
        <v>7.155963302752294E-2</v>
      </c>
      <c r="AO44" s="1011">
        <f t="shared" si="141"/>
        <v>6.6914498141263934E-2</v>
      </c>
      <c r="AP44" s="1011">
        <f t="shared" si="141"/>
        <v>8.2420749279538907E-2</v>
      </c>
      <c r="AQ44" s="1012">
        <f t="shared" si="141"/>
        <v>6.41304347826087E-2</v>
      </c>
      <c r="AR44" s="1141">
        <f t="shared" ref="AR44:AU44" si="142">AR43/AR8</f>
        <v>6.4370412196499152E-2</v>
      </c>
      <c r="AS44" s="1142">
        <f t="shared" si="142"/>
        <v>6.7212651793278733E-2</v>
      </c>
      <c r="AT44" s="1142">
        <f t="shared" si="142"/>
        <v>6.0654008438818567E-2</v>
      </c>
      <c r="AU44" s="1228">
        <f t="shared" si="142"/>
        <v>5.4158607350096713E-2</v>
      </c>
      <c r="AV44" s="1227">
        <f t="shared" ref="AV44:AY44" si="143">AV43/AV8</f>
        <v>4.8562454699202708E-2</v>
      </c>
      <c r="AW44" s="1228">
        <f t="shared" si="143"/>
        <v>4.8687350835322198E-2</v>
      </c>
      <c r="AX44" s="1307">
        <f t="shared" si="143"/>
        <v>4.4812906116961683E-2</v>
      </c>
      <c r="AY44" s="1365">
        <f t="shared" si="143"/>
        <v>4.0049545829892653E-2</v>
      </c>
      <c r="AZ44" s="1364">
        <f t="shared" ref="AZ44" si="144">AZ43/AZ8</f>
        <v>5.4627370001877229E-2</v>
      </c>
      <c r="BA44" s="804">
        <f t="shared" si="141"/>
        <v>4.8498262036035272E-2</v>
      </c>
      <c r="BB44" s="804">
        <f t="shared" si="141"/>
        <v>4.6625905844688433E-2</v>
      </c>
      <c r="BC44" s="805">
        <f t="shared" si="141"/>
        <v>4.3531616266863415E-2</v>
      </c>
      <c r="BD44" s="937">
        <f t="shared" ref="BD44:BG44" si="145">BD43/BD8</f>
        <v>4.5101188462729515E-2</v>
      </c>
      <c r="BE44" s="804">
        <f t="shared" si="145"/>
        <v>4.6119062109371028E-2</v>
      </c>
      <c r="BF44" s="804">
        <f t="shared" si="145"/>
        <v>4.4864558538432547E-2</v>
      </c>
      <c r="BG44" s="1422">
        <f t="shared" si="145"/>
        <v>4.2975492706549871E-2</v>
      </c>
      <c r="BH44" s="937">
        <f t="shared" ref="BH44:BK44" si="146">BH43/BH8</f>
        <v>4.3813582750765065E-2</v>
      </c>
      <c r="BI44" s="804">
        <f t="shared" si="146"/>
        <v>4.4843808683702073E-2</v>
      </c>
      <c r="BJ44" s="804">
        <f t="shared" si="146"/>
        <v>4.4120954295368539E-2</v>
      </c>
      <c r="BK44" s="1422">
        <f t="shared" si="146"/>
        <v>4.3027424096914249E-2</v>
      </c>
      <c r="BL44" s="232"/>
      <c r="BM44" s="1013">
        <f t="shared" ref="BM44:BY44" si="147">BM43/BM8</f>
        <v>0.17845340383344349</v>
      </c>
      <c r="BN44" s="1011">
        <f t="shared" si="147"/>
        <v>0.12639161755075312</v>
      </c>
      <c r="BO44" s="1011">
        <f t="shared" si="147"/>
        <v>0.1153619776339023</v>
      </c>
      <c r="BP44" s="1011">
        <f t="shared" si="147"/>
        <v>0.11118598382749326</v>
      </c>
      <c r="BQ44" s="1011">
        <f t="shared" si="147"/>
        <v>9.3645484949832769E-2</v>
      </c>
      <c r="BR44" s="1011">
        <f t="shared" si="147"/>
        <v>9.4178082191780824E-2</v>
      </c>
      <c r="BS44" s="1011">
        <f t="shared" si="147"/>
        <v>8.4179357021996609E-2</v>
      </c>
      <c r="BT44" s="1012">
        <f t="shared" si="147"/>
        <v>8.8095238095238101E-2</v>
      </c>
      <c r="BU44" s="1364">
        <f t="shared" si="147"/>
        <v>9.5338486765050356E-2</v>
      </c>
      <c r="BV44" s="1365">
        <f t="shared" si="147"/>
        <v>7.1219226260257909E-2</v>
      </c>
      <c r="BW44" s="1365">
        <f t="shared" ref="BW44" si="148">BW43/BW8</f>
        <v>6.0876132930513596E-2</v>
      </c>
      <c r="BX44" s="1365">
        <f t="shared" si="147"/>
        <v>4.5305057836244049E-2</v>
      </c>
      <c r="BY44" s="1365">
        <f t="shared" si="147"/>
        <v>4.826937553892087E-2</v>
      </c>
      <c r="BZ44" s="1365">
        <f t="shared" ref="BZ44:CA44" si="149">BZ43/BZ8</f>
        <v>4.4688598792116348E-2</v>
      </c>
      <c r="CA44" s="1405">
        <f t="shared" si="149"/>
        <v>4.3927781470441581E-2</v>
      </c>
      <c r="CB44" s="19"/>
      <c r="CC44" s="1013">
        <f t="shared" ref="CC44:CN44" si="150">CC43/CC8</f>
        <v>0.16579973992197658</v>
      </c>
      <c r="CD44" s="1013">
        <f t="shared" si="150"/>
        <v>0.11969111969111969</v>
      </c>
      <c r="CE44" s="1013">
        <f t="shared" si="150"/>
        <v>0.11171171171171171</v>
      </c>
      <c r="CF44" s="1013">
        <f t="shared" si="150"/>
        <v>0.10877862595419847</v>
      </c>
      <c r="CG44" s="1013">
        <f t="shared" si="150"/>
        <v>9.1449474165523542E-2</v>
      </c>
      <c r="CH44" s="1013">
        <f t="shared" si="150"/>
        <v>9.3656875266070666E-2</v>
      </c>
      <c r="CI44" s="1141">
        <f t="shared" si="150"/>
        <v>8.4981068573832558E-2</v>
      </c>
      <c r="CJ44" s="1142">
        <f t="shared" si="150"/>
        <v>9.1594421409724847E-2</v>
      </c>
      <c r="CK44" s="1142">
        <f t="shared" si="150"/>
        <v>8.662175168431184E-2</v>
      </c>
      <c r="CL44" s="1142">
        <f t="shared" si="150"/>
        <v>6.9396551724137931E-2</v>
      </c>
      <c r="CM44" s="1142">
        <f t="shared" si="150"/>
        <v>5.7214249103024091E-2</v>
      </c>
      <c r="CN44" s="1364">
        <f t="shared" si="150"/>
        <v>4.7226944326391837E-2</v>
      </c>
      <c r="CO44" s="1365">
        <f t="shared" ref="CO44" si="151">CO43/CO8</f>
        <v>4.5867963552030114E-2</v>
      </c>
      <c r="CP44" s="1405">
        <f t="shared" ref="CP44" si="152">CP43/CP8</f>
        <v>4.436568263542752E-2</v>
      </c>
      <c r="CQ44" s="7"/>
      <c r="CX44" s="7"/>
    </row>
    <row r="45" spans="1:102" ht="14.25" customHeight="1">
      <c r="A45" s="7"/>
      <c r="B45" s="35" t="s">
        <v>232</v>
      </c>
      <c r="C45" s="28"/>
      <c r="D45" s="1017"/>
      <c r="E45" s="1104">
        <f t="shared" ref="E45:AZ45" si="153">(E43/D43-1)/E10</f>
        <v>0</v>
      </c>
      <c r="F45" s="1104">
        <f t="shared" si="153"/>
        <v>-1.4208937198067635</v>
      </c>
      <c r="G45" s="1104">
        <f t="shared" si="153"/>
        <v>-3.688135593220343</v>
      </c>
      <c r="H45" s="1111">
        <f t="shared" si="153"/>
        <v>3.2587064676616939</v>
      </c>
      <c r="I45" s="1104">
        <f t="shared" si="153"/>
        <v>-13.157894736842019</v>
      </c>
      <c r="J45" s="1104">
        <f t="shared" si="153"/>
        <v>-24.255319148937112</v>
      </c>
      <c r="K45" s="1105">
        <f t="shared" si="153"/>
        <v>0.86590909090908919</v>
      </c>
      <c r="L45" s="1111">
        <f t="shared" si="153"/>
        <v>3.9494949494949614</v>
      </c>
      <c r="M45" s="1104">
        <f t="shared" si="153"/>
        <v>-1.786666666666672</v>
      </c>
      <c r="N45" s="1104">
        <f t="shared" si="153"/>
        <v>0.61160714285714468</v>
      </c>
      <c r="O45" s="1105">
        <f t="shared" si="153"/>
        <v>-2.1950000000000043</v>
      </c>
      <c r="P45" s="1104">
        <f t="shared" si="153"/>
        <v>0.94303797468354411</v>
      </c>
      <c r="Q45" s="1104">
        <f t="shared" si="153"/>
        <v>-0.42790697674418637</v>
      </c>
      <c r="R45" s="1104">
        <f t="shared" si="153"/>
        <v>-0.40726817042606567</v>
      </c>
      <c r="S45" s="1104">
        <f t="shared" si="153"/>
        <v>0.41884615384615376</v>
      </c>
      <c r="T45" s="1111">
        <f t="shared" si="153"/>
        <v>1.0664451827242527</v>
      </c>
      <c r="U45" s="1104">
        <f t="shared" si="153"/>
        <v>0.3360353721444363</v>
      </c>
      <c r="V45" s="1104">
        <f t="shared" si="153"/>
        <v>0.91964285714285754</v>
      </c>
      <c r="W45" s="1105">
        <f t="shared" si="153"/>
        <v>0</v>
      </c>
      <c r="X45" s="1104">
        <f t="shared" si="153"/>
        <v>0.50980392156862886</v>
      </c>
      <c r="Y45" s="1104">
        <f t="shared" si="153"/>
        <v>5.5000000000000364</v>
      </c>
      <c r="Z45" s="1104">
        <f t="shared" si="153"/>
        <v>1.183932346723044</v>
      </c>
      <c r="AA45" s="1104">
        <f t="shared" si="153"/>
        <v>-2.5124999999999957</v>
      </c>
      <c r="AB45" s="1111">
        <f t="shared" si="153"/>
        <v>0.94393939393939474</v>
      </c>
      <c r="AC45" s="1104">
        <f t="shared" si="153"/>
        <v>0.80428571428571671</v>
      </c>
      <c r="AD45" s="1104">
        <f t="shared" si="153"/>
        <v>-0.78025693035834931</v>
      </c>
      <c r="AE45" s="1105">
        <f t="shared" si="153"/>
        <v>0</v>
      </c>
      <c r="AF45" s="1104">
        <f t="shared" si="153"/>
        <v>-1.2011661807580194</v>
      </c>
      <c r="AG45" s="1104">
        <f t="shared" si="153"/>
        <v>0.77628032345013376</v>
      </c>
      <c r="AH45" s="1104">
        <f t="shared" si="153"/>
        <v>0.65900562851782396</v>
      </c>
      <c r="AI45" s="1104">
        <f t="shared" si="153"/>
        <v>0.36058230683090636</v>
      </c>
      <c r="AJ45" s="1111">
        <f t="shared" si="153"/>
        <v>-5.9379310344827534</v>
      </c>
      <c r="AK45" s="1104">
        <f t="shared" si="153"/>
        <v>8.3834459459459616</v>
      </c>
      <c r="AL45" s="1104">
        <f t="shared" si="153"/>
        <v>1.2894155980660078</v>
      </c>
      <c r="AM45" s="1104">
        <f t="shared" si="153"/>
        <v>-0.23084794324305899</v>
      </c>
      <c r="AN45" s="1111">
        <f t="shared" si="153"/>
        <v>-3.2868217054263464</v>
      </c>
      <c r="AO45" s="1104">
        <f t="shared" si="153"/>
        <v>5.9890109890110104</v>
      </c>
      <c r="AP45" s="1104">
        <f t="shared" si="153"/>
        <v>4.322773186409556</v>
      </c>
      <c r="AQ45" s="1105">
        <f t="shared" si="153"/>
        <v>-2.8887778887778905</v>
      </c>
      <c r="AR45" s="1174">
        <f t="shared" si="153"/>
        <v>0.90395480225988811</v>
      </c>
      <c r="AS45" s="1173">
        <f t="shared" si="153"/>
        <v>1.0883338289225888</v>
      </c>
      <c r="AT45" s="1173">
        <f t="shared" si="153"/>
        <v>-0.47420402423917707</v>
      </c>
      <c r="AU45" s="1269">
        <f t="shared" si="153"/>
        <v>-0.28756319514661266</v>
      </c>
      <c r="AV45" s="1270">
        <f t="shared" si="153"/>
        <v>-141.55952380951788</v>
      </c>
      <c r="AW45" s="1269">
        <f t="shared" si="153"/>
        <v>1.2112964588820734</v>
      </c>
      <c r="AX45" s="1330">
        <f t="shared" si="153"/>
        <v>-0.3009408891761835</v>
      </c>
      <c r="AY45" s="1330">
        <f t="shared" si="153"/>
        <v>-0.35141732283464622</v>
      </c>
      <c r="AZ45" s="1332">
        <f t="shared" si="153"/>
        <v>5.0144927536231902</v>
      </c>
      <c r="BA45" s="757"/>
      <c r="BB45" s="757"/>
      <c r="BC45" s="763"/>
      <c r="BD45" s="764"/>
      <c r="BE45" s="757"/>
      <c r="BF45" s="757"/>
      <c r="BG45" s="1423"/>
      <c r="BH45" s="764"/>
      <c r="BI45" s="757"/>
      <c r="BJ45" s="757"/>
      <c r="BK45" s="1423"/>
      <c r="BL45" s="232"/>
      <c r="BM45" s="1013"/>
      <c r="BN45" s="1011">
        <f t="shared" ref="BN45:BT45" si="154">(BN43/BM43-1)/BN$11</f>
        <v>-30.820370370370341</v>
      </c>
      <c r="BO45" s="1011">
        <f t="shared" si="154"/>
        <v>0.13799855404265629</v>
      </c>
      <c r="BP45" s="1011">
        <f t="shared" si="154"/>
        <v>1.2498576174655904</v>
      </c>
      <c r="BQ45" s="1011">
        <f t="shared" si="154"/>
        <v>0.45781957506095455</v>
      </c>
      <c r="BR45" s="1011">
        <f t="shared" si="154"/>
        <v>1.0546737213403876</v>
      </c>
      <c r="BS45" s="1011">
        <f t="shared" si="154"/>
        <v>-7.9636363636362955</v>
      </c>
      <c r="BT45" s="1012">
        <f t="shared" si="154"/>
        <v>1.7514495554696528</v>
      </c>
      <c r="BU45" s="1375">
        <f t="shared" ref="BU45:CA45" si="155">(BU43/BT43-1)/BU11</f>
        <v>1.2006861063464835</v>
      </c>
      <c r="BV45" s="1368">
        <f t="shared" si="155"/>
        <v>0.32431566952114893</v>
      </c>
      <c r="BW45" s="1368">
        <f t="shared" si="155"/>
        <v>0.70030684605359017</v>
      </c>
      <c r="BX45" s="1368">
        <f t="shared" si="155"/>
        <v>-2.6157323260261496E-2</v>
      </c>
      <c r="BY45" s="1368">
        <f t="shared" si="155"/>
        <v>1.3953994928078088</v>
      </c>
      <c r="BZ45" s="1368">
        <f t="shared" si="155"/>
        <v>-0.49775431100822032</v>
      </c>
      <c r="CA45" s="1407">
        <f t="shared" si="155"/>
        <v>0.68016018583184712</v>
      </c>
      <c r="CB45" s="19"/>
      <c r="CC45" s="1013"/>
      <c r="CD45" s="1011">
        <f t="shared" ref="CD45:CP45" si="156">(CD43/CC43-1)/CD11</f>
        <v>-26.01029411764695</v>
      </c>
      <c r="CE45" s="1011">
        <f t="shared" si="156"/>
        <v>0</v>
      </c>
      <c r="CF45" s="1011">
        <f t="shared" si="156"/>
        <v>1.443808532778357</v>
      </c>
      <c r="CG45" s="1011">
        <f t="shared" si="156"/>
        <v>0.43349022963913836</v>
      </c>
      <c r="CH45" s="1011">
        <f t="shared" si="156"/>
        <v>1.3499999999999992</v>
      </c>
      <c r="CI45" s="1141">
        <f t="shared" si="156"/>
        <v>-6.8639610389609933</v>
      </c>
      <c r="CJ45" s="1142">
        <f t="shared" si="156"/>
        <v>1.7480449131869704</v>
      </c>
      <c r="CK45" s="1142">
        <f t="shared" si="156"/>
        <v>0.88904915930879735</v>
      </c>
      <c r="CL45" s="1171">
        <f t="shared" si="156"/>
        <v>0.21584513692162394</v>
      </c>
      <c r="CM45" s="1171">
        <f t="shared" si="156"/>
        <v>0.68317235593911785</v>
      </c>
      <c r="CN45" s="1375">
        <f t="shared" si="156"/>
        <v>-2.1739009320697594E-2</v>
      </c>
      <c r="CO45" s="1368">
        <f t="shared" si="156"/>
        <v>0.73706969546965917</v>
      </c>
      <c r="CP45" s="1407">
        <f t="shared" si="156"/>
        <v>0.55223345653399036</v>
      </c>
      <c r="CQ45" s="7"/>
      <c r="CX45" s="7"/>
    </row>
    <row r="46" spans="1:102" ht="9" customHeight="1">
      <c r="A46" s="7"/>
      <c r="B46" s="35"/>
      <c r="C46" s="28"/>
      <c r="D46" s="29"/>
      <c r="E46" s="30"/>
      <c r="F46" s="30"/>
      <c r="G46" s="30"/>
      <c r="H46" s="29"/>
      <c r="I46" s="30"/>
      <c r="J46" s="30"/>
      <c r="K46" s="31"/>
      <c r="L46" s="29"/>
      <c r="M46" s="30"/>
      <c r="N46" s="30"/>
      <c r="O46" s="31"/>
      <c r="P46" s="30"/>
      <c r="Q46" s="30"/>
      <c r="R46" s="30"/>
      <c r="S46" s="30"/>
      <c r="T46" s="29"/>
      <c r="U46" s="30"/>
      <c r="V46" s="30"/>
      <c r="W46" s="31"/>
      <c r="X46" s="30"/>
      <c r="Y46" s="30"/>
      <c r="Z46" s="30"/>
      <c r="AA46" s="30"/>
      <c r="AB46" s="29"/>
      <c r="AC46" s="30"/>
      <c r="AD46" s="30"/>
      <c r="AE46" s="31"/>
      <c r="AF46" s="30"/>
      <c r="AG46" s="30"/>
      <c r="AH46" s="30"/>
      <c r="AI46" s="30"/>
      <c r="AJ46" s="29"/>
      <c r="AK46" s="30"/>
      <c r="AL46" s="30"/>
      <c r="AM46" s="30"/>
      <c r="AN46" s="29"/>
      <c r="AO46" s="30"/>
      <c r="AP46" s="30"/>
      <c r="AQ46" s="31"/>
      <c r="AR46" s="29"/>
      <c r="AS46" s="30"/>
      <c r="AT46" s="30"/>
      <c r="AU46" s="30"/>
      <c r="AV46" s="29"/>
      <c r="AW46" s="30"/>
      <c r="AX46" s="30"/>
      <c r="AY46" s="30"/>
      <c r="AZ46" s="29"/>
      <c r="BA46" s="32"/>
      <c r="BB46" s="32"/>
      <c r="BC46" s="33"/>
      <c r="BD46" s="34"/>
      <c r="BE46" s="32"/>
      <c r="BF46" s="32"/>
      <c r="BG46" s="1410"/>
      <c r="BH46" s="34"/>
      <c r="BI46" s="32"/>
      <c r="BJ46" s="32"/>
      <c r="BK46" s="1410"/>
      <c r="BL46" s="232"/>
      <c r="BM46" s="34"/>
      <c r="BN46" s="32"/>
      <c r="BO46" s="32"/>
      <c r="BP46" s="32"/>
      <c r="BQ46" s="32"/>
      <c r="BR46" s="32"/>
      <c r="BS46" s="32"/>
      <c r="BT46" s="33"/>
      <c r="BU46" s="34"/>
      <c r="BV46" s="32"/>
      <c r="BW46" s="32"/>
      <c r="BX46" s="32"/>
      <c r="BY46" s="32"/>
      <c r="BZ46" s="32"/>
      <c r="CA46" s="1410"/>
      <c r="CB46" s="19"/>
      <c r="CC46" s="34"/>
      <c r="CD46" s="32"/>
      <c r="CE46" s="32"/>
      <c r="CF46" s="32"/>
      <c r="CG46" s="32"/>
      <c r="CH46" s="32"/>
      <c r="CI46" s="34"/>
      <c r="CJ46" s="32"/>
      <c r="CK46" s="32"/>
      <c r="CL46" s="32"/>
      <c r="CM46" s="32"/>
      <c r="CN46" s="34"/>
      <c r="CO46" s="32"/>
      <c r="CP46" s="1410"/>
      <c r="CQ46" s="7"/>
      <c r="CX46" s="7"/>
    </row>
    <row r="47" spans="1:102" ht="15.75" customHeight="1">
      <c r="A47" s="7"/>
      <c r="B47" s="1120" t="s">
        <v>391</v>
      </c>
      <c r="C47" s="28"/>
      <c r="D47" s="29"/>
      <c r="E47" s="30"/>
      <c r="F47" s="30"/>
      <c r="G47" s="30"/>
      <c r="H47" s="29"/>
      <c r="I47" s="30"/>
      <c r="J47" s="30"/>
      <c r="K47" s="31"/>
      <c r="L47" s="29"/>
      <c r="M47" s="30"/>
      <c r="N47" s="30"/>
      <c r="O47" s="31"/>
      <c r="P47" s="30"/>
      <c r="Q47" s="30"/>
      <c r="R47" s="30"/>
      <c r="S47" s="30"/>
      <c r="T47" s="29"/>
      <c r="U47" s="30"/>
      <c r="V47" s="30"/>
      <c r="W47" s="31"/>
      <c r="X47" s="30"/>
      <c r="Y47" s="30"/>
      <c r="Z47" s="30"/>
      <c r="AA47" s="30"/>
      <c r="AB47" s="29"/>
      <c r="AC47" s="30"/>
      <c r="AD47" s="30"/>
      <c r="AE47" s="31"/>
      <c r="AF47" s="30"/>
      <c r="AG47" s="30"/>
      <c r="AH47" s="30"/>
      <c r="AI47" s="30"/>
      <c r="AJ47" s="29"/>
      <c r="AK47" s="30"/>
      <c r="AL47" s="30"/>
      <c r="AM47" s="30"/>
      <c r="AN47" s="29"/>
      <c r="AO47" s="30"/>
      <c r="AP47" s="30"/>
      <c r="AQ47" s="31"/>
      <c r="AR47" s="29"/>
      <c r="AS47" s="30"/>
      <c r="AT47" s="30">
        <f t="shared" ref="AT47:AY47" si="157">AT43+AT50</f>
        <v>265</v>
      </c>
      <c r="AU47" s="30">
        <f t="shared" si="157"/>
        <v>264</v>
      </c>
      <c r="AV47" s="29">
        <f t="shared" si="157"/>
        <v>245</v>
      </c>
      <c r="AW47" s="30">
        <f t="shared" si="157"/>
        <v>239</v>
      </c>
      <c r="AX47" s="30">
        <f t="shared" si="157"/>
        <v>243.5</v>
      </c>
      <c r="AY47" s="30">
        <f t="shared" si="157"/>
        <v>234</v>
      </c>
      <c r="AZ47" s="29">
        <f t="shared" ref="AZ47" si="158">AZ43+AZ50</f>
        <v>335</v>
      </c>
      <c r="BA47" s="32">
        <f t="shared" ref="BA47:BC47" si="159">(AZ47-AZ52)*(1+BA10*BA48)</f>
        <v>286.52673099305423</v>
      </c>
      <c r="BB47" s="32">
        <f t="shared" si="159"/>
        <v>286.52673099305423</v>
      </c>
      <c r="BC47" s="33">
        <f t="shared" si="159"/>
        <v>286.52673099305423</v>
      </c>
      <c r="BD47" s="34">
        <f t="shared" ref="BD47" si="160">(BC47-BC52)*(1+BD10*BD48)</f>
        <v>283.94481590201417</v>
      </c>
      <c r="BE47" s="32">
        <f t="shared" ref="BE47" si="161">(BD47-BD52)*(1+BE10*BE48)</f>
        <v>282.31501632258454</v>
      </c>
      <c r="BF47" s="32">
        <f t="shared" ref="BF47" si="162">(BE47-BE52)*(1+BF10*BF48)</f>
        <v>292.37381347769525</v>
      </c>
      <c r="BG47" s="1410">
        <f t="shared" ref="BG47" si="163">(BF47-BF52)*(1+BG10*BG48)</f>
        <v>308.98740612638841</v>
      </c>
      <c r="BH47" s="34">
        <f t="shared" ref="BH47" si="164">(BG47-BG52)*(1+BH10*BH48)</f>
        <v>302.10205137371639</v>
      </c>
      <c r="BI47" s="32">
        <f t="shared" ref="BI47" si="165">(BH47-BH52)*(1+BI10*BI48)</f>
        <v>294.01891995987398</v>
      </c>
      <c r="BJ47" s="32">
        <f t="shared" ref="BJ47" si="166">(BI47-BI52)*(1+BJ10*BJ48)</f>
        <v>299.98702649202454</v>
      </c>
      <c r="BK47" s="1410">
        <f t="shared" ref="BK47" si="167">(BJ47-BJ52)*(1+BK10*BK48)</f>
        <v>309.50909364491628</v>
      </c>
      <c r="BL47" s="232"/>
      <c r="BM47" s="34"/>
      <c r="BN47" s="32"/>
      <c r="BO47" s="32"/>
      <c r="BP47" s="32"/>
      <c r="BQ47" s="32"/>
      <c r="BR47" s="32"/>
      <c r="BS47" s="32"/>
      <c r="BT47" s="33"/>
      <c r="BU47" s="34"/>
      <c r="BV47" s="32"/>
      <c r="BW47" s="32">
        <f>SUM(AR47:AU47)</f>
        <v>529</v>
      </c>
      <c r="BX47" s="32">
        <f>SUM(AV47:AY47)</f>
        <v>961.5</v>
      </c>
      <c r="BY47" s="32">
        <f>SUM(AZ47:BC47)</f>
        <v>1194.5801929791628</v>
      </c>
      <c r="BZ47" s="32">
        <f>SUM(BD47:BG47)</f>
        <v>1167.6210518286823</v>
      </c>
      <c r="CA47" s="1410">
        <f>SUM(BH47:BK47)</f>
        <v>1205.6170914705312</v>
      </c>
      <c r="CB47" s="19"/>
      <c r="CC47" s="34"/>
      <c r="CD47" s="32"/>
      <c r="CE47" s="32"/>
      <c r="CF47" s="32"/>
      <c r="CG47" s="32"/>
      <c r="CH47" s="32"/>
      <c r="CI47" s="34"/>
      <c r="CJ47" s="32"/>
      <c r="CK47" s="32"/>
      <c r="CL47" s="32"/>
      <c r="CM47" s="32">
        <f>SUM(AS47:AV47)</f>
        <v>774</v>
      </c>
      <c r="CN47" s="34">
        <f>SUM(AW47:AZ47)</f>
        <v>1051.5</v>
      </c>
      <c r="CO47" s="32">
        <f>SUM(BA47:BD47)</f>
        <v>1143.5250088811767</v>
      </c>
      <c r="CP47" s="1410">
        <f>SUM(BE47:BH47)</f>
        <v>1185.7782873003846</v>
      </c>
      <c r="CQ47" s="7"/>
      <c r="CX47" s="7"/>
    </row>
    <row r="48" spans="1:102" ht="15.75" customHeight="1">
      <c r="A48" s="7"/>
      <c r="B48" s="1124" t="s">
        <v>232</v>
      </c>
      <c r="C48" s="28"/>
      <c r="D48" s="29"/>
      <c r="E48" s="30"/>
      <c r="F48" s="30"/>
      <c r="G48" s="30"/>
      <c r="H48" s="29"/>
      <c r="I48" s="30"/>
      <c r="J48" s="30"/>
      <c r="K48" s="31"/>
      <c r="L48" s="29"/>
      <c r="M48" s="30"/>
      <c r="N48" s="30"/>
      <c r="O48" s="31"/>
      <c r="P48" s="30"/>
      <c r="Q48" s="30"/>
      <c r="R48" s="30"/>
      <c r="S48" s="30"/>
      <c r="T48" s="29"/>
      <c r="U48" s="30"/>
      <c r="V48" s="30"/>
      <c r="W48" s="31"/>
      <c r="X48" s="30"/>
      <c r="Y48" s="30"/>
      <c r="Z48" s="30"/>
      <c r="AA48" s="30"/>
      <c r="AB48" s="29"/>
      <c r="AC48" s="30"/>
      <c r="AD48" s="30"/>
      <c r="AE48" s="31"/>
      <c r="AF48" s="30"/>
      <c r="AG48" s="30"/>
      <c r="AH48" s="30"/>
      <c r="AI48" s="30"/>
      <c r="AJ48" s="29"/>
      <c r="AK48" s="30"/>
      <c r="AL48" s="30"/>
      <c r="AM48" s="30"/>
      <c r="AN48" s="29"/>
      <c r="AO48" s="30"/>
      <c r="AP48" s="30"/>
      <c r="AQ48" s="31"/>
      <c r="AR48" s="29"/>
      <c r="AS48" s="30"/>
      <c r="AT48" s="30"/>
      <c r="AU48" s="30"/>
      <c r="AV48" s="29"/>
      <c r="AW48" s="30"/>
      <c r="AX48" s="30"/>
      <c r="AY48" s="30"/>
      <c r="AZ48" s="29"/>
      <c r="BA48" s="1369">
        <v>-0.15</v>
      </c>
      <c r="BB48" s="1369">
        <v>0</v>
      </c>
      <c r="BC48" s="1387">
        <v>0</v>
      </c>
      <c r="BD48" s="1372">
        <v>0.2</v>
      </c>
      <c r="BE48" s="1369">
        <v>0.2</v>
      </c>
      <c r="BF48" s="1369">
        <v>0.5</v>
      </c>
      <c r="BG48" s="1387">
        <v>0.5</v>
      </c>
      <c r="BH48" s="1372">
        <v>0.5</v>
      </c>
      <c r="BI48" s="1369">
        <v>0.5</v>
      </c>
      <c r="BJ48" s="1369">
        <v>0.5</v>
      </c>
      <c r="BK48" s="1387">
        <v>0.5</v>
      </c>
      <c r="BL48" s="232"/>
      <c r="BM48" s="34"/>
      <c r="BN48" s="32"/>
      <c r="BO48" s="32"/>
      <c r="BP48" s="32"/>
      <c r="BQ48" s="32"/>
      <c r="BR48" s="32"/>
      <c r="BS48" s="32"/>
      <c r="BT48" s="33"/>
      <c r="BU48" s="34"/>
      <c r="BV48" s="32"/>
      <c r="BW48" s="32"/>
      <c r="BX48" s="32"/>
      <c r="BY48" s="32"/>
      <c r="BZ48" s="32"/>
      <c r="CA48" s="1410"/>
      <c r="CB48" s="19"/>
      <c r="CC48" s="34"/>
      <c r="CD48" s="32"/>
      <c r="CE48" s="32"/>
      <c r="CF48" s="32"/>
      <c r="CG48" s="32"/>
      <c r="CH48" s="32"/>
      <c r="CI48" s="34"/>
      <c r="CJ48" s="32"/>
      <c r="CK48" s="32"/>
      <c r="CL48" s="32"/>
      <c r="CM48" s="32"/>
      <c r="CN48" s="34"/>
      <c r="CO48" s="32"/>
      <c r="CP48" s="1410"/>
      <c r="CQ48" s="7"/>
      <c r="CX48" s="7"/>
    </row>
    <row r="49" spans="1:102" ht="6" customHeight="1">
      <c r="A49" s="7"/>
      <c r="B49" s="35"/>
      <c r="C49" s="28"/>
      <c r="D49" s="29"/>
      <c r="E49" s="30"/>
      <c r="F49" s="30"/>
      <c r="G49" s="30"/>
      <c r="H49" s="29"/>
      <c r="I49" s="30"/>
      <c r="J49" s="30"/>
      <c r="K49" s="31"/>
      <c r="L49" s="29"/>
      <c r="M49" s="30"/>
      <c r="N49" s="30"/>
      <c r="O49" s="31"/>
      <c r="P49" s="30"/>
      <c r="Q49" s="30"/>
      <c r="R49" s="30"/>
      <c r="S49" s="30"/>
      <c r="T49" s="29"/>
      <c r="U49" s="30"/>
      <c r="V49" s="30"/>
      <c r="W49" s="31"/>
      <c r="X49" s="30"/>
      <c r="Y49" s="30"/>
      <c r="Z49" s="30"/>
      <c r="AA49" s="30"/>
      <c r="AB49" s="29"/>
      <c r="AC49" s="30"/>
      <c r="AD49" s="30"/>
      <c r="AE49" s="31"/>
      <c r="AF49" s="30"/>
      <c r="AG49" s="30"/>
      <c r="AH49" s="30"/>
      <c r="AI49" s="30"/>
      <c r="AJ49" s="29"/>
      <c r="AK49" s="30"/>
      <c r="AL49" s="30"/>
      <c r="AM49" s="30"/>
      <c r="AN49" s="29"/>
      <c r="AO49" s="30"/>
      <c r="AP49" s="30"/>
      <c r="AQ49" s="31"/>
      <c r="AR49" s="29"/>
      <c r="AS49" s="30"/>
      <c r="AT49" s="30"/>
      <c r="AU49" s="30"/>
      <c r="AV49" s="29"/>
      <c r="AW49" s="30"/>
      <c r="AX49" s="30"/>
      <c r="AY49" s="30"/>
      <c r="AZ49" s="29"/>
      <c r="BA49" s="30"/>
      <c r="BB49" s="30"/>
      <c r="BC49" s="31"/>
      <c r="BD49" s="29"/>
      <c r="BE49" s="30"/>
      <c r="BF49" s="30"/>
      <c r="BG49" s="1415"/>
      <c r="BH49" s="29"/>
      <c r="BI49" s="30"/>
      <c r="BJ49" s="30"/>
      <c r="BK49" s="1415"/>
      <c r="BL49" s="232"/>
      <c r="BM49" s="34"/>
      <c r="BN49" s="32"/>
      <c r="BO49" s="32"/>
      <c r="BP49" s="32"/>
      <c r="BQ49" s="32"/>
      <c r="BR49" s="32"/>
      <c r="BS49" s="32"/>
      <c r="BT49" s="33"/>
      <c r="BU49" s="34"/>
      <c r="BV49" s="32"/>
      <c r="BW49" s="32"/>
      <c r="BX49" s="32"/>
      <c r="BY49" s="32"/>
      <c r="BZ49" s="32"/>
      <c r="CA49" s="1410"/>
      <c r="CB49" s="19"/>
      <c r="CC49" s="34"/>
      <c r="CD49" s="32"/>
      <c r="CE49" s="32"/>
      <c r="CF49" s="32"/>
      <c r="CG49" s="32"/>
      <c r="CH49" s="32"/>
      <c r="CI49" s="34"/>
      <c r="CJ49" s="32"/>
      <c r="CK49" s="32"/>
      <c r="CL49" s="32"/>
      <c r="CM49" s="32"/>
      <c r="CN49" s="34"/>
      <c r="CO49" s="32"/>
      <c r="CP49" s="1410"/>
      <c r="CQ49" s="7"/>
      <c r="CX49" s="7"/>
    </row>
    <row r="50" spans="1:102" s="533" customFormat="1" ht="12" customHeight="1">
      <c r="A50" s="525"/>
      <c r="B50" s="1043" t="s">
        <v>347</v>
      </c>
      <c r="C50" s="789"/>
      <c r="D50" s="526"/>
      <c r="E50" s="527"/>
      <c r="F50" s="527"/>
      <c r="G50" s="527"/>
      <c r="H50" s="526"/>
      <c r="I50" s="527"/>
      <c r="J50" s="527"/>
      <c r="K50" s="528"/>
      <c r="L50" s="526"/>
      <c r="M50" s="527"/>
      <c r="N50" s="527"/>
      <c r="O50" s="528"/>
      <c r="P50" s="527"/>
      <c r="Q50" s="527"/>
      <c r="R50" s="527"/>
      <c r="S50" s="527"/>
      <c r="T50" s="526"/>
      <c r="U50" s="527"/>
      <c r="V50" s="527"/>
      <c r="W50" s="528"/>
      <c r="X50" s="527"/>
      <c r="Y50" s="527"/>
      <c r="Z50" s="527"/>
      <c r="AA50" s="527"/>
      <c r="AB50" s="526"/>
      <c r="AC50" s="527"/>
      <c r="AD50" s="527"/>
      <c r="AE50" s="528"/>
      <c r="AF50" s="527"/>
      <c r="AG50" s="527"/>
      <c r="AH50" s="527"/>
      <c r="AI50" s="527"/>
      <c r="AJ50" s="526"/>
      <c r="AK50" s="527"/>
      <c r="AL50" s="527"/>
      <c r="AM50" s="527"/>
      <c r="AN50" s="526"/>
      <c r="AO50" s="527"/>
      <c r="AP50" s="527"/>
      <c r="AQ50" s="528"/>
      <c r="AR50" s="526"/>
      <c r="AS50" s="1167">
        <v>35</v>
      </c>
      <c r="AT50" s="1209">
        <v>35</v>
      </c>
      <c r="AU50" s="1277">
        <v>40</v>
      </c>
      <c r="AV50" s="1278">
        <v>44</v>
      </c>
      <c r="AW50" s="1277">
        <v>35</v>
      </c>
      <c r="AX50" s="1335">
        <v>43.5</v>
      </c>
      <c r="AY50" s="1335">
        <v>40</v>
      </c>
      <c r="AZ50" s="1341">
        <v>44</v>
      </c>
      <c r="BA50" s="1335">
        <v>43.5</v>
      </c>
      <c r="BB50" s="1335">
        <v>43.5</v>
      </c>
      <c r="BC50" s="1339">
        <v>43.5</v>
      </c>
      <c r="BD50" s="1341">
        <v>43.5</v>
      </c>
      <c r="BE50" s="1335">
        <v>43.5</v>
      </c>
      <c r="BF50" s="1335">
        <v>43.5</v>
      </c>
      <c r="BG50" s="1408">
        <v>43.5</v>
      </c>
      <c r="BH50" s="1341">
        <v>43.5</v>
      </c>
      <c r="BI50" s="1335">
        <v>43.5</v>
      </c>
      <c r="BJ50" s="1335">
        <v>43.5</v>
      </c>
      <c r="BK50" s="1408">
        <v>43.5</v>
      </c>
      <c r="BL50" s="796"/>
      <c r="BM50" s="532"/>
      <c r="BN50" s="530"/>
      <c r="BO50" s="530"/>
      <c r="BP50" s="530"/>
      <c r="BQ50" s="530"/>
      <c r="BR50" s="530"/>
      <c r="BS50" s="530"/>
      <c r="BT50" s="531"/>
      <c r="BU50" s="532"/>
      <c r="BV50" s="530"/>
      <c r="BW50" s="32">
        <f>SUM(AR50:AU50)</f>
        <v>110</v>
      </c>
      <c r="BX50" s="32">
        <f>SUM(AV50:AY50)</f>
        <v>162.5</v>
      </c>
      <c r="BY50" s="32">
        <f>SUM(AZ50:BC50)</f>
        <v>174.5</v>
      </c>
      <c r="BZ50" s="32">
        <f>SUM(BD50:BG50)</f>
        <v>174</v>
      </c>
      <c r="CA50" s="1410">
        <f>SUM(BH50:BK50)</f>
        <v>174</v>
      </c>
      <c r="CB50" s="529"/>
      <c r="CC50" s="532"/>
      <c r="CD50" s="530"/>
      <c r="CE50" s="530"/>
      <c r="CF50" s="530"/>
      <c r="CG50" s="530"/>
      <c r="CH50" s="530"/>
      <c r="CI50" s="532"/>
      <c r="CJ50" s="530"/>
      <c r="CK50" s="530"/>
      <c r="CL50" s="530"/>
      <c r="CM50" s="32">
        <f>SUM(AS50:AV50)</f>
        <v>154</v>
      </c>
      <c r="CN50" s="34">
        <f>SUM(AW50:AZ50)</f>
        <v>162.5</v>
      </c>
      <c r="CO50" s="32">
        <f>SUM(BA50:BD50)</f>
        <v>174</v>
      </c>
      <c r="CP50" s="1410">
        <f>SUM(BE50:BH50)</f>
        <v>174</v>
      </c>
      <c r="CQ50" s="525"/>
      <c r="CR50"/>
      <c r="CS50"/>
      <c r="CT50"/>
      <c r="CU50"/>
      <c r="CV50"/>
      <c r="CW50"/>
      <c r="CX50" s="525"/>
    </row>
    <row r="51" spans="1:102" ht="14.25" hidden="1" customHeight="1" outlineLevel="1">
      <c r="A51" s="7"/>
      <c r="B51" s="35"/>
      <c r="C51" s="28"/>
      <c r="D51" s="29"/>
      <c r="E51" s="30"/>
      <c r="F51" s="30"/>
      <c r="G51" s="30"/>
      <c r="H51" s="29"/>
      <c r="I51" s="30"/>
      <c r="J51" s="30"/>
      <c r="K51" s="31"/>
      <c r="L51" s="29"/>
      <c r="M51" s="30"/>
      <c r="N51" s="30"/>
      <c r="O51" s="31"/>
      <c r="P51" s="30"/>
      <c r="Q51" s="30"/>
      <c r="R51" s="30"/>
      <c r="S51" s="30"/>
      <c r="T51" s="29"/>
      <c r="U51" s="30"/>
      <c r="V51" s="30"/>
      <c r="W51" s="31"/>
      <c r="X51" s="30"/>
      <c r="Y51" s="30"/>
      <c r="Z51" s="30"/>
      <c r="AA51" s="30"/>
      <c r="AB51" s="29"/>
      <c r="AC51" s="30"/>
      <c r="AD51" s="30"/>
      <c r="AE51" s="31"/>
      <c r="AF51" s="30"/>
      <c r="AG51" s="30"/>
      <c r="AH51" s="30"/>
      <c r="AI51" s="30"/>
      <c r="AJ51" s="29"/>
      <c r="AK51" s="30"/>
      <c r="AL51" s="30"/>
      <c r="AM51" s="30"/>
      <c r="AN51" s="29"/>
      <c r="AO51" s="30"/>
      <c r="AP51" s="30"/>
      <c r="AQ51" s="30"/>
      <c r="AR51" s="29"/>
      <c r="AS51" s="30"/>
      <c r="AT51" s="30"/>
      <c r="AU51" s="30"/>
      <c r="AV51" s="29"/>
      <c r="AW51" s="30"/>
      <c r="AX51" s="30"/>
      <c r="AY51" s="30"/>
      <c r="AZ51" s="29"/>
      <c r="BA51" s="30"/>
      <c r="BB51" s="30"/>
      <c r="BC51" s="31"/>
      <c r="BD51" s="29"/>
      <c r="BE51" s="30"/>
      <c r="BF51" s="30"/>
      <c r="BG51" s="1415"/>
      <c r="BH51" s="29"/>
      <c r="BI51" s="30"/>
      <c r="BJ51" s="30"/>
      <c r="BK51" s="1415"/>
      <c r="BL51" s="232"/>
      <c r="BM51" s="34"/>
      <c r="BN51" s="32"/>
      <c r="BO51" s="32"/>
      <c r="BP51" s="32"/>
      <c r="BQ51" s="32"/>
      <c r="BR51" s="32"/>
      <c r="BS51" s="32"/>
      <c r="BT51" s="33"/>
      <c r="BU51" s="34"/>
      <c r="BV51" s="32"/>
      <c r="BW51" s="32"/>
      <c r="BX51" s="32"/>
      <c r="BY51" s="32"/>
      <c r="BZ51" s="32"/>
      <c r="CA51" s="1410"/>
      <c r="CB51" s="19"/>
      <c r="CC51" s="34"/>
      <c r="CD51" s="32"/>
      <c r="CE51" s="32"/>
      <c r="CF51" s="32"/>
      <c r="CG51" s="32"/>
      <c r="CH51" s="32"/>
      <c r="CI51" s="34"/>
      <c r="CJ51" s="32"/>
      <c r="CK51" s="32"/>
      <c r="CL51" s="32"/>
      <c r="CM51" s="32"/>
      <c r="CN51" s="34"/>
      <c r="CO51" s="32"/>
      <c r="CP51" s="1410"/>
      <c r="CQ51" s="7"/>
      <c r="CX51" s="7"/>
    </row>
    <row r="52" spans="1:102" s="533" customFormat="1" ht="14.25" hidden="1" customHeight="1" outlineLevel="1">
      <c r="A52" s="525"/>
      <c r="B52" s="764" t="s">
        <v>230</v>
      </c>
      <c r="C52" s="788"/>
      <c r="D52" s="526">
        <v>0</v>
      </c>
      <c r="E52" s="527">
        <v>0</v>
      </c>
      <c r="F52" s="527">
        <v>0</v>
      </c>
      <c r="G52" s="527">
        <v>0</v>
      </c>
      <c r="H52" s="526">
        <v>0</v>
      </c>
      <c r="I52" s="527">
        <v>0</v>
      </c>
      <c r="J52" s="527">
        <v>0</v>
      </c>
      <c r="K52" s="528">
        <v>0</v>
      </c>
      <c r="L52" s="526">
        <v>0</v>
      </c>
      <c r="M52" s="527">
        <v>0</v>
      </c>
      <c r="N52" s="527">
        <v>0</v>
      </c>
      <c r="O52" s="528">
        <v>0</v>
      </c>
      <c r="P52" s="527">
        <v>0</v>
      </c>
      <c r="Q52" s="527">
        <v>0</v>
      </c>
      <c r="R52" s="527">
        <v>0</v>
      </c>
      <c r="S52" s="527">
        <v>0</v>
      </c>
      <c r="T52" s="526">
        <v>0</v>
      </c>
      <c r="U52" s="527">
        <v>0</v>
      </c>
      <c r="V52" s="527">
        <v>0</v>
      </c>
      <c r="W52" s="528">
        <v>0</v>
      </c>
      <c r="X52" s="527">
        <v>0</v>
      </c>
      <c r="Y52" s="527">
        <v>0</v>
      </c>
      <c r="Z52" s="527">
        <v>0</v>
      </c>
      <c r="AA52" s="527">
        <v>0</v>
      </c>
      <c r="AB52" s="526">
        <v>0</v>
      </c>
      <c r="AC52" s="527">
        <v>0</v>
      </c>
      <c r="AD52" s="527">
        <v>0</v>
      </c>
      <c r="AE52" s="528">
        <v>0</v>
      </c>
      <c r="AF52" s="527">
        <v>0</v>
      </c>
      <c r="AG52" s="527">
        <v>2</v>
      </c>
      <c r="AH52" s="527">
        <v>2</v>
      </c>
      <c r="AI52" s="527">
        <v>4</v>
      </c>
      <c r="AJ52" s="526">
        <v>17</v>
      </c>
      <c r="AK52" s="527">
        <v>3</v>
      </c>
      <c r="AL52" s="527">
        <v>25</v>
      </c>
      <c r="AM52" s="527">
        <v>16</v>
      </c>
      <c r="AN52" s="526">
        <v>10</v>
      </c>
      <c r="AO52" s="527">
        <v>8</v>
      </c>
      <c r="AP52" s="527">
        <v>33</v>
      </c>
      <c r="AQ52" s="527">
        <v>11</v>
      </c>
      <c r="AR52" s="526">
        <f>23</f>
        <v>23</v>
      </c>
      <c r="AS52" s="527">
        <v>41</v>
      </c>
      <c r="AT52" s="527">
        <v>35</v>
      </c>
      <c r="AU52" s="527">
        <v>29</v>
      </c>
      <c r="AV52" s="526">
        <v>35</v>
      </c>
      <c r="AW52" s="527">
        <v>31</v>
      </c>
      <c r="AX52" s="527">
        <v>25</v>
      </c>
      <c r="AY52" s="527">
        <v>12</v>
      </c>
      <c r="AZ52" s="526">
        <v>51</v>
      </c>
      <c r="BA52" s="530">
        <v>0</v>
      </c>
      <c r="BB52" s="530">
        <v>0</v>
      </c>
      <c r="BC52" s="531">
        <v>0</v>
      </c>
      <c r="BD52" s="532">
        <v>0</v>
      </c>
      <c r="BE52" s="530">
        <v>0</v>
      </c>
      <c r="BF52" s="530">
        <v>0</v>
      </c>
      <c r="BG52" s="1406">
        <v>0</v>
      </c>
      <c r="BH52" s="532">
        <v>0</v>
      </c>
      <c r="BI52" s="530">
        <v>0</v>
      </c>
      <c r="BJ52" s="530">
        <v>0</v>
      </c>
      <c r="BK52" s="1406">
        <v>0</v>
      </c>
      <c r="BL52" s="796"/>
      <c r="BM52" s="532">
        <f>SUM(D52:G52)</f>
        <v>0</v>
      </c>
      <c r="BN52" s="530">
        <f>SUM(H52:K52)</f>
        <v>0</v>
      </c>
      <c r="BO52" s="530">
        <f>SUM(L52:O52)</f>
        <v>0</v>
      </c>
      <c r="BP52" s="530">
        <f>SUM(P52:S52)</f>
        <v>0</v>
      </c>
      <c r="BQ52" s="530">
        <f>SUM(T52:W52)</f>
        <v>0</v>
      </c>
      <c r="BR52" s="530">
        <f>SUM(X52:AA52)</f>
        <v>0</v>
      </c>
      <c r="BS52" s="530">
        <f>SUM(AB52:AE52)</f>
        <v>0</v>
      </c>
      <c r="BT52" s="531">
        <f>SUM(AF52:AI52)</f>
        <v>8</v>
      </c>
      <c r="BU52" s="532">
        <f>SUM(AJ52:AM52)</f>
        <v>61</v>
      </c>
      <c r="BV52" s="530">
        <f>SUM(AN52:AQ52)</f>
        <v>62</v>
      </c>
      <c r="BW52" s="530">
        <f>SUM(AR52:AU52)</f>
        <v>128</v>
      </c>
      <c r="BX52" s="530">
        <f>SUM(AV52:AY52)</f>
        <v>103</v>
      </c>
      <c r="BY52" s="530">
        <f>SUM(AZ52:BC52)</f>
        <v>51</v>
      </c>
      <c r="BZ52" s="530">
        <f>SUM(BD52:BG52)</f>
        <v>0</v>
      </c>
      <c r="CA52" s="1406">
        <f>SUM(BH52:BK52)</f>
        <v>0</v>
      </c>
      <c r="CB52" s="529"/>
      <c r="CC52" s="532">
        <f>SUM(E52:H52)</f>
        <v>0</v>
      </c>
      <c r="CD52" s="530">
        <f>SUM(I52:L52)</f>
        <v>0</v>
      </c>
      <c r="CE52" s="530">
        <f>SUM(M52:P52)</f>
        <v>0</v>
      </c>
      <c r="CF52" s="530">
        <f>SUM(Q52:T52)</f>
        <v>0</v>
      </c>
      <c r="CG52" s="530">
        <f>SUM(U52:X52)</f>
        <v>0</v>
      </c>
      <c r="CH52" s="530">
        <f>SUM(Y52:AB52)</f>
        <v>0</v>
      </c>
      <c r="CI52" s="532">
        <f>SUM(AC52:AF52)</f>
        <v>0</v>
      </c>
      <c r="CJ52" s="530">
        <f>SUM(AG52:AJ52)</f>
        <v>25</v>
      </c>
      <c r="CK52" s="530">
        <f>SUM(AK52:AN52)</f>
        <v>54</v>
      </c>
      <c r="CL52" s="530">
        <f>SUM(AO52:AR52)</f>
        <v>75</v>
      </c>
      <c r="CM52" s="530">
        <f>SUM(AS52:AV52)</f>
        <v>140</v>
      </c>
      <c r="CN52" s="532">
        <f>SUM(AW52:AZ52)</f>
        <v>119</v>
      </c>
      <c r="CO52" s="530">
        <f>SUM(BA52:BD52)</f>
        <v>0</v>
      </c>
      <c r="CP52" s="1406">
        <f>SUM(BE52:BH52)</f>
        <v>0</v>
      </c>
      <c r="CQ52" s="525"/>
      <c r="CR52"/>
      <c r="CS52"/>
      <c r="CT52"/>
      <c r="CU52"/>
      <c r="CV52"/>
      <c r="CW52"/>
      <c r="CX52" s="525"/>
    </row>
    <row r="53" spans="1:102" ht="14.25" hidden="1" customHeight="1" outlineLevel="1">
      <c r="A53" s="7"/>
      <c r="B53" s="21" t="s">
        <v>233</v>
      </c>
      <c r="C53" s="22"/>
      <c r="D53" s="34">
        <f t="shared" ref="D53:AI53" si="168">D43-D52</f>
        <v>72</v>
      </c>
      <c r="E53" s="34">
        <f t="shared" si="168"/>
        <v>72</v>
      </c>
      <c r="F53" s="34">
        <f t="shared" si="168"/>
        <v>59</v>
      </c>
      <c r="G53" s="34">
        <f t="shared" si="168"/>
        <v>67</v>
      </c>
      <c r="H53" s="34">
        <f t="shared" si="168"/>
        <v>57</v>
      </c>
      <c r="I53" s="34">
        <f t="shared" si="168"/>
        <v>47</v>
      </c>
      <c r="J53" s="34">
        <f t="shared" si="168"/>
        <v>44</v>
      </c>
      <c r="K53" s="34">
        <f t="shared" si="168"/>
        <v>45</v>
      </c>
      <c r="L53" s="34">
        <f t="shared" si="168"/>
        <v>50</v>
      </c>
      <c r="M53" s="34">
        <f t="shared" si="168"/>
        <v>48</v>
      </c>
      <c r="N53" s="34">
        <f t="shared" si="168"/>
        <v>50</v>
      </c>
      <c r="O53" s="34">
        <f t="shared" si="168"/>
        <v>48</v>
      </c>
      <c r="P53" s="34">
        <f t="shared" si="168"/>
        <v>40</v>
      </c>
      <c r="Q53" s="34">
        <f t="shared" si="168"/>
        <v>42</v>
      </c>
      <c r="R53" s="34">
        <f t="shared" si="168"/>
        <v>40</v>
      </c>
      <c r="S53" s="34">
        <f t="shared" si="168"/>
        <v>43</v>
      </c>
      <c r="T53" s="34">
        <f t="shared" si="168"/>
        <v>46</v>
      </c>
      <c r="U53" s="34">
        <f t="shared" si="168"/>
        <v>48</v>
      </c>
      <c r="V53" s="34">
        <f t="shared" si="168"/>
        <v>51</v>
      </c>
      <c r="W53" s="34">
        <f t="shared" si="168"/>
        <v>51</v>
      </c>
      <c r="X53" s="34">
        <f t="shared" si="168"/>
        <v>50</v>
      </c>
      <c r="Y53" s="34">
        <f t="shared" si="168"/>
        <v>55</v>
      </c>
      <c r="Z53" s="34">
        <f t="shared" si="168"/>
        <v>60</v>
      </c>
      <c r="AA53" s="34">
        <f t="shared" si="168"/>
        <v>55</v>
      </c>
      <c r="AB53" s="34">
        <f t="shared" si="168"/>
        <v>50</v>
      </c>
      <c r="AC53" s="34">
        <f t="shared" si="168"/>
        <v>51</v>
      </c>
      <c r="AD53" s="34">
        <f t="shared" si="168"/>
        <v>49</v>
      </c>
      <c r="AE53" s="34">
        <f t="shared" si="168"/>
        <v>49</v>
      </c>
      <c r="AF53" s="34">
        <f t="shared" si="168"/>
        <v>53</v>
      </c>
      <c r="AG53" s="34">
        <f t="shared" si="168"/>
        <v>50</v>
      </c>
      <c r="AH53" s="34">
        <f t="shared" si="168"/>
        <v>55</v>
      </c>
      <c r="AI53" s="34">
        <f t="shared" si="168"/>
        <v>56</v>
      </c>
      <c r="AJ53" s="34">
        <f t="shared" ref="AJ53:BC53" si="169">AJ43-AJ52</f>
        <v>57</v>
      </c>
      <c r="AK53" s="34">
        <f t="shared" si="169"/>
        <v>64</v>
      </c>
      <c r="AL53" s="34">
        <f t="shared" si="169"/>
        <v>112</v>
      </c>
      <c r="AM53" s="34">
        <f t="shared" si="169"/>
        <v>113</v>
      </c>
      <c r="AN53" s="34">
        <f t="shared" si="169"/>
        <v>107</v>
      </c>
      <c r="AO53" s="34">
        <f t="shared" si="169"/>
        <v>100</v>
      </c>
      <c r="AP53" s="34">
        <f t="shared" si="169"/>
        <v>110</v>
      </c>
      <c r="AQ53" s="34">
        <f t="shared" si="169"/>
        <v>107</v>
      </c>
      <c r="AR53" s="34">
        <f t="shared" ref="AR53:AU53" si="170">AR43-AR52</f>
        <v>91</v>
      </c>
      <c r="AS53" s="32">
        <f t="shared" si="170"/>
        <v>197</v>
      </c>
      <c r="AT53" s="34">
        <f t="shared" si="170"/>
        <v>195</v>
      </c>
      <c r="AU53" s="34">
        <f t="shared" si="170"/>
        <v>195</v>
      </c>
      <c r="AV53" s="34">
        <f t="shared" ref="AV53:AY53" si="171">AV43-AV52</f>
        <v>166</v>
      </c>
      <c r="AW53" s="32">
        <f t="shared" si="171"/>
        <v>173</v>
      </c>
      <c r="AX53" s="32">
        <f t="shared" si="171"/>
        <v>175</v>
      </c>
      <c r="AY53" s="32">
        <f t="shared" si="171"/>
        <v>182</v>
      </c>
      <c r="AZ53" s="34">
        <f t="shared" ref="AZ53" si="172">AZ43-AZ52</f>
        <v>240</v>
      </c>
      <c r="BA53" s="32">
        <f t="shared" si="169"/>
        <v>243.02673099305423</v>
      </c>
      <c r="BB53" s="32">
        <f t="shared" si="169"/>
        <v>243.02673099305423</v>
      </c>
      <c r="BC53" s="33">
        <f t="shared" si="169"/>
        <v>243.02673099305423</v>
      </c>
      <c r="BD53" s="34">
        <f t="shared" ref="BD53:BG53" si="173">BD43-BD52</f>
        <v>240.44481590201417</v>
      </c>
      <c r="BE53" s="32">
        <f t="shared" si="173"/>
        <v>238.81501632258454</v>
      </c>
      <c r="BF53" s="32">
        <f t="shared" si="173"/>
        <v>248.87381347769525</v>
      </c>
      <c r="BG53" s="1410">
        <f t="shared" si="173"/>
        <v>265.48740612638841</v>
      </c>
      <c r="BH53" s="34">
        <f t="shared" ref="BH53:BK53" si="174">BH43-BH52</f>
        <v>258.60205137371639</v>
      </c>
      <c r="BI53" s="32">
        <f t="shared" si="174"/>
        <v>250.51891995987398</v>
      </c>
      <c r="BJ53" s="32">
        <f t="shared" si="174"/>
        <v>256.48702649202454</v>
      </c>
      <c r="BK53" s="1410">
        <f t="shared" si="174"/>
        <v>266.00909364491628</v>
      </c>
      <c r="BL53" s="232"/>
      <c r="BM53" s="32">
        <f>BM43-BM52</f>
        <v>270</v>
      </c>
      <c r="BN53" s="32">
        <f t="shared" ref="BN53:BR53" si="175">BN43-BN52</f>
        <v>193</v>
      </c>
      <c r="BO53" s="32">
        <f t="shared" si="175"/>
        <v>196</v>
      </c>
      <c r="BP53" s="32">
        <f t="shared" si="175"/>
        <v>165</v>
      </c>
      <c r="BQ53" s="32">
        <f t="shared" si="175"/>
        <v>196</v>
      </c>
      <c r="BR53" s="32">
        <f t="shared" si="175"/>
        <v>220</v>
      </c>
      <c r="BS53" s="32">
        <f t="shared" ref="BS53:BY53" si="176">BS43-BS52</f>
        <v>199</v>
      </c>
      <c r="BT53" s="33">
        <f t="shared" si="176"/>
        <v>214</v>
      </c>
      <c r="BU53" s="34">
        <f t="shared" si="176"/>
        <v>346</v>
      </c>
      <c r="BV53" s="32">
        <f t="shared" si="176"/>
        <v>424</v>
      </c>
      <c r="BW53" s="32">
        <f t="shared" ref="BW53" si="177">BW43-BW52</f>
        <v>678</v>
      </c>
      <c r="BX53" s="32">
        <f t="shared" si="176"/>
        <v>696</v>
      </c>
      <c r="BY53" s="32">
        <f t="shared" si="176"/>
        <v>969.08019297916269</v>
      </c>
      <c r="BZ53" s="32">
        <f t="shared" ref="BZ53:CA53" si="178">BZ43-BZ52</f>
        <v>993.62105182868231</v>
      </c>
      <c r="CA53" s="1410">
        <f t="shared" si="178"/>
        <v>1031.6170914705312</v>
      </c>
      <c r="CB53" s="19"/>
      <c r="CC53" s="34">
        <f t="shared" ref="CC53:CN53" si="179">CC43-CC52</f>
        <v>255</v>
      </c>
      <c r="CD53" s="34">
        <f t="shared" si="179"/>
        <v>186</v>
      </c>
      <c r="CE53" s="34">
        <f t="shared" si="179"/>
        <v>186</v>
      </c>
      <c r="CF53" s="34">
        <f t="shared" si="179"/>
        <v>171</v>
      </c>
      <c r="CG53" s="34">
        <f t="shared" si="179"/>
        <v>200</v>
      </c>
      <c r="CH53" s="34">
        <f t="shared" si="179"/>
        <v>220</v>
      </c>
      <c r="CI53" s="34">
        <f t="shared" si="179"/>
        <v>202</v>
      </c>
      <c r="CJ53" s="32">
        <f t="shared" si="179"/>
        <v>218</v>
      </c>
      <c r="CK53" s="32">
        <f t="shared" si="179"/>
        <v>396</v>
      </c>
      <c r="CL53" s="32">
        <f t="shared" si="179"/>
        <v>408</v>
      </c>
      <c r="CM53" s="32">
        <f t="shared" si="179"/>
        <v>753</v>
      </c>
      <c r="CN53" s="34">
        <f t="shared" si="179"/>
        <v>770</v>
      </c>
      <c r="CO53" s="32">
        <f t="shared" ref="CO53" si="180">CO43-CO52</f>
        <v>969.52500888117686</v>
      </c>
      <c r="CP53" s="1410">
        <f t="shared" ref="CP53" si="181">CP43-CP52</f>
        <v>1011.7782873003846</v>
      </c>
      <c r="CQ53" s="7"/>
      <c r="CX53" s="7"/>
    </row>
    <row r="54" spans="1:102" ht="14.25" hidden="1" customHeight="1" outlineLevel="1">
      <c r="A54" s="7"/>
      <c r="B54" s="35" t="s">
        <v>231</v>
      </c>
      <c r="C54" s="36"/>
      <c r="D54" s="1013">
        <f t="shared" ref="D54:AK54" si="182">D53/D$8</f>
        <v>0.20571428571428571</v>
      </c>
      <c r="E54" s="1011">
        <f t="shared" si="182"/>
        <v>0.19889502762430938</v>
      </c>
      <c r="F54" s="1011">
        <f t="shared" si="182"/>
        <v>0.14460784313725492</v>
      </c>
      <c r="G54" s="1011">
        <f t="shared" si="182"/>
        <v>0.17048346055979643</v>
      </c>
      <c r="H54" s="1013">
        <f t="shared" si="182"/>
        <v>0.152</v>
      </c>
      <c r="I54" s="1011">
        <f t="shared" si="182"/>
        <v>0.12368421052631579</v>
      </c>
      <c r="J54" s="1011">
        <f t="shared" si="182"/>
        <v>0.11548556430446194</v>
      </c>
      <c r="K54" s="1012">
        <f t="shared" si="182"/>
        <v>0.11508951406649616</v>
      </c>
      <c r="L54" s="1013">
        <f t="shared" si="182"/>
        <v>0.12437810945273632</v>
      </c>
      <c r="M54" s="1011">
        <f t="shared" si="182"/>
        <v>0.11678832116788321</v>
      </c>
      <c r="N54" s="1011">
        <f t="shared" si="182"/>
        <v>0.11389521640091116</v>
      </c>
      <c r="O54" s="1012">
        <f t="shared" si="182"/>
        <v>0.10738255033557047</v>
      </c>
      <c r="P54" s="1011">
        <f t="shared" si="182"/>
        <v>0.10869565217391304</v>
      </c>
      <c r="Q54" s="1011">
        <f t="shared" si="182"/>
        <v>0.12923076923076923</v>
      </c>
      <c r="R54" s="1011">
        <f t="shared" si="182"/>
        <v>0.11019283746556474</v>
      </c>
      <c r="S54" s="1011">
        <f t="shared" si="182"/>
        <v>0.10046728971962617</v>
      </c>
      <c r="T54" s="1013">
        <f t="shared" si="182"/>
        <v>0.10087719298245613</v>
      </c>
      <c r="U54" s="1011">
        <f t="shared" si="182"/>
        <v>9.3203883495145634E-2</v>
      </c>
      <c r="V54" s="1011">
        <f t="shared" si="182"/>
        <v>9.2727272727272728E-2</v>
      </c>
      <c r="W54" s="1012">
        <f t="shared" si="182"/>
        <v>8.9160839160839167E-2</v>
      </c>
      <c r="X54" s="1011">
        <f t="shared" si="182"/>
        <v>9.0909090909090912E-2</v>
      </c>
      <c r="Y54" s="1011">
        <f t="shared" si="182"/>
        <v>9.8214285714285712E-2</v>
      </c>
      <c r="Z54" s="1011">
        <f t="shared" si="182"/>
        <v>9.950248756218906E-2</v>
      </c>
      <c r="AA54" s="1011">
        <f t="shared" si="182"/>
        <v>8.8282504012841087E-2</v>
      </c>
      <c r="AB54" s="1013">
        <f t="shared" si="182"/>
        <v>8.8809946714031973E-2</v>
      </c>
      <c r="AC54" s="1011">
        <f t="shared" si="182"/>
        <v>8.838821490467938E-2</v>
      </c>
      <c r="AD54" s="1011">
        <f t="shared" si="182"/>
        <v>8.0858085808580851E-2</v>
      </c>
      <c r="AE54" s="1012">
        <f t="shared" si="182"/>
        <v>7.9288025889967639E-2</v>
      </c>
      <c r="AF54" s="1011">
        <f t="shared" si="182"/>
        <v>9.2013888888888895E-2</v>
      </c>
      <c r="AG54" s="1011">
        <f t="shared" si="182"/>
        <v>8.8967971530249115E-2</v>
      </c>
      <c r="AH54" s="1011">
        <f t="shared" si="182"/>
        <v>8.5403726708074529E-2</v>
      </c>
      <c r="AI54" s="1011">
        <f t="shared" si="182"/>
        <v>7.5880758807588072E-2</v>
      </c>
      <c r="AJ54" s="1013">
        <f t="shared" si="182"/>
        <v>8.0394922425952045E-2</v>
      </c>
      <c r="AK54" s="1011">
        <f t="shared" si="182"/>
        <v>9.1298145506419404E-2</v>
      </c>
      <c r="AL54" s="1011">
        <f>AL53/AL$8</f>
        <v>8.8258471237194644E-2</v>
      </c>
      <c r="AM54" s="1011">
        <f>AM53/AM$8</f>
        <v>7.1069182389937105E-2</v>
      </c>
      <c r="AN54" s="1013">
        <f>AN53/AN$8</f>
        <v>6.5443425076452594E-2</v>
      </c>
      <c r="AO54" s="1011">
        <f t="shared" ref="AO54:BC54" si="183">AO53/AO$8</f>
        <v>6.1957868649318466E-2</v>
      </c>
      <c r="AP54" s="1011">
        <f>AP53/AP$8</f>
        <v>6.3400576368876083E-2</v>
      </c>
      <c r="AQ54" s="1011">
        <f>AQ53/AQ$8</f>
        <v>5.8152173913043476E-2</v>
      </c>
      <c r="AR54" s="1141">
        <f>AR53/AR$8</f>
        <v>5.1383399209486168E-2</v>
      </c>
      <c r="AS54" s="1142">
        <f t="shared" ref="AS54" si="184">AS53/AS$8</f>
        <v>5.5634001694436601E-2</v>
      </c>
      <c r="AT54" s="1142">
        <f>AT53/AT$8</f>
        <v>5.1424050632911396E-2</v>
      </c>
      <c r="AU54" s="1228">
        <f>AU53/AU$8</f>
        <v>4.7147001934235974E-2</v>
      </c>
      <c r="AV54" s="1227">
        <f>AV53/AV$8</f>
        <v>4.0106305870983329E-2</v>
      </c>
      <c r="AW54" s="1228">
        <f t="shared" ref="AW54" si="185">AW53/AW$8</f>
        <v>4.1288782816229115E-2</v>
      </c>
      <c r="AX54" s="1307">
        <f>AX53/AX$8</f>
        <v>3.9211292852341477E-2</v>
      </c>
      <c r="AY54" s="1365">
        <f>AY53/AY$8</f>
        <v>3.7572254335260118E-2</v>
      </c>
      <c r="AZ54" s="1364">
        <f>AZ53/AZ$8</f>
        <v>4.5053501032476066E-2</v>
      </c>
      <c r="BA54" s="1365">
        <f t="shared" si="183"/>
        <v>4.8498262036035272E-2</v>
      </c>
      <c r="BB54" s="1365">
        <f t="shared" si="183"/>
        <v>4.6625905844688433E-2</v>
      </c>
      <c r="BC54" s="1366">
        <f t="shared" si="183"/>
        <v>4.3531616266863415E-2</v>
      </c>
      <c r="BD54" s="1364">
        <f t="shared" ref="BD54:BG54" si="186">BD53/BD$8</f>
        <v>4.5101188462729515E-2</v>
      </c>
      <c r="BE54" s="1365">
        <f t="shared" si="186"/>
        <v>4.6119062109371028E-2</v>
      </c>
      <c r="BF54" s="1365">
        <f t="shared" si="186"/>
        <v>4.4864558538432547E-2</v>
      </c>
      <c r="BG54" s="1405">
        <f t="shared" si="186"/>
        <v>4.2975492706549871E-2</v>
      </c>
      <c r="BH54" s="1364">
        <f t="shared" ref="BH54:BK54" si="187">BH53/BH$8</f>
        <v>4.3813582750765065E-2</v>
      </c>
      <c r="BI54" s="1365">
        <f t="shared" si="187"/>
        <v>4.4843808683702073E-2</v>
      </c>
      <c r="BJ54" s="1365">
        <f t="shared" si="187"/>
        <v>4.4120954295368539E-2</v>
      </c>
      <c r="BK54" s="1405">
        <f t="shared" si="187"/>
        <v>4.3027424096914249E-2</v>
      </c>
      <c r="BL54" s="232"/>
      <c r="BM54" s="1013">
        <f t="shared" ref="BM54:BV54" si="188">BM53/BM$8</f>
        <v>0.17845340383344349</v>
      </c>
      <c r="BN54" s="1011">
        <f t="shared" si="188"/>
        <v>0.12639161755075312</v>
      </c>
      <c r="BO54" s="1011">
        <f t="shared" si="188"/>
        <v>0.1153619776339023</v>
      </c>
      <c r="BP54" s="1011">
        <f t="shared" si="188"/>
        <v>0.11118598382749326</v>
      </c>
      <c r="BQ54" s="1011">
        <f t="shared" si="188"/>
        <v>9.3645484949832769E-2</v>
      </c>
      <c r="BR54" s="1011">
        <f t="shared" si="188"/>
        <v>9.4178082191780824E-2</v>
      </c>
      <c r="BS54" s="1011">
        <f t="shared" si="188"/>
        <v>8.4179357021996609E-2</v>
      </c>
      <c r="BT54" s="1012">
        <f t="shared" si="188"/>
        <v>8.4920634920634924E-2</v>
      </c>
      <c r="BU54" s="1364">
        <f t="shared" si="188"/>
        <v>8.1049426095104238E-2</v>
      </c>
      <c r="BV54" s="1365">
        <f t="shared" si="188"/>
        <v>6.2133645955451351E-2</v>
      </c>
      <c r="BW54" s="1365">
        <f>BW53/BW$8</f>
        <v>5.1208459214501512E-2</v>
      </c>
      <c r="BX54" s="1365">
        <f>BX53/BX$8</f>
        <v>3.9464731231571785E-2</v>
      </c>
      <c r="BY54" s="1365">
        <f>BY53/BY$8</f>
        <v>4.5856096495343508E-2</v>
      </c>
      <c r="BZ54" s="1365">
        <f>BZ53/BZ$8</f>
        <v>4.4688598792116348E-2</v>
      </c>
      <c r="CA54" s="1405">
        <f>CA53/CA$8</f>
        <v>4.3927781470441581E-2</v>
      </c>
      <c r="CB54" s="19"/>
      <c r="CC54" s="1119">
        <f t="shared" ref="CC54:CH54" si="189">CC53/CC$8</f>
        <v>0.16579973992197658</v>
      </c>
      <c r="CD54" s="1119">
        <f t="shared" si="189"/>
        <v>0.11969111969111969</v>
      </c>
      <c r="CE54" s="1119">
        <f t="shared" si="189"/>
        <v>0.11171171171171171</v>
      </c>
      <c r="CF54" s="1119">
        <f t="shared" si="189"/>
        <v>0.10877862595419847</v>
      </c>
      <c r="CG54" s="1119">
        <f t="shared" si="189"/>
        <v>9.1449474165523542E-2</v>
      </c>
      <c r="CH54" s="1119">
        <f t="shared" si="189"/>
        <v>9.3656875266070666E-2</v>
      </c>
      <c r="CI54" s="1141">
        <f t="shared" ref="CI54:CJ54" si="190">CI53/CI$8</f>
        <v>8.4981068573832558E-2</v>
      </c>
      <c r="CJ54" s="1142">
        <f t="shared" si="190"/>
        <v>8.2171127026008289E-2</v>
      </c>
      <c r="CK54" s="1142">
        <f t="shared" ref="CK54:CP54" si="191">CK53/CK$8</f>
        <v>7.6227141482194422E-2</v>
      </c>
      <c r="CL54" s="1142">
        <f t="shared" si="191"/>
        <v>5.8620689655172413E-2</v>
      </c>
      <c r="CM54" s="1142">
        <f t="shared" si="191"/>
        <v>4.8244490005125575E-2</v>
      </c>
      <c r="CN54" s="1364">
        <f t="shared" si="191"/>
        <v>4.0905227369315768E-2</v>
      </c>
      <c r="CO54" s="1365">
        <f t="shared" si="191"/>
        <v>4.5867963552030114E-2</v>
      </c>
      <c r="CP54" s="1405">
        <f t="shared" si="191"/>
        <v>4.436568263542752E-2</v>
      </c>
      <c r="CQ54" s="7"/>
      <c r="CX54" s="7"/>
    </row>
    <row r="55" spans="1:102" ht="14.25" hidden="1" customHeight="1" outlineLevel="1">
      <c r="A55" s="7"/>
      <c r="B55" s="48"/>
      <c r="C55" s="49"/>
      <c r="D55" s="39"/>
      <c r="E55" s="37"/>
      <c r="F55" s="42"/>
      <c r="G55" s="37"/>
      <c r="H55" s="39"/>
      <c r="I55" s="37"/>
      <c r="J55" s="42"/>
      <c r="K55" s="38"/>
      <c r="L55" s="39"/>
      <c r="M55" s="37"/>
      <c r="N55" s="42"/>
      <c r="O55" s="38"/>
      <c r="P55" s="37"/>
      <c r="Q55" s="37"/>
      <c r="R55" s="42"/>
      <c r="S55" s="37"/>
      <c r="T55" s="39"/>
      <c r="U55" s="37"/>
      <c r="V55" s="42"/>
      <c r="W55" s="38"/>
      <c r="X55" s="37"/>
      <c r="Y55" s="37"/>
      <c r="Z55" s="37"/>
      <c r="AA55" s="37"/>
      <c r="AB55" s="39"/>
      <c r="AC55" s="37"/>
      <c r="AD55" s="37"/>
      <c r="AE55" s="38"/>
      <c r="AF55" s="37"/>
      <c r="AG55" s="37"/>
      <c r="AH55" s="37"/>
      <c r="AI55" s="37"/>
      <c r="AJ55" s="39"/>
      <c r="AK55" s="37"/>
      <c r="AL55" s="37"/>
      <c r="AM55" s="37"/>
      <c r="AN55" s="39"/>
      <c r="AO55" s="37"/>
      <c r="AP55" s="37"/>
      <c r="AQ55" s="37"/>
      <c r="AR55" s="39"/>
      <c r="AS55" s="37"/>
      <c r="AT55" s="37"/>
      <c r="AU55" s="37"/>
      <c r="AV55" s="39"/>
      <c r="AW55" s="37"/>
      <c r="AX55" s="37"/>
      <c r="AY55" s="37"/>
      <c r="AZ55" s="39"/>
      <c r="BA55" s="37"/>
      <c r="BB55" s="37"/>
      <c r="BC55" s="38"/>
      <c r="BD55" s="39"/>
      <c r="BE55" s="37"/>
      <c r="BF55" s="37"/>
      <c r="BG55" s="1411"/>
      <c r="BH55" s="39"/>
      <c r="BI55" s="37"/>
      <c r="BJ55" s="37"/>
      <c r="BK55" s="1411"/>
      <c r="BL55" s="232"/>
      <c r="BM55" s="50"/>
      <c r="BN55" s="40"/>
      <c r="BO55" s="40"/>
      <c r="BP55" s="40"/>
      <c r="BQ55" s="40"/>
      <c r="BR55" s="40"/>
      <c r="BS55" s="40"/>
      <c r="BT55" s="41"/>
      <c r="BU55" s="50"/>
      <c r="BV55" s="40"/>
      <c r="BW55" s="40"/>
      <c r="BX55" s="40"/>
      <c r="BY55" s="40"/>
      <c r="BZ55" s="40"/>
      <c r="CA55" s="1430"/>
      <c r="CB55" s="19"/>
      <c r="CC55" s="50"/>
      <c r="CD55" s="40"/>
      <c r="CE55" s="40"/>
      <c r="CF55" s="40"/>
      <c r="CG55" s="40"/>
      <c r="CH55" s="40"/>
      <c r="CI55" s="50"/>
      <c r="CJ55" s="40"/>
      <c r="CK55" s="40"/>
      <c r="CL55" s="40"/>
      <c r="CM55" s="40"/>
      <c r="CN55" s="50"/>
      <c r="CO55" s="40"/>
      <c r="CP55" s="1430"/>
      <c r="CQ55" s="7"/>
      <c r="CX55" s="7"/>
    </row>
    <row r="56" spans="1:102" s="300" customFormat="1" ht="14.25" customHeight="1" collapsed="1">
      <c r="A56" s="10"/>
      <c r="B56" s="21" t="s">
        <v>361</v>
      </c>
      <c r="C56" s="22"/>
      <c r="D56" s="34">
        <f>SUM(D57:D62)</f>
        <v>16</v>
      </c>
      <c r="E56" s="32">
        <f t="shared" ref="E56:AL56" si="192">SUM(E57:E62)</f>
        <v>21</v>
      </c>
      <c r="F56" s="32">
        <f t="shared" si="192"/>
        <v>14</v>
      </c>
      <c r="G56" s="32">
        <f t="shared" si="192"/>
        <v>30</v>
      </c>
      <c r="H56" s="34">
        <f t="shared" si="192"/>
        <v>15</v>
      </c>
      <c r="I56" s="32">
        <f t="shared" si="192"/>
        <v>10</v>
      </c>
      <c r="J56" s="32">
        <f t="shared" si="192"/>
        <v>29</v>
      </c>
      <c r="K56" s="33">
        <f t="shared" si="192"/>
        <v>15</v>
      </c>
      <c r="L56" s="34">
        <f t="shared" si="192"/>
        <v>9</v>
      </c>
      <c r="M56" s="32">
        <f t="shared" si="192"/>
        <v>8</v>
      </c>
      <c r="N56" s="32">
        <f t="shared" si="192"/>
        <v>9</v>
      </c>
      <c r="O56" s="33">
        <f t="shared" si="192"/>
        <v>8</v>
      </c>
      <c r="P56" s="32">
        <f t="shared" si="192"/>
        <v>11</v>
      </c>
      <c r="Q56" s="32">
        <f t="shared" si="192"/>
        <v>8</v>
      </c>
      <c r="R56" s="32">
        <f t="shared" si="192"/>
        <v>18</v>
      </c>
      <c r="S56" s="32">
        <f t="shared" si="192"/>
        <v>65</v>
      </c>
      <c r="T56" s="34">
        <f t="shared" si="192"/>
        <v>6</v>
      </c>
      <c r="U56" s="32">
        <f t="shared" si="192"/>
        <v>7</v>
      </c>
      <c r="V56" s="32">
        <f t="shared" si="192"/>
        <v>6</v>
      </c>
      <c r="W56" s="33">
        <f t="shared" si="192"/>
        <v>5</v>
      </c>
      <c r="X56" s="32">
        <f t="shared" si="192"/>
        <v>6</v>
      </c>
      <c r="Y56" s="32">
        <f t="shared" si="192"/>
        <v>6</v>
      </c>
      <c r="Z56" s="32">
        <f t="shared" si="192"/>
        <v>7</v>
      </c>
      <c r="AA56" s="32">
        <f t="shared" si="192"/>
        <v>7</v>
      </c>
      <c r="AB56" s="34">
        <f t="shared" si="192"/>
        <v>6</v>
      </c>
      <c r="AC56" s="32">
        <f t="shared" si="192"/>
        <v>6</v>
      </c>
      <c r="AD56" s="32">
        <f t="shared" si="192"/>
        <v>8</v>
      </c>
      <c r="AE56" s="33">
        <f t="shared" si="192"/>
        <v>6</v>
      </c>
      <c r="AF56" s="32">
        <f t="shared" si="192"/>
        <v>6</v>
      </c>
      <c r="AG56" s="32">
        <f t="shared" si="192"/>
        <v>7</v>
      </c>
      <c r="AH56" s="32">
        <f t="shared" si="192"/>
        <v>6</v>
      </c>
      <c r="AI56" s="32">
        <f t="shared" si="192"/>
        <v>7</v>
      </c>
      <c r="AJ56" s="34">
        <f t="shared" si="192"/>
        <v>19</v>
      </c>
      <c r="AK56" s="32">
        <f t="shared" si="192"/>
        <v>16</v>
      </c>
      <c r="AL56" s="32">
        <f t="shared" si="192"/>
        <v>178</v>
      </c>
      <c r="AM56" s="32">
        <f>SUM(AM57:AM62)</f>
        <v>124</v>
      </c>
      <c r="AN56" s="34">
        <f>SUM(AN57:AN62)</f>
        <v>73</v>
      </c>
      <c r="AO56" s="32">
        <f t="shared" ref="AO56:AP56" si="193">SUM(AO57:AO62)</f>
        <v>69</v>
      </c>
      <c r="AP56" s="32">
        <f t="shared" si="193"/>
        <v>166</v>
      </c>
      <c r="AQ56" s="32">
        <f>SUM(AQ57:AQ62)</f>
        <v>78</v>
      </c>
      <c r="AR56" s="34">
        <f>SUM(AR57:AR62)</f>
        <v>85</v>
      </c>
      <c r="AS56" s="32">
        <f t="shared" ref="AS56:AT56" si="194">SUM(AS57:AS62)</f>
        <v>1022</v>
      </c>
      <c r="AT56" s="32">
        <f t="shared" si="194"/>
        <v>1002</v>
      </c>
      <c r="AU56" s="32">
        <f>SUM(AU57:AU62)</f>
        <v>760</v>
      </c>
      <c r="AV56" s="34">
        <f>SUM(AV57:AV62)</f>
        <v>486</v>
      </c>
      <c r="AW56" s="32">
        <f t="shared" ref="AW56:AX56" si="195">SUM(AW57:AW62)</f>
        <v>469</v>
      </c>
      <c r="AX56" s="32">
        <f t="shared" si="195"/>
        <v>474</v>
      </c>
      <c r="AY56" s="32">
        <f>SUM(AY57:AY62)</f>
        <v>496</v>
      </c>
      <c r="AZ56" s="34">
        <f>SUM(AZ57:AZ62)</f>
        <v>469</v>
      </c>
      <c r="BA56" s="32">
        <f t="shared" ref="BA56:BC56" si="196">SUM(BA57:BA62)</f>
        <v>0</v>
      </c>
      <c r="BB56" s="32">
        <f t="shared" si="196"/>
        <v>0</v>
      </c>
      <c r="BC56" s="33">
        <f t="shared" si="196"/>
        <v>0</v>
      </c>
      <c r="BD56" s="34">
        <f t="shared" ref="BD56:BG56" si="197">SUM(BD57:BD62)</f>
        <v>0</v>
      </c>
      <c r="BE56" s="32">
        <f t="shared" si="197"/>
        <v>0</v>
      </c>
      <c r="BF56" s="32">
        <f t="shared" si="197"/>
        <v>0</v>
      </c>
      <c r="BG56" s="1410">
        <f t="shared" si="197"/>
        <v>0</v>
      </c>
      <c r="BH56" s="34">
        <f t="shared" ref="BH56:BK56" si="198">SUM(BH57:BH62)</f>
        <v>0</v>
      </c>
      <c r="BI56" s="32">
        <f t="shared" si="198"/>
        <v>0</v>
      </c>
      <c r="BJ56" s="32">
        <f t="shared" si="198"/>
        <v>0</v>
      </c>
      <c r="BK56" s="1410">
        <f t="shared" si="198"/>
        <v>0</v>
      </c>
      <c r="BL56" s="22"/>
      <c r="BM56" s="34">
        <f t="shared" ref="BM56:BU56" si="199">SUM(BM57:BM62)</f>
        <v>81</v>
      </c>
      <c r="BN56" s="32">
        <f t="shared" si="199"/>
        <v>69</v>
      </c>
      <c r="BO56" s="32">
        <f t="shared" si="199"/>
        <v>34</v>
      </c>
      <c r="BP56" s="32">
        <f t="shared" si="199"/>
        <v>102</v>
      </c>
      <c r="BQ56" s="32">
        <f t="shared" si="199"/>
        <v>24</v>
      </c>
      <c r="BR56" s="32">
        <f t="shared" si="199"/>
        <v>26</v>
      </c>
      <c r="BS56" s="32">
        <f t="shared" si="199"/>
        <v>26</v>
      </c>
      <c r="BT56" s="33">
        <f t="shared" si="199"/>
        <v>26</v>
      </c>
      <c r="BU56" s="34">
        <f t="shared" si="199"/>
        <v>337</v>
      </c>
      <c r="BV56" s="32">
        <f t="shared" ref="BV56:CA56" si="200">SUM(BV57:BV62)</f>
        <v>386</v>
      </c>
      <c r="BW56" s="32">
        <f t="shared" si="200"/>
        <v>2869</v>
      </c>
      <c r="BX56" s="32">
        <f t="shared" si="200"/>
        <v>1925</v>
      </c>
      <c r="BY56" s="32">
        <f t="shared" si="200"/>
        <v>469</v>
      </c>
      <c r="BZ56" s="32">
        <f t="shared" si="200"/>
        <v>0</v>
      </c>
      <c r="CA56" s="1410">
        <f t="shared" si="200"/>
        <v>0</v>
      </c>
      <c r="CB56" s="166"/>
      <c r="CC56" s="34">
        <f t="shared" ref="CC56:CJ56" si="201">SUM(CC57:CC62)</f>
        <v>80</v>
      </c>
      <c r="CD56" s="32">
        <f t="shared" si="201"/>
        <v>63</v>
      </c>
      <c r="CE56" s="32">
        <f t="shared" si="201"/>
        <v>36</v>
      </c>
      <c r="CF56" s="32">
        <f t="shared" si="201"/>
        <v>97</v>
      </c>
      <c r="CG56" s="32">
        <f t="shared" si="201"/>
        <v>24</v>
      </c>
      <c r="CH56" s="32">
        <f t="shared" si="201"/>
        <v>26</v>
      </c>
      <c r="CI56" s="34">
        <f t="shared" si="201"/>
        <v>26</v>
      </c>
      <c r="CJ56" s="32">
        <f t="shared" si="201"/>
        <v>39</v>
      </c>
      <c r="CK56" s="32">
        <f t="shared" ref="CK56:CP56" si="202">SUM(CK57:CK62)</f>
        <v>391</v>
      </c>
      <c r="CL56" s="32">
        <f t="shared" si="202"/>
        <v>398</v>
      </c>
      <c r="CM56" s="32">
        <f t="shared" si="202"/>
        <v>3270</v>
      </c>
      <c r="CN56" s="34">
        <f t="shared" si="202"/>
        <v>1908</v>
      </c>
      <c r="CO56" s="32">
        <f t="shared" si="202"/>
        <v>0</v>
      </c>
      <c r="CP56" s="1410">
        <f t="shared" si="202"/>
        <v>0</v>
      </c>
      <c r="CQ56" s="10"/>
      <c r="CR56"/>
      <c r="CS56"/>
      <c r="CT56"/>
      <c r="CU56"/>
      <c r="CV56"/>
      <c r="CW56"/>
      <c r="CX56" s="10"/>
    </row>
    <row r="57" spans="1:102" s="300" customFormat="1" ht="14.25" hidden="1" customHeight="1" outlineLevel="1">
      <c r="A57" s="10"/>
      <c r="B57" s="27" t="s">
        <v>156</v>
      </c>
      <c r="C57" s="28"/>
      <c r="D57" s="29">
        <v>15</v>
      </c>
      <c r="E57" s="30">
        <v>21</v>
      </c>
      <c r="F57" s="30">
        <v>12</v>
      </c>
      <c r="G57" s="30">
        <v>8</v>
      </c>
      <c r="H57" s="29">
        <v>7</v>
      </c>
      <c r="I57" s="30">
        <v>7</v>
      </c>
      <c r="J57" s="30">
        <v>7</v>
      </c>
      <c r="K57" s="31">
        <v>7</v>
      </c>
      <c r="L57" s="29">
        <v>7</v>
      </c>
      <c r="M57" s="30">
        <v>7</v>
      </c>
      <c r="N57" s="30">
        <v>7</v>
      </c>
      <c r="O57" s="31">
        <v>7</v>
      </c>
      <c r="P57" s="30">
        <v>6</v>
      </c>
      <c r="Q57" s="30">
        <v>5</v>
      </c>
      <c r="R57" s="30">
        <v>5</v>
      </c>
      <c r="S57" s="30">
        <v>5</v>
      </c>
      <c r="T57" s="29">
        <v>5</v>
      </c>
      <c r="U57" s="30">
        <v>6</v>
      </c>
      <c r="V57" s="30">
        <v>5</v>
      </c>
      <c r="W57" s="31">
        <v>5</v>
      </c>
      <c r="X57" s="30">
        <v>6</v>
      </c>
      <c r="Y57" s="30">
        <v>5</v>
      </c>
      <c r="Z57" s="30">
        <v>5</v>
      </c>
      <c r="AA57" s="30">
        <v>6</v>
      </c>
      <c r="AB57" s="29">
        <v>5</v>
      </c>
      <c r="AC57" s="30">
        <v>5</v>
      </c>
      <c r="AD57" s="30">
        <v>6</v>
      </c>
      <c r="AE57" s="31">
        <v>5</v>
      </c>
      <c r="AF57" s="30">
        <v>5</v>
      </c>
      <c r="AG57" s="30">
        <v>6</v>
      </c>
      <c r="AH57" s="30">
        <v>6</v>
      </c>
      <c r="AI57" s="30">
        <v>7</v>
      </c>
      <c r="AJ57" s="29">
        <v>7</v>
      </c>
      <c r="AK57" s="30">
        <v>8</v>
      </c>
      <c r="AL57" s="30">
        <v>91</v>
      </c>
      <c r="AM57" s="30">
        <v>91</v>
      </c>
      <c r="AN57" s="29">
        <v>59</v>
      </c>
      <c r="AO57" s="30">
        <v>59</v>
      </c>
      <c r="AP57" s="30">
        <v>68</v>
      </c>
      <c r="AQ57" s="30">
        <v>63</v>
      </c>
      <c r="AR57" s="29">
        <v>54</v>
      </c>
      <c r="AS57" s="30">
        <v>735</v>
      </c>
      <c r="AT57" s="30">
        <v>728</v>
      </c>
      <c r="AU57" s="30">
        <v>356</v>
      </c>
      <c r="AV57" s="29">
        <v>440</v>
      </c>
      <c r="AW57" s="30">
        <v>442</v>
      </c>
      <c r="AX57" s="30">
        <v>441</v>
      </c>
      <c r="AY57" s="30">
        <v>441</v>
      </c>
      <c r="AZ57" s="29">
        <v>339</v>
      </c>
      <c r="BA57" s="32">
        <v>0</v>
      </c>
      <c r="BB57" s="32">
        <f t="shared" ref="BB57:BC57" si="203">BA57</f>
        <v>0</v>
      </c>
      <c r="BC57" s="33">
        <f t="shared" si="203"/>
        <v>0</v>
      </c>
      <c r="BD57" s="34">
        <f t="shared" ref="BD57" si="204">BC57</f>
        <v>0</v>
      </c>
      <c r="BE57" s="32">
        <f t="shared" ref="BE57" si="205">BD57</f>
        <v>0</v>
      </c>
      <c r="BF57" s="32">
        <f t="shared" ref="BF57" si="206">BE57</f>
        <v>0</v>
      </c>
      <c r="BG57" s="1410">
        <f t="shared" ref="BG57" si="207">BF57</f>
        <v>0</v>
      </c>
      <c r="BH57" s="34">
        <f t="shared" ref="BH57" si="208">BG57</f>
        <v>0</v>
      </c>
      <c r="BI57" s="32">
        <f t="shared" ref="BI57" si="209">BH57</f>
        <v>0</v>
      </c>
      <c r="BJ57" s="32">
        <f t="shared" ref="BJ57" si="210">BI57</f>
        <v>0</v>
      </c>
      <c r="BK57" s="1410">
        <f t="shared" ref="BK57" si="211">BJ57</f>
        <v>0</v>
      </c>
      <c r="BL57" s="22"/>
      <c r="BM57" s="34">
        <f t="shared" ref="BM57:BM62" si="212">SUM(D57:G57)</f>
        <v>56</v>
      </c>
      <c r="BN57" s="32">
        <f t="shared" ref="BN57:BN62" si="213">SUM(H57:K57)</f>
        <v>28</v>
      </c>
      <c r="BO57" s="32">
        <f t="shared" ref="BO57:BO62" si="214">SUM(L57:O57)</f>
        <v>28</v>
      </c>
      <c r="BP57" s="32">
        <f t="shared" ref="BP57:BP62" si="215">SUM(P57:S57)</f>
        <v>21</v>
      </c>
      <c r="BQ57" s="32">
        <f t="shared" ref="BQ57:BQ62" si="216">SUM(T57:W57)</f>
        <v>21</v>
      </c>
      <c r="BR57" s="32">
        <f t="shared" ref="BR57:BR63" si="217">SUM(X57:AA57)</f>
        <v>22</v>
      </c>
      <c r="BS57" s="32">
        <f t="shared" ref="BS57:BS62" si="218">SUM(AB57:AE57)</f>
        <v>21</v>
      </c>
      <c r="BT57" s="33">
        <f t="shared" ref="BT57:BT62" si="219">SUM(AF57:AI57)</f>
        <v>24</v>
      </c>
      <c r="BU57" s="34">
        <f t="shared" ref="BU57:BU62" si="220">SUM(AJ57:AM57)</f>
        <v>197</v>
      </c>
      <c r="BV57" s="32">
        <f t="shared" ref="BV57:BV63" si="221">SUM(AN57:AQ57)</f>
        <v>249</v>
      </c>
      <c r="BW57" s="32">
        <f t="shared" ref="BW57:BW63" si="222">SUM(AR57:AU57)</f>
        <v>1873</v>
      </c>
      <c r="BX57" s="32">
        <f t="shared" ref="BX57:BX63" si="223">SUM(AV57:AY57)</f>
        <v>1764</v>
      </c>
      <c r="BY57" s="32">
        <f t="shared" ref="BY57:BY63" si="224">SUM(AZ57:BC57)</f>
        <v>339</v>
      </c>
      <c r="BZ57" s="32">
        <f t="shared" ref="BZ57:BZ63" si="225">SUM(BD57:BG57)</f>
        <v>0</v>
      </c>
      <c r="CA57" s="1410">
        <f t="shared" ref="CA57:CA63" si="226">SUM(BH57:BK57)</f>
        <v>0</v>
      </c>
      <c r="CB57" s="166"/>
      <c r="CC57" s="34">
        <f t="shared" ref="CC57:CC63" si="227">SUM(E57:H57)</f>
        <v>48</v>
      </c>
      <c r="CD57" s="32">
        <f t="shared" ref="CD57:CD63" si="228">SUM(I57:L57)</f>
        <v>28</v>
      </c>
      <c r="CE57" s="32">
        <f t="shared" ref="CE57:CE63" si="229">SUM(M57:P57)</f>
        <v>27</v>
      </c>
      <c r="CF57" s="32">
        <f t="shared" ref="CF57:CF63" si="230">SUM(Q57:T57)</f>
        <v>20</v>
      </c>
      <c r="CG57" s="32">
        <f t="shared" ref="CG57:CG63" si="231">SUM(U57:X57)</f>
        <v>22</v>
      </c>
      <c r="CH57" s="32">
        <f t="shared" ref="CH57:CH63" si="232">SUM(Y57:AB57)</f>
        <v>21</v>
      </c>
      <c r="CI57" s="34">
        <f t="shared" ref="CI57:CI63" si="233">SUM(AC57:AF57)</f>
        <v>21</v>
      </c>
      <c r="CJ57" s="32">
        <f t="shared" ref="CJ57:CJ63" si="234">SUM(AG57:AJ57)</f>
        <v>26</v>
      </c>
      <c r="CK57" s="32">
        <f t="shared" ref="CK57:CK63" si="235">SUM(AK57:AN57)</f>
        <v>249</v>
      </c>
      <c r="CL57" s="32">
        <f t="shared" ref="CL57:CL63" si="236">SUM(AO57:AR57)</f>
        <v>244</v>
      </c>
      <c r="CM57" s="32">
        <f t="shared" ref="CM57:CM63" si="237">SUM(AS57:AV57)</f>
        <v>2259</v>
      </c>
      <c r="CN57" s="34">
        <f t="shared" ref="CN57:CN63" si="238">SUM(AW57:AZ57)</f>
        <v>1663</v>
      </c>
      <c r="CO57" s="32">
        <f t="shared" ref="CO57:CO63" si="239">SUM(BA57:BD57)</f>
        <v>0</v>
      </c>
      <c r="CP57" s="1410">
        <f t="shared" ref="CP57:CP63" si="240">SUM(BE57:BH57)</f>
        <v>0</v>
      </c>
      <c r="CQ57" s="10"/>
      <c r="CR57"/>
      <c r="CS57"/>
      <c r="CT57"/>
      <c r="CU57"/>
      <c r="CV57"/>
      <c r="CW57"/>
      <c r="CX57" s="10"/>
    </row>
    <row r="58" spans="1:102" s="300" customFormat="1" ht="14.25" hidden="1" customHeight="1" outlineLevel="1">
      <c r="A58" s="10"/>
      <c r="B58" s="27" t="s">
        <v>157</v>
      </c>
      <c r="C58" s="28"/>
      <c r="D58" s="29">
        <v>0</v>
      </c>
      <c r="E58" s="30">
        <v>0</v>
      </c>
      <c r="F58" s="30">
        <v>0</v>
      </c>
      <c r="G58" s="30">
        <v>0</v>
      </c>
      <c r="H58" s="29">
        <v>0</v>
      </c>
      <c r="I58" s="30">
        <v>0</v>
      </c>
      <c r="J58" s="30">
        <v>1</v>
      </c>
      <c r="K58" s="31">
        <v>0</v>
      </c>
      <c r="L58" s="29">
        <v>0</v>
      </c>
      <c r="M58" s="30">
        <v>0</v>
      </c>
      <c r="N58" s="30">
        <v>0</v>
      </c>
      <c r="O58" s="31">
        <v>0</v>
      </c>
      <c r="P58" s="30">
        <v>0</v>
      </c>
      <c r="Q58" s="30">
        <v>0</v>
      </c>
      <c r="R58" s="30">
        <v>0</v>
      </c>
      <c r="S58" s="30">
        <v>58</v>
      </c>
      <c r="T58" s="29">
        <v>0</v>
      </c>
      <c r="U58" s="30">
        <v>0</v>
      </c>
      <c r="V58" s="30">
        <v>0</v>
      </c>
      <c r="W58" s="31">
        <v>0</v>
      </c>
      <c r="X58" s="30">
        <v>0</v>
      </c>
      <c r="Y58" s="30">
        <v>0</v>
      </c>
      <c r="Z58" s="30">
        <v>0</v>
      </c>
      <c r="AA58" s="30">
        <v>0</v>
      </c>
      <c r="AB58" s="29">
        <v>0</v>
      </c>
      <c r="AC58" s="30">
        <v>0</v>
      </c>
      <c r="AD58" s="30">
        <v>0</v>
      </c>
      <c r="AE58" s="31">
        <v>0</v>
      </c>
      <c r="AF58" s="30">
        <v>0</v>
      </c>
      <c r="AG58" s="30">
        <v>0</v>
      </c>
      <c r="AH58" s="30">
        <v>0</v>
      </c>
      <c r="AI58" s="30">
        <v>0</v>
      </c>
      <c r="AJ58" s="29">
        <v>0</v>
      </c>
      <c r="AK58" s="30">
        <v>0</v>
      </c>
      <c r="AL58" s="30">
        <v>0</v>
      </c>
      <c r="AM58" s="30">
        <v>0</v>
      </c>
      <c r="AN58" s="29">
        <v>0</v>
      </c>
      <c r="AO58" s="30">
        <v>0</v>
      </c>
      <c r="AP58" s="30">
        <v>0</v>
      </c>
      <c r="AQ58" s="30">
        <v>0</v>
      </c>
      <c r="AR58" s="29">
        <v>0</v>
      </c>
      <c r="AS58" s="30">
        <v>0</v>
      </c>
      <c r="AT58" s="30">
        <v>0</v>
      </c>
      <c r="AU58" s="30">
        <v>0</v>
      </c>
      <c r="AV58" s="29">
        <v>0</v>
      </c>
      <c r="AW58" s="30">
        <v>0</v>
      </c>
      <c r="AX58" s="30">
        <v>0</v>
      </c>
      <c r="AY58" s="30">
        <v>0</v>
      </c>
      <c r="AZ58" s="29">
        <v>0</v>
      </c>
      <c r="BA58" s="30">
        <v>0</v>
      </c>
      <c r="BB58" s="30">
        <v>0</v>
      </c>
      <c r="BC58" s="31">
        <v>0</v>
      </c>
      <c r="BD58" s="29">
        <v>0</v>
      </c>
      <c r="BE58" s="30">
        <v>0</v>
      </c>
      <c r="BF58" s="30">
        <v>0</v>
      </c>
      <c r="BG58" s="1415">
        <v>0</v>
      </c>
      <c r="BH58" s="29">
        <v>0</v>
      </c>
      <c r="BI58" s="30">
        <v>0</v>
      </c>
      <c r="BJ58" s="30">
        <v>0</v>
      </c>
      <c r="BK58" s="1415">
        <v>0</v>
      </c>
      <c r="BL58" s="22"/>
      <c r="BM58" s="34">
        <f>SUM(D58:G58)</f>
        <v>0</v>
      </c>
      <c r="BN58" s="32">
        <f>SUM(H58:K58)</f>
        <v>1</v>
      </c>
      <c r="BO58" s="32">
        <f>SUM(L58:O58)</f>
        <v>0</v>
      </c>
      <c r="BP58" s="32">
        <f>SUM(P58:S58)</f>
        <v>58</v>
      </c>
      <c r="BQ58" s="32">
        <f>SUM(T58:W58)</f>
        <v>0</v>
      </c>
      <c r="BR58" s="32">
        <f t="shared" si="217"/>
        <v>0</v>
      </c>
      <c r="BS58" s="32">
        <f t="shared" si="218"/>
        <v>0</v>
      </c>
      <c r="BT58" s="33">
        <f t="shared" si="219"/>
        <v>0</v>
      </c>
      <c r="BU58" s="34">
        <f t="shared" si="220"/>
        <v>0</v>
      </c>
      <c r="BV58" s="32">
        <f t="shared" si="221"/>
        <v>0</v>
      </c>
      <c r="BW58" s="32">
        <f t="shared" si="222"/>
        <v>0</v>
      </c>
      <c r="BX58" s="32">
        <f t="shared" si="223"/>
        <v>0</v>
      </c>
      <c r="BY58" s="32">
        <f t="shared" si="224"/>
        <v>0</v>
      </c>
      <c r="BZ58" s="32">
        <f t="shared" si="225"/>
        <v>0</v>
      </c>
      <c r="CA58" s="1410">
        <f t="shared" si="226"/>
        <v>0</v>
      </c>
      <c r="CB58" s="166"/>
      <c r="CC58" s="34">
        <f t="shared" si="227"/>
        <v>0</v>
      </c>
      <c r="CD58" s="32">
        <f t="shared" si="228"/>
        <v>1</v>
      </c>
      <c r="CE58" s="32">
        <f t="shared" si="229"/>
        <v>0</v>
      </c>
      <c r="CF58" s="32">
        <f t="shared" si="230"/>
        <v>58</v>
      </c>
      <c r="CG58" s="32">
        <f t="shared" si="231"/>
        <v>0</v>
      </c>
      <c r="CH58" s="32">
        <f t="shared" si="232"/>
        <v>0</v>
      </c>
      <c r="CI58" s="34">
        <f t="shared" si="233"/>
        <v>0</v>
      </c>
      <c r="CJ58" s="32">
        <f t="shared" si="234"/>
        <v>0</v>
      </c>
      <c r="CK58" s="32">
        <f t="shared" si="235"/>
        <v>0</v>
      </c>
      <c r="CL58" s="32">
        <f t="shared" si="236"/>
        <v>0</v>
      </c>
      <c r="CM58" s="32">
        <f t="shared" si="237"/>
        <v>0</v>
      </c>
      <c r="CN58" s="34">
        <f t="shared" si="238"/>
        <v>0</v>
      </c>
      <c r="CO58" s="32">
        <f t="shared" si="239"/>
        <v>0</v>
      </c>
      <c r="CP58" s="1410">
        <f t="shared" si="240"/>
        <v>0</v>
      </c>
      <c r="CQ58" s="10"/>
      <c r="CR58"/>
      <c r="CS58"/>
      <c r="CT58"/>
      <c r="CU58"/>
      <c r="CV58"/>
      <c r="CW58"/>
      <c r="CX58" s="10"/>
    </row>
    <row r="59" spans="1:102" s="300" customFormat="1" ht="14.25" hidden="1" customHeight="1" outlineLevel="1">
      <c r="A59" s="10"/>
      <c r="B59" s="27" t="s">
        <v>141</v>
      </c>
      <c r="C59" s="28"/>
      <c r="D59" s="29">
        <v>1</v>
      </c>
      <c r="E59" s="30">
        <v>0</v>
      </c>
      <c r="F59" s="30">
        <v>2</v>
      </c>
      <c r="G59" s="30">
        <v>1</v>
      </c>
      <c r="H59" s="29">
        <v>8</v>
      </c>
      <c r="I59" s="30">
        <v>3</v>
      </c>
      <c r="J59" s="30">
        <v>3</v>
      </c>
      <c r="K59" s="31">
        <v>8</v>
      </c>
      <c r="L59" s="29">
        <v>2</v>
      </c>
      <c r="M59" s="30">
        <v>1</v>
      </c>
      <c r="N59" s="30">
        <v>2</v>
      </c>
      <c r="O59" s="31">
        <v>1</v>
      </c>
      <c r="P59" s="30">
        <v>5</v>
      </c>
      <c r="Q59" s="30">
        <v>3</v>
      </c>
      <c r="R59" s="30">
        <v>13</v>
      </c>
      <c r="S59" s="30">
        <v>2</v>
      </c>
      <c r="T59" s="29">
        <v>1</v>
      </c>
      <c r="U59" s="30">
        <v>1</v>
      </c>
      <c r="V59" s="30">
        <v>1</v>
      </c>
      <c r="W59" s="31">
        <v>0</v>
      </c>
      <c r="X59" s="30">
        <v>0</v>
      </c>
      <c r="Y59" s="30">
        <v>1</v>
      </c>
      <c r="Z59" s="30">
        <v>2</v>
      </c>
      <c r="AA59" s="30">
        <v>1</v>
      </c>
      <c r="AB59" s="29">
        <v>1</v>
      </c>
      <c r="AC59" s="30">
        <v>1</v>
      </c>
      <c r="AD59" s="30">
        <v>2</v>
      </c>
      <c r="AE59" s="31">
        <v>1</v>
      </c>
      <c r="AF59" s="30">
        <v>1</v>
      </c>
      <c r="AG59" s="30">
        <v>1</v>
      </c>
      <c r="AH59" s="30">
        <v>0</v>
      </c>
      <c r="AI59" s="30">
        <v>0</v>
      </c>
      <c r="AJ59" s="29">
        <v>12</v>
      </c>
      <c r="AK59" s="30">
        <v>8</v>
      </c>
      <c r="AL59" s="30">
        <v>87</v>
      </c>
      <c r="AM59" s="30">
        <v>33</v>
      </c>
      <c r="AN59" s="29">
        <v>14</v>
      </c>
      <c r="AO59" s="30">
        <v>10</v>
      </c>
      <c r="AP59" s="30">
        <v>98</v>
      </c>
      <c r="AQ59" s="30">
        <v>15</v>
      </c>
      <c r="AR59" s="29">
        <v>31</v>
      </c>
      <c r="AS59" s="30">
        <v>287</v>
      </c>
      <c r="AT59" s="30">
        <v>274</v>
      </c>
      <c r="AU59" s="30">
        <v>404</v>
      </c>
      <c r="AV59" s="29">
        <v>46</v>
      </c>
      <c r="AW59" s="30">
        <v>27</v>
      </c>
      <c r="AX59" s="30">
        <v>33</v>
      </c>
      <c r="AY59" s="30">
        <v>55</v>
      </c>
      <c r="AZ59" s="29">
        <v>130</v>
      </c>
      <c r="BA59" s="30">
        <v>0</v>
      </c>
      <c r="BB59" s="30">
        <v>0</v>
      </c>
      <c r="BC59" s="31">
        <v>0</v>
      </c>
      <c r="BD59" s="29">
        <v>0</v>
      </c>
      <c r="BE59" s="30">
        <v>0</v>
      </c>
      <c r="BF59" s="30">
        <v>0</v>
      </c>
      <c r="BG59" s="1415">
        <v>0</v>
      </c>
      <c r="BH59" s="29">
        <v>0</v>
      </c>
      <c r="BI59" s="30">
        <v>0</v>
      </c>
      <c r="BJ59" s="30">
        <v>0</v>
      </c>
      <c r="BK59" s="1415">
        <v>0</v>
      </c>
      <c r="BL59" s="22"/>
      <c r="BM59" s="34">
        <f t="shared" si="212"/>
        <v>4</v>
      </c>
      <c r="BN59" s="32">
        <f t="shared" si="213"/>
        <v>22</v>
      </c>
      <c r="BO59" s="32">
        <f t="shared" si="214"/>
        <v>6</v>
      </c>
      <c r="BP59" s="32">
        <f t="shared" si="215"/>
        <v>23</v>
      </c>
      <c r="BQ59" s="32">
        <f t="shared" si="216"/>
        <v>3</v>
      </c>
      <c r="BR59" s="32">
        <f t="shared" si="217"/>
        <v>4</v>
      </c>
      <c r="BS59" s="32">
        <f t="shared" si="218"/>
        <v>5</v>
      </c>
      <c r="BT59" s="33">
        <f t="shared" si="219"/>
        <v>2</v>
      </c>
      <c r="BU59" s="34">
        <f t="shared" si="220"/>
        <v>140</v>
      </c>
      <c r="BV59" s="32">
        <f t="shared" si="221"/>
        <v>137</v>
      </c>
      <c r="BW59" s="32">
        <f t="shared" si="222"/>
        <v>996</v>
      </c>
      <c r="BX59" s="32">
        <f t="shared" si="223"/>
        <v>161</v>
      </c>
      <c r="BY59" s="32">
        <f t="shared" si="224"/>
        <v>130</v>
      </c>
      <c r="BZ59" s="32">
        <f t="shared" si="225"/>
        <v>0</v>
      </c>
      <c r="CA59" s="1410">
        <f t="shared" si="226"/>
        <v>0</v>
      </c>
      <c r="CB59" s="166"/>
      <c r="CC59" s="34">
        <f t="shared" si="227"/>
        <v>11</v>
      </c>
      <c r="CD59" s="32">
        <f t="shared" si="228"/>
        <v>16</v>
      </c>
      <c r="CE59" s="32">
        <f t="shared" si="229"/>
        <v>9</v>
      </c>
      <c r="CF59" s="32">
        <f t="shared" si="230"/>
        <v>19</v>
      </c>
      <c r="CG59" s="32">
        <f t="shared" si="231"/>
        <v>2</v>
      </c>
      <c r="CH59" s="32">
        <f t="shared" si="232"/>
        <v>5</v>
      </c>
      <c r="CI59" s="34">
        <f t="shared" si="233"/>
        <v>5</v>
      </c>
      <c r="CJ59" s="32">
        <f t="shared" si="234"/>
        <v>13</v>
      </c>
      <c r="CK59" s="32">
        <f t="shared" si="235"/>
        <v>142</v>
      </c>
      <c r="CL59" s="32">
        <f t="shared" si="236"/>
        <v>154</v>
      </c>
      <c r="CM59" s="32">
        <f t="shared" si="237"/>
        <v>1011</v>
      </c>
      <c r="CN59" s="34">
        <f t="shared" si="238"/>
        <v>245</v>
      </c>
      <c r="CO59" s="32">
        <f t="shared" si="239"/>
        <v>0</v>
      </c>
      <c r="CP59" s="1410">
        <f t="shared" si="240"/>
        <v>0</v>
      </c>
      <c r="CQ59" s="10"/>
      <c r="CR59"/>
      <c r="CS59"/>
      <c r="CT59"/>
      <c r="CU59"/>
      <c r="CV59"/>
      <c r="CW59"/>
      <c r="CX59" s="10"/>
    </row>
    <row r="60" spans="1:102" s="300" customFormat="1" ht="14.25" hidden="1" customHeight="1" outlineLevel="1">
      <c r="A60" s="10"/>
      <c r="B60" s="27" t="s">
        <v>146</v>
      </c>
      <c r="C60" s="28"/>
      <c r="D60" s="29">
        <v>0</v>
      </c>
      <c r="E60" s="30">
        <v>0</v>
      </c>
      <c r="F60" s="30">
        <v>0</v>
      </c>
      <c r="G60" s="30">
        <v>0</v>
      </c>
      <c r="H60" s="29">
        <v>0</v>
      </c>
      <c r="I60" s="30">
        <v>0</v>
      </c>
      <c r="J60" s="30">
        <v>18</v>
      </c>
      <c r="K60" s="31">
        <v>0</v>
      </c>
      <c r="L60" s="29">
        <v>0</v>
      </c>
      <c r="M60" s="30">
        <v>0</v>
      </c>
      <c r="N60" s="30">
        <v>0</v>
      </c>
      <c r="O60" s="31">
        <v>0</v>
      </c>
      <c r="P60" s="30">
        <v>0</v>
      </c>
      <c r="Q60" s="30">
        <v>0</v>
      </c>
      <c r="R60" s="30">
        <v>0</v>
      </c>
      <c r="S60" s="30">
        <v>0</v>
      </c>
      <c r="T60" s="29">
        <v>0</v>
      </c>
      <c r="U60" s="30">
        <v>0</v>
      </c>
      <c r="V60" s="30">
        <v>0</v>
      </c>
      <c r="W60" s="31">
        <v>0</v>
      </c>
      <c r="X60" s="30">
        <v>0</v>
      </c>
      <c r="Y60" s="30">
        <v>0</v>
      </c>
      <c r="Z60" s="30">
        <v>0</v>
      </c>
      <c r="AA60" s="30">
        <v>0</v>
      </c>
      <c r="AB60" s="29">
        <v>0</v>
      </c>
      <c r="AC60" s="30">
        <v>0</v>
      </c>
      <c r="AD60" s="30">
        <v>0</v>
      </c>
      <c r="AE60" s="31">
        <v>0</v>
      </c>
      <c r="AF60" s="30">
        <v>0</v>
      </c>
      <c r="AG60" s="30">
        <v>0</v>
      </c>
      <c r="AH60" s="30">
        <v>0</v>
      </c>
      <c r="AI60" s="30">
        <v>0</v>
      </c>
      <c r="AJ60" s="29">
        <v>0</v>
      </c>
      <c r="AK60" s="30">
        <v>0</v>
      </c>
      <c r="AL60" s="30">
        <v>0</v>
      </c>
      <c r="AM60" s="30">
        <v>0</v>
      </c>
      <c r="AN60" s="29">
        <v>0</v>
      </c>
      <c r="AO60" s="30">
        <v>0</v>
      </c>
      <c r="AP60" s="30">
        <v>0</v>
      </c>
      <c r="AQ60" s="30">
        <v>0</v>
      </c>
      <c r="AR60" s="29">
        <v>0</v>
      </c>
      <c r="AS60" s="30">
        <v>0</v>
      </c>
      <c r="AT60" s="30">
        <v>0</v>
      </c>
      <c r="AU60" s="30">
        <v>0</v>
      </c>
      <c r="AV60" s="29">
        <v>0</v>
      </c>
      <c r="AW60" s="30">
        <v>0</v>
      </c>
      <c r="AX60" s="30">
        <v>0</v>
      </c>
      <c r="AY60" s="30">
        <v>0</v>
      </c>
      <c r="AZ60" s="29">
        <v>0</v>
      </c>
      <c r="BA60" s="30">
        <v>0</v>
      </c>
      <c r="BB60" s="30">
        <v>0</v>
      </c>
      <c r="BC60" s="31">
        <v>0</v>
      </c>
      <c r="BD60" s="29">
        <v>0</v>
      </c>
      <c r="BE60" s="30">
        <v>0</v>
      </c>
      <c r="BF60" s="30">
        <v>0</v>
      </c>
      <c r="BG60" s="1415">
        <v>0</v>
      </c>
      <c r="BH60" s="29">
        <v>0</v>
      </c>
      <c r="BI60" s="30">
        <v>0</v>
      </c>
      <c r="BJ60" s="30">
        <v>0</v>
      </c>
      <c r="BK60" s="1415">
        <v>0</v>
      </c>
      <c r="BL60" s="22"/>
      <c r="BM60" s="34">
        <f>SUM(D60:G60)</f>
        <v>0</v>
      </c>
      <c r="BN60" s="32">
        <f>SUM(H60:K60)</f>
        <v>18</v>
      </c>
      <c r="BO60" s="32">
        <f>SUM(L60:O60)</f>
        <v>0</v>
      </c>
      <c r="BP60" s="32">
        <f>SUM(P60:S60)</f>
        <v>0</v>
      </c>
      <c r="BQ60" s="32">
        <f>SUM(T60:W60)</f>
        <v>0</v>
      </c>
      <c r="BR60" s="32">
        <f t="shared" si="217"/>
        <v>0</v>
      </c>
      <c r="BS60" s="32">
        <f t="shared" si="218"/>
        <v>0</v>
      </c>
      <c r="BT60" s="33">
        <f t="shared" si="219"/>
        <v>0</v>
      </c>
      <c r="BU60" s="34">
        <f t="shared" si="220"/>
        <v>0</v>
      </c>
      <c r="BV60" s="32">
        <f t="shared" si="221"/>
        <v>0</v>
      </c>
      <c r="BW60" s="32">
        <f t="shared" si="222"/>
        <v>0</v>
      </c>
      <c r="BX60" s="32">
        <f t="shared" si="223"/>
        <v>0</v>
      </c>
      <c r="BY60" s="32">
        <f t="shared" si="224"/>
        <v>0</v>
      </c>
      <c r="BZ60" s="32">
        <f t="shared" si="225"/>
        <v>0</v>
      </c>
      <c r="CA60" s="1410">
        <f t="shared" si="226"/>
        <v>0</v>
      </c>
      <c r="CB60" s="166"/>
      <c r="CC60" s="34">
        <f t="shared" si="227"/>
        <v>0</v>
      </c>
      <c r="CD60" s="32">
        <f t="shared" si="228"/>
        <v>18</v>
      </c>
      <c r="CE60" s="32">
        <f t="shared" si="229"/>
        <v>0</v>
      </c>
      <c r="CF60" s="32">
        <f t="shared" si="230"/>
        <v>0</v>
      </c>
      <c r="CG60" s="32">
        <f t="shared" si="231"/>
        <v>0</v>
      </c>
      <c r="CH60" s="32">
        <f t="shared" si="232"/>
        <v>0</v>
      </c>
      <c r="CI60" s="34">
        <f t="shared" si="233"/>
        <v>0</v>
      </c>
      <c r="CJ60" s="32">
        <f t="shared" si="234"/>
        <v>0</v>
      </c>
      <c r="CK60" s="32">
        <f t="shared" si="235"/>
        <v>0</v>
      </c>
      <c r="CL60" s="32">
        <f t="shared" si="236"/>
        <v>0</v>
      </c>
      <c r="CM60" s="32">
        <f t="shared" si="237"/>
        <v>0</v>
      </c>
      <c r="CN60" s="34">
        <f t="shared" si="238"/>
        <v>0</v>
      </c>
      <c r="CO60" s="32">
        <f t="shared" si="239"/>
        <v>0</v>
      </c>
      <c r="CP60" s="1410">
        <f t="shared" si="240"/>
        <v>0</v>
      </c>
      <c r="CQ60" s="10"/>
      <c r="CR60"/>
      <c r="CS60"/>
      <c r="CT60"/>
      <c r="CU60"/>
      <c r="CV60"/>
      <c r="CW60"/>
      <c r="CX60" s="10"/>
    </row>
    <row r="61" spans="1:102" s="300" customFormat="1" ht="14.25" hidden="1" customHeight="1" outlineLevel="1">
      <c r="A61" s="10"/>
      <c r="B61" s="27" t="s">
        <v>142</v>
      </c>
      <c r="C61" s="28"/>
      <c r="D61" s="29">
        <v>0</v>
      </c>
      <c r="E61" s="30">
        <v>0</v>
      </c>
      <c r="F61" s="30">
        <v>0</v>
      </c>
      <c r="G61" s="30">
        <v>21</v>
      </c>
      <c r="H61" s="29">
        <v>0</v>
      </c>
      <c r="I61" s="30">
        <v>0</v>
      </c>
      <c r="J61" s="30">
        <v>0</v>
      </c>
      <c r="K61" s="31">
        <v>0</v>
      </c>
      <c r="L61" s="29">
        <v>0</v>
      </c>
      <c r="M61" s="30">
        <v>0</v>
      </c>
      <c r="N61" s="30">
        <v>0</v>
      </c>
      <c r="O61" s="31">
        <v>0</v>
      </c>
      <c r="P61" s="30">
        <v>0</v>
      </c>
      <c r="Q61" s="30">
        <v>0</v>
      </c>
      <c r="R61" s="30">
        <v>0</v>
      </c>
      <c r="S61" s="30">
        <v>0</v>
      </c>
      <c r="T61" s="29">
        <v>0</v>
      </c>
      <c r="U61" s="30">
        <v>0</v>
      </c>
      <c r="V61" s="30">
        <v>0</v>
      </c>
      <c r="W61" s="31">
        <v>0</v>
      </c>
      <c r="X61" s="30">
        <v>0</v>
      </c>
      <c r="Y61" s="30">
        <v>0</v>
      </c>
      <c r="Z61" s="30">
        <v>0</v>
      </c>
      <c r="AA61" s="30">
        <v>0</v>
      </c>
      <c r="AB61" s="29">
        <v>0</v>
      </c>
      <c r="AC61" s="30">
        <v>0</v>
      </c>
      <c r="AD61" s="30">
        <v>0</v>
      </c>
      <c r="AE61" s="31">
        <v>0</v>
      </c>
      <c r="AF61" s="30">
        <v>0</v>
      </c>
      <c r="AG61" s="30">
        <v>0</v>
      </c>
      <c r="AH61" s="30">
        <v>0</v>
      </c>
      <c r="AI61" s="30">
        <v>0</v>
      </c>
      <c r="AJ61" s="29">
        <v>0</v>
      </c>
      <c r="AK61" s="30">
        <v>0</v>
      </c>
      <c r="AL61" s="30">
        <v>0</v>
      </c>
      <c r="AM61" s="30">
        <v>0</v>
      </c>
      <c r="AN61" s="29">
        <v>0</v>
      </c>
      <c r="AO61" s="30">
        <v>0</v>
      </c>
      <c r="AP61" s="30">
        <v>0</v>
      </c>
      <c r="AQ61" s="30">
        <v>0</v>
      </c>
      <c r="AR61" s="29">
        <v>0</v>
      </c>
      <c r="AS61" s="30">
        <v>0</v>
      </c>
      <c r="AT61" s="30">
        <v>0</v>
      </c>
      <c r="AU61" s="30">
        <v>0</v>
      </c>
      <c r="AV61" s="29">
        <v>0</v>
      </c>
      <c r="AW61" s="30">
        <v>0</v>
      </c>
      <c r="AX61" s="30">
        <v>0</v>
      </c>
      <c r="AY61" s="30">
        <v>0</v>
      </c>
      <c r="AZ61" s="29">
        <v>0</v>
      </c>
      <c r="BA61" s="30">
        <v>0</v>
      </c>
      <c r="BB61" s="30">
        <v>0</v>
      </c>
      <c r="BC61" s="31">
        <v>0</v>
      </c>
      <c r="BD61" s="29">
        <v>0</v>
      </c>
      <c r="BE61" s="30">
        <v>0</v>
      </c>
      <c r="BF61" s="30">
        <v>0</v>
      </c>
      <c r="BG61" s="1415">
        <v>0</v>
      </c>
      <c r="BH61" s="29">
        <v>0</v>
      </c>
      <c r="BI61" s="30">
        <v>0</v>
      </c>
      <c r="BJ61" s="30">
        <v>0</v>
      </c>
      <c r="BK61" s="1415">
        <v>0</v>
      </c>
      <c r="BL61" s="22"/>
      <c r="BM61" s="34">
        <f>SUM(D61:G61)</f>
        <v>21</v>
      </c>
      <c r="BN61" s="32">
        <f>SUM(H61:K61)</f>
        <v>0</v>
      </c>
      <c r="BO61" s="32">
        <f>SUM(L61:O61)</f>
        <v>0</v>
      </c>
      <c r="BP61" s="32">
        <f>SUM(P61:S61)</f>
        <v>0</v>
      </c>
      <c r="BQ61" s="32">
        <f>SUM(T61:W61)</f>
        <v>0</v>
      </c>
      <c r="BR61" s="32">
        <f t="shared" si="217"/>
        <v>0</v>
      </c>
      <c r="BS61" s="32">
        <f t="shared" si="218"/>
        <v>0</v>
      </c>
      <c r="BT61" s="33">
        <f t="shared" si="219"/>
        <v>0</v>
      </c>
      <c r="BU61" s="34">
        <f t="shared" si="220"/>
        <v>0</v>
      </c>
      <c r="BV61" s="32">
        <f t="shared" si="221"/>
        <v>0</v>
      </c>
      <c r="BW61" s="32">
        <f t="shared" si="222"/>
        <v>0</v>
      </c>
      <c r="BX61" s="32">
        <f t="shared" si="223"/>
        <v>0</v>
      </c>
      <c r="BY61" s="32">
        <f t="shared" si="224"/>
        <v>0</v>
      </c>
      <c r="BZ61" s="32">
        <f t="shared" si="225"/>
        <v>0</v>
      </c>
      <c r="CA61" s="1410">
        <f t="shared" si="226"/>
        <v>0</v>
      </c>
      <c r="CB61" s="166"/>
      <c r="CC61" s="34">
        <f t="shared" si="227"/>
        <v>21</v>
      </c>
      <c r="CD61" s="32">
        <f t="shared" si="228"/>
        <v>0</v>
      </c>
      <c r="CE61" s="32">
        <f t="shared" si="229"/>
        <v>0</v>
      </c>
      <c r="CF61" s="32">
        <f t="shared" si="230"/>
        <v>0</v>
      </c>
      <c r="CG61" s="32">
        <f t="shared" si="231"/>
        <v>0</v>
      </c>
      <c r="CH61" s="32">
        <f t="shared" si="232"/>
        <v>0</v>
      </c>
      <c r="CI61" s="34">
        <f t="shared" si="233"/>
        <v>0</v>
      </c>
      <c r="CJ61" s="32">
        <f t="shared" si="234"/>
        <v>0</v>
      </c>
      <c r="CK61" s="32">
        <f t="shared" si="235"/>
        <v>0</v>
      </c>
      <c r="CL61" s="32">
        <f t="shared" si="236"/>
        <v>0</v>
      </c>
      <c r="CM61" s="32">
        <f t="shared" si="237"/>
        <v>0</v>
      </c>
      <c r="CN61" s="34">
        <f t="shared" si="238"/>
        <v>0</v>
      </c>
      <c r="CO61" s="32">
        <f t="shared" si="239"/>
        <v>0</v>
      </c>
      <c r="CP61" s="1410">
        <f t="shared" si="240"/>
        <v>0</v>
      </c>
      <c r="CQ61" s="10"/>
      <c r="CR61"/>
      <c r="CS61"/>
      <c r="CT61"/>
      <c r="CU61"/>
      <c r="CV61"/>
      <c r="CW61"/>
      <c r="CX61" s="10"/>
    </row>
    <row r="62" spans="1:102" s="300" customFormat="1" ht="14.25" hidden="1" customHeight="1" outlineLevel="1">
      <c r="A62" s="10"/>
      <c r="B62" s="27" t="s">
        <v>234</v>
      </c>
      <c r="C62" s="28"/>
      <c r="D62" s="29">
        <v>0</v>
      </c>
      <c r="E62" s="30">
        <v>0</v>
      </c>
      <c r="F62" s="30">
        <v>0</v>
      </c>
      <c r="G62" s="30">
        <v>0</v>
      </c>
      <c r="H62" s="29">
        <v>0</v>
      </c>
      <c r="I62" s="30">
        <v>0</v>
      </c>
      <c r="J62" s="30">
        <v>0</v>
      </c>
      <c r="K62" s="31">
        <v>0</v>
      </c>
      <c r="L62" s="29">
        <v>0</v>
      </c>
      <c r="M62" s="30">
        <v>0</v>
      </c>
      <c r="N62" s="30">
        <v>0</v>
      </c>
      <c r="O62" s="31">
        <v>0</v>
      </c>
      <c r="P62" s="30">
        <v>0</v>
      </c>
      <c r="Q62" s="30">
        <v>0</v>
      </c>
      <c r="R62" s="30">
        <v>0</v>
      </c>
      <c r="S62" s="30">
        <v>0</v>
      </c>
      <c r="T62" s="29">
        <v>0</v>
      </c>
      <c r="U62" s="30">
        <v>0</v>
      </c>
      <c r="V62" s="30">
        <v>0</v>
      </c>
      <c r="W62" s="31">
        <v>0</v>
      </c>
      <c r="X62" s="30">
        <v>0</v>
      </c>
      <c r="Y62" s="30">
        <v>0</v>
      </c>
      <c r="Z62" s="30">
        <v>0</v>
      </c>
      <c r="AA62" s="30">
        <v>0</v>
      </c>
      <c r="AB62" s="29">
        <v>0</v>
      </c>
      <c r="AC62" s="30">
        <v>0</v>
      </c>
      <c r="AD62" s="30">
        <v>0</v>
      </c>
      <c r="AE62" s="31">
        <v>0</v>
      </c>
      <c r="AF62" s="30">
        <v>0</v>
      </c>
      <c r="AG62" s="30">
        <v>0</v>
      </c>
      <c r="AH62" s="30">
        <v>0</v>
      </c>
      <c r="AI62" s="30">
        <v>0</v>
      </c>
      <c r="AJ62" s="29">
        <v>0</v>
      </c>
      <c r="AK62" s="30">
        <v>0</v>
      </c>
      <c r="AL62" s="30">
        <v>0</v>
      </c>
      <c r="AM62" s="30">
        <v>0</v>
      </c>
      <c r="AN62" s="29">
        <v>0</v>
      </c>
      <c r="AO62" s="30">
        <v>0</v>
      </c>
      <c r="AP62" s="30">
        <v>0</v>
      </c>
      <c r="AQ62" s="30">
        <v>0</v>
      </c>
      <c r="AR62" s="29">
        <v>0</v>
      </c>
      <c r="AS62" s="30">
        <v>0</v>
      </c>
      <c r="AT62" s="30">
        <v>0</v>
      </c>
      <c r="AU62" s="30">
        <v>0</v>
      </c>
      <c r="AV62" s="29">
        <v>0</v>
      </c>
      <c r="AW62" s="30">
        <v>0</v>
      </c>
      <c r="AX62" s="30">
        <v>0</v>
      </c>
      <c r="AY62" s="30">
        <v>0</v>
      </c>
      <c r="AZ62" s="29">
        <v>0</v>
      </c>
      <c r="BA62" s="30">
        <v>0</v>
      </c>
      <c r="BB62" s="30">
        <v>0</v>
      </c>
      <c r="BC62" s="31">
        <v>0</v>
      </c>
      <c r="BD62" s="29">
        <v>0</v>
      </c>
      <c r="BE62" s="30">
        <v>0</v>
      </c>
      <c r="BF62" s="30">
        <v>0</v>
      </c>
      <c r="BG62" s="1415">
        <v>0</v>
      </c>
      <c r="BH62" s="29">
        <v>0</v>
      </c>
      <c r="BI62" s="30">
        <v>0</v>
      </c>
      <c r="BJ62" s="30">
        <v>0</v>
      </c>
      <c r="BK62" s="1415">
        <v>0</v>
      </c>
      <c r="BL62" s="22"/>
      <c r="BM62" s="34">
        <f t="shared" si="212"/>
        <v>0</v>
      </c>
      <c r="BN62" s="32">
        <f t="shared" si="213"/>
        <v>0</v>
      </c>
      <c r="BO62" s="32">
        <f t="shared" si="214"/>
        <v>0</v>
      </c>
      <c r="BP62" s="32">
        <f t="shared" si="215"/>
        <v>0</v>
      </c>
      <c r="BQ62" s="32">
        <f t="shared" si="216"/>
        <v>0</v>
      </c>
      <c r="BR62" s="32">
        <f t="shared" si="217"/>
        <v>0</v>
      </c>
      <c r="BS62" s="32">
        <f t="shared" si="218"/>
        <v>0</v>
      </c>
      <c r="BT62" s="33">
        <f t="shared" si="219"/>
        <v>0</v>
      </c>
      <c r="BU62" s="34">
        <f t="shared" si="220"/>
        <v>0</v>
      </c>
      <c r="BV62" s="32">
        <f t="shared" si="221"/>
        <v>0</v>
      </c>
      <c r="BW62" s="32">
        <f t="shared" si="222"/>
        <v>0</v>
      </c>
      <c r="BX62" s="32">
        <f t="shared" si="223"/>
        <v>0</v>
      </c>
      <c r="BY62" s="32">
        <f t="shared" si="224"/>
        <v>0</v>
      </c>
      <c r="BZ62" s="32">
        <f t="shared" si="225"/>
        <v>0</v>
      </c>
      <c r="CA62" s="1410">
        <f t="shared" si="226"/>
        <v>0</v>
      </c>
      <c r="CB62" s="166"/>
      <c r="CC62" s="34">
        <f t="shared" si="227"/>
        <v>0</v>
      </c>
      <c r="CD62" s="32">
        <f t="shared" si="228"/>
        <v>0</v>
      </c>
      <c r="CE62" s="32">
        <f t="shared" si="229"/>
        <v>0</v>
      </c>
      <c r="CF62" s="32">
        <f t="shared" si="230"/>
        <v>0</v>
      </c>
      <c r="CG62" s="32">
        <f t="shared" si="231"/>
        <v>0</v>
      </c>
      <c r="CH62" s="32">
        <f t="shared" si="232"/>
        <v>0</v>
      </c>
      <c r="CI62" s="34">
        <f t="shared" si="233"/>
        <v>0</v>
      </c>
      <c r="CJ62" s="32">
        <f t="shared" si="234"/>
        <v>0</v>
      </c>
      <c r="CK62" s="32">
        <f t="shared" si="235"/>
        <v>0</v>
      </c>
      <c r="CL62" s="32">
        <f t="shared" si="236"/>
        <v>0</v>
      </c>
      <c r="CM62" s="32">
        <f t="shared" si="237"/>
        <v>0</v>
      </c>
      <c r="CN62" s="34">
        <f t="shared" si="238"/>
        <v>0</v>
      </c>
      <c r="CO62" s="32">
        <f t="shared" si="239"/>
        <v>0</v>
      </c>
      <c r="CP62" s="1410">
        <f t="shared" si="240"/>
        <v>0</v>
      </c>
      <c r="CQ62" s="10"/>
      <c r="CR62"/>
      <c r="CS62"/>
      <c r="CT62"/>
      <c r="CU62"/>
      <c r="CV62"/>
      <c r="CW62"/>
      <c r="CX62" s="10"/>
    </row>
    <row r="63" spans="1:102" ht="14.25" hidden="1" customHeight="1" outlineLevel="1">
      <c r="A63" s="10"/>
      <c r="B63" s="21" t="s">
        <v>362</v>
      </c>
      <c r="C63" s="22"/>
      <c r="D63" s="29">
        <v>0</v>
      </c>
      <c r="E63" s="30">
        <v>0</v>
      </c>
      <c r="F63" s="30">
        <v>0</v>
      </c>
      <c r="G63" s="30">
        <v>0</v>
      </c>
      <c r="H63" s="29">
        <v>0</v>
      </c>
      <c r="I63" s="30">
        <v>0</v>
      </c>
      <c r="J63" s="30">
        <v>0</v>
      </c>
      <c r="K63" s="31">
        <v>0</v>
      </c>
      <c r="L63" s="29">
        <v>0</v>
      </c>
      <c r="M63" s="30">
        <v>0</v>
      </c>
      <c r="N63" s="30">
        <v>0</v>
      </c>
      <c r="O63" s="31">
        <v>0</v>
      </c>
      <c r="P63" s="30">
        <v>0</v>
      </c>
      <c r="Q63" s="30">
        <v>0</v>
      </c>
      <c r="R63" s="30">
        <v>0</v>
      </c>
      <c r="S63" s="30">
        <v>0</v>
      </c>
      <c r="T63" s="29">
        <v>0</v>
      </c>
      <c r="U63" s="30">
        <v>0</v>
      </c>
      <c r="V63" s="30">
        <v>0</v>
      </c>
      <c r="W63" s="31">
        <v>0</v>
      </c>
      <c r="X63" s="30">
        <v>0</v>
      </c>
      <c r="Y63" s="30">
        <v>0</v>
      </c>
      <c r="Z63" s="30">
        <v>0</v>
      </c>
      <c r="AA63" s="30">
        <v>0</v>
      </c>
      <c r="AB63" s="29">
        <v>0</v>
      </c>
      <c r="AC63" s="30">
        <v>0</v>
      </c>
      <c r="AD63" s="30">
        <v>0</v>
      </c>
      <c r="AE63" s="31">
        <v>0</v>
      </c>
      <c r="AF63" s="30">
        <v>0</v>
      </c>
      <c r="AG63" s="30">
        <v>0</v>
      </c>
      <c r="AH63" s="30">
        <v>0</v>
      </c>
      <c r="AI63" s="30">
        <v>0</v>
      </c>
      <c r="AJ63" s="29">
        <v>0</v>
      </c>
      <c r="AK63" s="30">
        <v>0</v>
      </c>
      <c r="AL63" s="30">
        <v>0</v>
      </c>
      <c r="AM63" s="30">
        <v>0</v>
      </c>
      <c r="AN63" s="29">
        <v>0</v>
      </c>
      <c r="AO63" s="30">
        <v>0</v>
      </c>
      <c r="AP63" s="30">
        <v>0</v>
      </c>
      <c r="AQ63" s="30">
        <v>0</v>
      </c>
      <c r="AR63" s="29">
        <v>0</v>
      </c>
      <c r="AS63" s="30">
        <v>0</v>
      </c>
      <c r="AT63" s="30">
        <v>0</v>
      </c>
      <c r="AU63" s="30">
        <v>0</v>
      </c>
      <c r="AV63" s="29">
        <v>0</v>
      </c>
      <c r="AW63" s="30">
        <v>0</v>
      </c>
      <c r="AX63" s="30">
        <v>0</v>
      </c>
      <c r="AY63" s="30">
        <v>0</v>
      </c>
      <c r="AZ63" s="29">
        <v>0</v>
      </c>
      <c r="BA63" s="30">
        <v>0</v>
      </c>
      <c r="BB63" s="30">
        <v>0</v>
      </c>
      <c r="BC63" s="31">
        <v>0</v>
      </c>
      <c r="BD63" s="29">
        <v>0</v>
      </c>
      <c r="BE63" s="30">
        <v>0</v>
      </c>
      <c r="BF63" s="30">
        <v>0</v>
      </c>
      <c r="BG63" s="1415">
        <v>0</v>
      </c>
      <c r="BH63" s="29">
        <v>0</v>
      </c>
      <c r="BI63" s="30">
        <v>0</v>
      </c>
      <c r="BJ63" s="30">
        <v>0</v>
      </c>
      <c r="BK63" s="1415">
        <v>0</v>
      </c>
      <c r="BL63" s="22"/>
      <c r="BM63" s="34">
        <f>SUM(D63:G63)</f>
        <v>0</v>
      </c>
      <c r="BN63" s="32">
        <f>SUM(H63:K63)</f>
        <v>0</v>
      </c>
      <c r="BO63" s="32">
        <f>SUM(L63:O63)</f>
        <v>0</v>
      </c>
      <c r="BP63" s="32">
        <f>SUM(P63:S63)</f>
        <v>0</v>
      </c>
      <c r="BQ63" s="32">
        <f>SUM(T63:W63)</f>
        <v>0</v>
      </c>
      <c r="BR63" s="32">
        <f t="shared" si="217"/>
        <v>0</v>
      </c>
      <c r="BS63" s="32">
        <f>SUM(AB63:AE63)</f>
        <v>0</v>
      </c>
      <c r="BT63" s="33">
        <f>SUM(AF63:AI63)</f>
        <v>0</v>
      </c>
      <c r="BU63" s="34">
        <f>SUM(AJ63:AM63)</f>
        <v>0</v>
      </c>
      <c r="BV63" s="32">
        <f t="shared" si="221"/>
        <v>0</v>
      </c>
      <c r="BW63" s="32">
        <f t="shared" si="222"/>
        <v>0</v>
      </c>
      <c r="BX63" s="32">
        <f t="shared" si="223"/>
        <v>0</v>
      </c>
      <c r="BY63" s="32">
        <f t="shared" si="224"/>
        <v>0</v>
      </c>
      <c r="BZ63" s="32">
        <f t="shared" si="225"/>
        <v>0</v>
      </c>
      <c r="CA63" s="1410">
        <f t="shared" si="226"/>
        <v>0</v>
      </c>
      <c r="CB63" s="166"/>
      <c r="CC63" s="34">
        <f t="shared" si="227"/>
        <v>0</v>
      </c>
      <c r="CD63" s="32">
        <f t="shared" si="228"/>
        <v>0</v>
      </c>
      <c r="CE63" s="32">
        <f t="shared" si="229"/>
        <v>0</v>
      </c>
      <c r="CF63" s="32">
        <f t="shared" si="230"/>
        <v>0</v>
      </c>
      <c r="CG63" s="32">
        <f t="shared" si="231"/>
        <v>0</v>
      </c>
      <c r="CH63" s="32">
        <f t="shared" si="232"/>
        <v>0</v>
      </c>
      <c r="CI63" s="34">
        <f t="shared" si="233"/>
        <v>0</v>
      </c>
      <c r="CJ63" s="32">
        <f t="shared" si="234"/>
        <v>0</v>
      </c>
      <c r="CK63" s="32">
        <f t="shared" si="235"/>
        <v>0</v>
      </c>
      <c r="CL63" s="32">
        <f t="shared" si="236"/>
        <v>0</v>
      </c>
      <c r="CM63" s="32">
        <f t="shared" si="237"/>
        <v>0</v>
      </c>
      <c r="CN63" s="34">
        <f t="shared" si="238"/>
        <v>0</v>
      </c>
      <c r="CO63" s="32">
        <f t="shared" si="239"/>
        <v>0</v>
      </c>
      <c r="CP63" s="1410">
        <f t="shared" si="240"/>
        <v>0</v>
      </c>
      <c r="CQ63" s="7"/>
      <c r="CX63" s="7"/>
    </row>
    <row r="64" spans="1:102" ht="6.75" customHeight="1" collapsed="1">
      <c r="A64" s="7"/>
      <c r="B64" s="21"/>
      <c r="C64" s="22"/>
      <c r="D64" s="39"/>
      <c r="E64" s="37"/>
      <c r="F64" s="37"/>
      <c r="G64" s="37"/>
      <c r="H64" s="39"/>
      <c r="I64" s="37"/>
      <c r="J64" s="37"/>
      <c r="K64" s="38"/>
      <c r="L64" s="39"/>
      <c r="M64" s="37"/>
      <c r="N64" s="37"/>
      <c r="O64" s="38"/>
      <c r="P64" s="37"/>
      <c r="Q64" s="37"/>
      <c r="R64" s="37"/>
      <c r="S64" s="37"/>
      <c r="T64" s="39"/>
      <c r="U64" s="37"/>
      <c r="V64" s="37"/>
      <c r="W64" s="38"/>
      <c r="X64" s="37"/>
      <c r="Y64" s="37"/>
      <c r="Z64" s="37"/>
      <c r="AA64" s="37"/>
      <c r="AB64" s="39"/>
      <c r="AC64" s="37"/>
      <c r="AD64" s="37"/>
      <c r="AE64" s="38"/>
      <c r="AF64" s="37"/>
      <c r="AG64" s="37"/>
      <c r="AH64" s="37"/>
      <c r="AI64" s="37"/>
      <c r="AJ64" s="39"/>
      <c r="AK64" s="37"/>
      <c r="AL64" s="37"/>
      <c r="AM64" s="37"/>
      <c r="AN64" s="39"/>
      <c r="AO64" s="37"/>
      <c r="AP64" s="37"/>
      <c r="AQ64" s="37"/>
      <c r="AR64" s="39"/>
      <c r="AS64" s="37"/>
      <c r="AT64" s="37"/>
      <c r="AU64" s="37"/>
      <c r="AV64" s="39"/>
      <c r="AW64" s="37"/>
      <c r="AX64" s="37"/>
      <c r="AY64" s="37"/>
      <c r="AZ64" s="39"/>
      <c r="BA64" s="37"/>
      <c r="BB64" s="37"/>
      <c r="BC64" s="38"/>
      <c r="BD64" s="39"/>
      <c r="BE64" s="37"/>
      <c r="BF64" s="37"/>
      <c r="BG64" s="1411"/>
      <c r="BH64" s="39"/>
      <c r="BI64" s="37"/>
      <c r="BJ64" s="37"/>
      <c r="BK64" s="1411"/>
      <c r="BL64" s="232"/>
      <c r="BM64" s="39"/>
      <c r="BN64" s="37"/>
      <c r="BO64" s="37"/>
      <c r="BP64" s="37"/>
      <c r="BQ64" s="37"/>
      <c r="BR64" s="37"/>
      <c r="BS64" s="37"/>
      <c r="BT64" s="38"/>
      <c r="BU64" s="39"/>
      <c r="BV64" s="37"/>
      <c r="BW64" s="37"/>
      <c r="BX64" s="37"/>
      <c r="BY64" s="37"/>
      <c r="BZ64" s="37"/>
      <c r="CA64" s="1411"/>
      <c r="CB64" s="19"/>
      <c r="CC64" s="39"/>
      <c r="CD64" s="37"/>
      <c r="CE64" s="37"/>
      <c r="CF64" s="37"/>
      <c r="CG64" s="37"/>
      <c r="CH64" s="37"/>
      <c r="CI64" s="39"/>
      <c r="CJ64" s="37"/>
      <c r="CK64" s="37"/>
      <c r="CL64" s="37"/>
      <c r="CM64" s="37"/>
      <c r="CN64" s="39"/>
      <c r="CO64" s="37"/>
      <c r="CP64" s="1411"/>
      <c r="CQ64" s="7"/>
      <c r="CX64" s="7"/>
    </row>
    <row r="65" spans="1:102" s="533" customFormat="1" ht="14.25" customHeight="1">
      <c r="A65" s="525"/>
      <c r="B65" s="764" t="s">
        <v>24</v>
      </c>
      <c r="C65" s="789"/>
      <c r="D65" s="530">
        <f>D28+D43+D56</f>
        <v>143</v>
      </c>
      <c r="E65" s="530">
        <f t="shared" ref="E65:AK65" si="241">E28+E43+E56</f>
        <v>141</v>
      </c>
      <c r="F65" s="530">
        <f t="shared" si="241"/>
        <v>130</v>
      </c>
      <c r="G65" s="530">
        <f t="shared" si="241"/>
        <v>146</v>
      </c>
      <c r="H65" s="530">
        <f t="shared" si="241"/>
        <v>122</v>
      </c>
      <c r="I65" s="530">
        <f t="shared" si="241"/>
        <v>108</v>
      </c>
      <c r="J65" s="530">
        <f t="shared" si="241"/>
        <v>126</v>
      </c>
      <c r="K65" s="530">
        <f t="shared" si="241"/>
        <v>111</v>
      </c>
      <c r="L65" s="530">
        <f t="shared" si="241"/>
        <v>125</v>
      </c>
      <c r="M65" s="530">
        <f t="shared" si="241"/>
        <v>118</v>
      </c>
      <c r="N65" s="530">
        <f t="shared" si="241"/>
        <v>127</v>
      </c>
      <c r="O65" s="530">
        <f t="shared" si="241"/>
        <v>125</v>
      </c>
      <c r="P65" s="530">
        <f t="shared" si="241"/>
        <v>113</v>
      </c>
      <c r="Q65" s="530">
        <f t="shared" si="241"/>
        <v>109</v>
      </c>
      <c r="R65" s="530">
        <f t="shared" si="241"/>
        <v>117</v>
      </c>
      <c r="S65" s="530">
        <f t="shared" si="241"/>
        <v>173</v>
      </c>
      <c r="T65" s="530">
        <f t="shared" si="241"/>
        <v>116</v>
      </c>
      <c r="U65" s="530">
        <f t="shared" si="241"/>
        <v>125</v>
      </c>
      <c r="V65" s="530">
        <f t="shared" si="241"/>
        <v>128</v>
      </c>
      <c r="W65" s="530">
        <f t="shared" si="241"/>
        <v>131</v>
      </c>
      <c r="X65" s="530">
        <f t="shared" si="241"/>
        <v>129</v>
      </c>
      <c r="Y65" s="530">
        <f t="shared" si="241"/>
        <v>137</v>
      </c>
      <c r="Z65" s="530">
        <f t="shared" si="241"/>
        <v>152</v>
      </c>
      <c r="AA65" s="530">
        <f t="shared" si="241"/>
        <v>145</v>
      </c>
      <c r="AB65" s="530">
        <f t="shared" si="241"/>
        <v>138</v>
      </c>
      <c r="AC65" s="530">
        <f t="shared" si="241"/>
        <v>141</v>
      </c>
      <c r="AD65" s="530">
        <f t="shared" si="241"/>
        <v>146</v>
      </c>
      <c r="AE65" s="530">
        <f t="shared" si="241"/>
        <v>135</v>
      </c>
      <c r="AF65" s="530">
        <f t="shared" si="241"/>
        <v>152</v>
      </c>
      <c r="AG65" s="530">
        <f t="shared" si="241"/>
        <v>154</v>
      </c>
      <c r="AH65" s="530">
        <f t="shared" si="241"/>
        <v>164</v>
      </c>
      <c r="AI65" s="530">
        <f t="shared" si="241"/>
        <v>175</v>
      </c>
      <c r="AJ65" s="530">
        <f t="shared" si="241"/>
        <v>200</v>
      </c>
      <c r="AK65" s="530">
        <f t="shared" si="241"/>
        <v>197</v>
      </c>
      <c r="AL65" s="530">
        <f t="shared" ref="AL65:BC65" si="242">AL28+AL43+AL56</f>
        <v>555</v>
      </c>
      <c r="AM65" s="530">
        <f t="shared" si="242"/>
        <v>487</v>
      </c>
      <c r="AN65" s="532">
        <f t="shared" si="242"/>
        <v>425</v>
      </c>
      <c r="AO65" s="530">
        <f t="shared" si="242"/>
        <v>428</v>
      </c>
      <c r="AP65" s="530">
        <f t="shared" si="242"/>
        <v>585</v>
      </c>
      <c r="AQ65" s="530">
        <f t="shared" si="242"/>
        <v>483</v>
      </c>
      <c r="AR65" s="532">
        <f t="shared" ref="AR65:AU65" si="243">AR28+AR43+AR56</f>
        <v>466</v>
      </c>
      <c r="AS65" s="530">
        <f t="shared" si="243"/>
        <v>2047</v>
      </c>
      <c r="AT65" s="530">
        <f t="shared" si="243"/>
        <v>2046</v>
      </c>
      <c r="AU65" s="530">
        <f t="shared" si="243"/>
        <v>1790</v>
      </c>
      <c r="AV65" s="532">
        <f t="shared" ref="AV65:AY65" si="244">AV28+AV43+AV56</f>
        <v>1495</v>
      </c>
      <c r="AW65" s="530">
        <f t="shared" si="244"/>
        <v>1502</v>
      </c>
      <c r="AX65" s="530">
        <f t="shared" si="244"/>
        <v>1501</v>
      </c>
      <c r="AY65" s="530">
        <f t="shared" si="244"/>
        <v>1518</v>
      </c>
      <c r="AZ65" s="532">
        <f t="shared" ref="AZ65" si="245">AZ28+AZ43+AZ56</f>
        <v>1685</v>
      </c>
      <c r="BA65" s="802">
        <f t="shared" si="242"/>
        <v>1174.6686415618547</v>
      </c>
      <c r="BB65" s="802">
        <f t="shared" si="242"/>
        <v>1175.9042424235868</v>
      </c>
      <c r="BC65" s="798">
        <f t="shared" si="242"/>
        <v>1186.8530308691279</v>
      </c>
      <c r="BD65" s="939">
        <f t="shared" ref="BD65:BG65" si="246">BD28+BD43+BD56</f>
        <v>1174.9191807029856</v>
      </c>
      <c r="BE65" s="802">
        <f t="shared" si="246"/>
        <v>1167.386096424091</v>
      </c>
      <c r="BF65" s="802">
        <f t="shared" si="246"/>
        <v>1221.1655650705281</v>
      </c>
      <c r="BG65" s="1424">
        <f t="shared" si="246"/>
        <v>1310.4871882842485</v>
      </c>
      <c r="BH65" s="939">
        <f t="shared" ref="BH65:BK65" si="247">BH28+BH43+BH56</f>
        <v>1278.2208069658366</v>
      </c>
      <c r="BI65" s="802">
        <f t="shared" si="247"/>
        <v>1240.3413643206104</v>
      </c>
      <c r="BJ65" s="802">
        <f t="shared" si="247"/>
        <v>1268.3093061380666</v>
      </c>
      <c r="BK65" s="1424">
        <f t="shared" si="247"/>
        <v>1312.9319379023195</v>
      </c>
      <c r="BL65" s="796"/>
      <c r="BM65" s="530">
        <f>BM28+BM43+BM56</f>
        <v>560</v>
      </c>
      <c r="BN65" s="530">
        <f t="shared" ref="BN65:BR65" si="248">BN28+BN43+BN56</f>
        <v>467</v>
      </c>
      <c r="BO65" s="530">
        <f t="shared" si="248"/>
        <v>495</v>
      </c>
      <c r="BP65" s="530">
        <f t="shared" si="248"/>
        <v>512</v>
      </c>
      <c r="BQ65" s="530">
        <f t="shared" si="248"/>
        <v>500</v>
      </c>
      <c r="BR65" s="530">
        <f t="shared" si="248"/>
        <v>563</v>
      </c>
      <c r="BS65" s="530">
        <f t="shared" ref="BS65:BY65" si="249">BS28+BS43+BS56</f>
        <v>560</v>
      </c>
      <c r="BT65" s="531">
        <f t="shared" si="249"/>
        <v>645</v>
      </c>
      <c r="BU65" s="532">
        <f t="shared" si="249"/>
        <v>1439</v>
      </c>
      <c r="BV65" s="530">
        <f t="shared" si="249"/>
        <v>1921</v>
      </c>
      <c r="BW65" s="530">
        <f t="shared" ref="BW65" si="250">BW28+BW43+BW56</f>
        <v>6349</v>
      </c>
      <c r="BX65" s="530">
        <f t="shared" si="249"/>
        <v>6016</v>
      </c>
      <c r="BY65" s="530">
        <f t="shared" si="249"/>
        <v>5222.4259148545689</v>
      </c>
      <c r="BZ65" s="530">
        <f t="shared" ref="BZ65:CA65" si="251">BZ28+BZ43+BZ56</f>
        <v>4873.9580304818537</v>
      </c>
      <c r="CA65" s="1406">
        <f t="shared" si="251"/>
        <v>5099.8034153268327</v>
      </c>
      <c r="CB65" s="529"/>
      <c r="CC65" s="532">
        <f t="shared" ref="CC65:CN65" si="252">CC28+CC43+CC56</f>
        <v>539</v>
      </c>
      <c r="CD65" s="532">
        <f t="shared" si="252"/>
        <v>470</v>
      </c>
      <c r="CE65" s="532">
        <f t="shared" si="252"/>
        <v>483</v>
      </c>
      <c r="CF65" s="532">
        <f t="shared" si="252"/>
        <v>515</v>
      </c>
      <c r="CG65" s="532">
        <f t="shared" si="252"/>
        <v>513</v>
      </c>
      <c r="CH65" s="532">
        <f t="shared" si="252"/>
        <v>572</v>
      </c>
      <c r="CI65" s="532">
        <f t="shared" si="252"/>
        <v>574</v>
      </c>
      <c r="CJ65" s="530">
        <f t="shared" si="252"/>
        <v>693</v>
      </c>
      <c r="CK65" s="530">
        <f t="shared" si="252"/>
        <v>1664</v>
      </c>
      <c r="CL65" s="530">
        <f t="shared" si="252"/>
        <v>1962</v>
      </c>
      <c r="CM65" s="530">
        <f t="shared" si="252"/>
        <v>7378</v>
      </c>
      <c r="CN65" s="532">
        <f t="shared" si="252"/>
        <v>6206</v>
      </c>
      <c r="CO65" s="530">
        <f t="shared" ref="CO65" si="253">CO28+CO43+CO56</f>
        <v>4712.3450955575554</v>
      </c>
      <c r="CP65" s="1406">
        <f t="shared" ref="CP65" si="254">CP28+CP43+CP56</f>
        <v>4977.2596567447044</v>
      </c>
      <c r="CQ65" s="525"/>
      <c r="CR65"/>
      <c r="CS65"/>
      <c r="CT65"/>
      <c r="CU65"/>
      <c r="CV65"/>
      <c r="CW65"/>
      <c r="CX65" s="525"/>
    </row>
    <row r="66" spans="1:102" ht="14.25" hidden="1" customHeight="1" outlineLevel="1">
      <c r="A66" s="7"/>
      <c r="B66" s="21" t="s">
        <v>363</v>
      </c>
      <c r="C66" s="22"/>
      <c r="D66" s="34">
        <f t="shared" ref="D66:AI66" si="255">D38+D53+D63</f>
        <v>127</v>
      </c>
      <c r="E66" s="32">
        <f t="shared" si="255"/>
        <v>120</v>
      </c>
      <c r="F66" s="32">
        <f t="shared" si="255"/>
        <v>116</v>
      </c>
      <c r="G66" s="32">
        <f t="shared" si="255"/>
        <v>116</v>
      </c>
      <c r="H66" s="34">
        <f t="shared" si="255"/>
        <v>107</v>
      </c>
      <c r="I66" s="32">
        <f t="shared" si="255"/>
        <v>98</v>
      </c>
      <c r="J66" s="32">
        <f t="shared" si="255"/>
        <v>97</v>
      </c>
      <c r="K66" s="33">
        <f t="shared" si="255"/>
        <v>96</v>
      </c>
      <c r="L66" s="34">
        <f t="shared" si="255"/>
        <v>116</v>
      </c>
      <c r="M66" s="32">
        <f t="shared" si="255"/>
        <v>110</v>
      </c>
      <c r="N66" s="32">
        <f t="shared" si="255"/>
        <v>118</v>
      </c>
      <c r="O66" s="33">
        <f t="shared" si="255"/>
        <v>117</v>
      </c>
      <c r="P66" s="32">
        <f t="shared" si="255"/>
        <v>102</v>
      </c>
      <c r="Q66" s="32">
        <f t="shared" si="255"/>
        <v>101</v>
      </c>
      <c r="R66" s="32">
        <f t="shared" si="255"/>
        <v>99</v>
      </c>
      <c r="S66" s="32">
        <f t="shared" si="255"/>
        <v>108</v>
      </c>
      <c r="T66" s="34">
        <f t="shared" si="255"/>
        <v>110</v>
      </c>
      <c r="U66" s="32">
        <f t="shared" si="255"/>
        <v>118</v>
      </c>
      <c r="V66" s="32">
        <f t="shared" si="255"/>
        <v>122</v>
      </c>
      <c r="W66" s="33">
        <f t="shared" si="255"/>
        <v>126</v>
      </c>
      <c r="X66" s="32">
        <f t="shared" si="255"/>
        <v>123</v>
      </c>
      <c r="Y66" s="32">
        <f t="shared" si="255"/>
        <v>131</v>
      </c>
      <c r="Z66" s="32">
        <f t="shared" si="255"/>
        <v>145</v>
      </c>
      <c r="AA66" s="32">
        <f t="shared" si="255"/>
        <v>138</v>
      </c>
      <c r="AB66" s="34">
        <f t="shared" si="255"/>
        <v>132</v>
      </c>
      <c r="AC66" s="32">
        <f t="shared" si="255"/>
        <v>135</v>
      </c>
      <c r="AD66" s="32">
        <f t="shared" si="255"/>
        <v>138</v>
      </c>
      <c r="AE66" s="33">
        <f t="shared" si="255"/>
        <v>129</v>
      </c>
      <c r="AF66" s="32">
        <f t="shared" si="255"/>
        <v>146</v>
      </c>
      <c r="AG66" s="32">
        <f t="shared" si="255"/>
        <v>145</v>
      </c>
      <c r="AH66" s="32">
        <f t="shared" si="255"/>
        <v>154</v>
      </c>
      <c r="AI66" s="32">
        <f t="shared" si="255"/>
        <v>163</v>
      </c>
      <c r="AJ66" s="34">
        <f t="shared" ref="AJ66:BC66" si="256">AJ38+AJ53+AJ63</f>
        <v>163</v>
      </c>
      <c r="AK66" s="32">
        <f t="shared" si="256"/>
        <v>175</v>
      </c>
      <c r="AL66" s="32">
        <f t="shared" si="256"/>
        <v>351</v>
      </c>
      <c r="AM66" s="32">
        <f t="shared" si="256"/>
        <v>346</v>
      </c>
      <c r="AN66" s="34">
        <f t="shared" si="256"/>
        <v>336</v>
      </c>
      <c r="AO66" s="32">
        <f t="shared" si="256"/>
        <v>348</v>
      </c>
      <c r="AP66" s="32">
        <f t="shared" si="256"/>
        <v>386</v>
      </c>
      <c r="AQ66" s="32">
        <f t="shared" si="256"/>
        <v>394</v>
      </c>
      <c r="AR66" s="34">
        <f t="shared" ref="AR66:AU66" si="257">AR38+AR53+AR63</f>
        <v>357</v>
      </c>
      <c r="AS66" s="32">
        <f t="shared" si="257"/>
        <v>982</v>
      </c>
      <c r="AT66" s="32">
        <f t="shared" si="257"/>
        <v>1006</v>
      </c>
      <c r="AU66" s="32">
        <f t="shared" si="257"/>
        <v>997</v>
      </c>
      <c r="AV66" s="34">
        <f t="shared" ref="AV66:AY66" si="258">AV38+AV53+AV63</f>
        <v>971</v>
      </c>
      <c r="AW66" s="32">
        <f t="shared" si="258"/>
        <v>1000</v>
      </c>
      <c r="AX66" s="32">
        <f t="shared" si="258"/>
        <v>1001</v>
      </c>
      <c r="AY66" s="32">
        <f t="shared" si="258"/>
        <v>1010</v>
      </c>
      <c r="AZ66" s="34">
        <f t="shared" ref="AZ66" si="259">AZ38+AZ53+AZ63</f>
        <v>1162</v>
      </c>
      <c r="BA66" s="32">
        <f t="shared" si="256"/>
        <v>1174.6686415618547</v>
      </c>
      <c r="BB66" s="32">
        <f t="shared" si="256"/>
        <v>1175.9042424235868</v>
      </c>
      <c r="BC66" s="33">
        <f t="shared" si="256"/>
        <v>1186.8530308691279</v>
      </c>
      <c r="BD66" s="34">
        <f t="shared" ref="BD66:BG66" si="260">BD38+BD53+BD63</f>
        <v>1174.9191807029856</v>
      </c>
      <c r="BE66" s="32">
        <f t="shared" si="260"/>
        <v>1167.386096424091</v>
      </c>
      <c r="BF66" s="32">
        <f t="shared" si="260"/>
        <v>1221.1655650705281</v>
      </c>
      <c r="BG66" s="1410">
        <f t="shared" si="260"/>
        <v>1310.4871882842485</v>
      </c>
      <c r="BH66" s="34">
        <f t="shared" ref="BH66:BK66" si="261">BH38+BH53+BH63</f>
        <v>1278.2208069658366</v>
      </c>
      <c r="BI66" s="32">
        <f t="shared" si="261"/>
        <v>1240.3413643206104</v>
      </c>
      <c r="BJ66" s="32">
        <f t="shared" si="261"/>
        <v>1268.3093061380666</v>
      </c>
      <c r="BK66" s="1410">
        <f t="shared" si="261"/>
        <v>1312.9319379023195</v>
      </c>
      <c r="BL66" s="232"/>
      <c r="BM66" s="34">
        <f t="shared" ref="BM66:BY66" si="262">BM38+BM53+BM63</f>
        <v>479</v>
      </c>
      <c r="BN66" s="32">
        <f t="shared" si="262"/>
        <v>398</v>
      </c>
      <c r="BO66" s="32">
        <f t="shared" si="262"/>
        <v>461</v>
      </c>
      <c r="BP66" s="32">
        <f t="shared" si="262"/>
        <v>410</v>
      </c>
      <c r="BQ66" s="32">
        <f t="shared" si="262"/>
        <v>476</v>
      </c>
      <c r="BR66" s="32">
        <f t="shared" si="262"/>
        <v>537</v>
      </c>
      <c r="BS66" s="32">
        <f t="shared" si="262"/>
        <v>534</v>
      </c>
      <c r="BT66" s="33">
        <f t="shared" si="262"/>
        <v>608</v>
      </c>
      <c r="BU66" s="34">
        <f t="shared" si="262"/>
        <v>1035</v>
      </c>
      <c r="BV66" s="32">
        <f t="shared" si="262"/>
        <v>1464</v>
      </c>
      <c r="BW66" s="32">
        <f t="shared" ref="BW66" si="263">BW38+BW53+BW63</f>
        <v>3342</v>
      </c>
      <c r="BX66" s="32">
        <f t="shared" si="262"/>
        <v>3982</v>
      </c>
      <c r="BY66" s="32">
        <f t="shared" si="262"/>
        <v>4699.4259148545689</v>
      </c>
      <c r="BZ66" s="32">
        <f t="shared" ref="BZ66:CA66" si="264">BZ38+BZ53+BZ63</f>
        <v>4873.9580304818537</v>
      </c>
      <c r="CA66" s="1410">
        <f t="shared" si="264"/>
        <v>5099.8034153268327</v>
      </c>
      <c r="CB66" s="19"/>
      <c r="CC66" s="34">
        <f t="shared" ref="CC66:CN66" si="265">CC38+CC53+CC63</f>
        <v>459</v>
      </c>
      <c r="CD66" s="34">
        <f t="shared" si="265"/>
        <v>407</v>
      </c>
      <c r="CE66" s="34">
        <f t="shared" si="265"/>
        <v>447</v>
      </c>
      <c r="CF66" s="34">
        <f t="shared" si="265"/>
        <v>418</v>
      </c>
      <c r="CG66" s="34">
        <f t="shared" si="265"/>
        <v>489</v>
      </c>
      <c r="CH66" s="34">
        <f t="shared" si="265"/>
        <v>546</v>
      </c>
      <c r="CI66" s="34">
        <f t="shared" si="265"/>
        <v>548</v>
      </c>
      <c r="CJ66" s="32">
        <f t="shared" si="265"/>
        <v>625</v>
      </c>
      <c r="CK66" s="32">
        <f t="shared" si="265"/>
        <v>1208</v>
      </c>
      <c r="CL66" s="32">
        <f t="shared" si="265"/>
        <v>1485</v>
      </c>
      <c r="CM66" s="32">
        <f t="shared" si="265"/>
        <v>3956</v>
      </c>
      <c r="CN66" s="34">
        <f t="shared" si="265"/>
        <v>4173</v>
      </c>
      <c r="CO66" s="32">
        <f t="shared" ref="CO66" si="266">CO38+CO53+CO63</f>
        <v>4712.3450955575554</v>
      </c>
      <c r="CP66" s="1410">
        <f t="shared" ref="CP66" si="267">CP38+CP53+CP63</f>
        <v>4977.2596567447044</v>
      </c>
      <c r="CQ66" s="7"/>
      <c r="CX66" s="7"/>
    </row>
    <row r="67" spans="1:102" ht="14.25" hidden="1" customHeight="1" outlineLevel="1">
      <c r="A67" s="7"/>
      <c r="B67" s="48"/>
      <c r="C67" s="49"/>
      <c r="D67" s="1017"/>
      <c r="E67" s="1018"/>
      <c r="F67" s="1018"/>
      <c r="G67" s="1018"/>
      <c r="H67" s="1017"/>
      <c r="I67" s="1018"/>
      <c r="J67" s="1018"/>
      <c r="K67" s="1103"/>
      <c r="L67" s="1017"/>
      <c r="M67" s="1018"/>
      <c r="N67" s="1018"/>
      <c r="O67" s="1103"/>
      <c r="P67" s="1018"/>
      <c r="Q67" s="1018"/>
      <c r="R67" s="1018"/>
      <c r="S67" s="1018"/>
      <c r="T67" s="1017"/>
      <c r="U67" s="1018"/>
      <c r="V67" s="37"/>
      <c r="W67" s="1103"/>
      <c r="X67" s="1018"/>
      <c r="Y67" s="1018"/>
      <c r="Z67" s="1018"/>
      <c r="AA67" s="1018"/>
      <c r="AB67" s="1017"/>
      <c r="AC67" s="1018"/>
      <c r="AD67" s="1018"/>
      <c r="AE67" s="1103"/>
      <c r="AF67" s="1018"/>
      <c r="AG67" s="1018"/>
      <c r="AH67" s="1018"/>
      <c r="AI67" s="1018"/>
      <c r="AJ67" s="1017"/>
      <c r="AK67" s="1018"/>
      <c r="AL67" s="757"/>
      <c r="AM67" s="757"/>
      <c r="AN67" s="1017"/>
      <c r="AO67" s="1018"/>
      <c r="AP67" s="757"/>
      <c r="AQ67" s="757"/>
      <c r="AR67" s="1017"/>
      <c r="AS67" s="1018"/>
      <c r="AT67" s="757"/>
      <c r="AU67" s="757"/>
      <c r="AV67" s="1017"/>
      <c r="AW67" s="1018"/>
      <c r="AX67" s="1354"/>
      <c r="AY67" s="1354"/>
      <c r="AZ67" s="1017"/>
      <c r="BA67" s="37"/>
      <c r="BB67" s="37"/>
      <c r="BC67" s="38"/>
      <c r="BD67" s="39"/>
      <c r="BE67" s="37"/>
      <c r="BF67" s="37"/>
      <c r="BG67" s="1411"/>
      <c r="BH67" s="39"/>
      <c r="BI67" s="37"/>
      <c r="BJ67" s="37"/>
      <c r="BK67" s="1411"/>
      <c r="BL67" s="232"/>
      <c r="BM67" s="50"/>
      <c r="BN67" s="40"/>
      <c r="BO67" s="40"/>
      <c r="BP67" s="40"/>
      <c r="BQ67" s="40"/>
      <c r="BR67" s="40"/>
      <c r="BS67" s="40"/>
      <c r="BT67" s="41"/>
      <c r="BU67" s="50"/>
      <c r="BV67" s="40"/>
      <c r="BW67" s="40"/>
      <c r="BX67" s="40"/>
      <c r="BY67" s="40"/>
      <c r="BZ67" s="40"/>
      <c r="CA67" s="1430"/>
      <c r="CB67" s="19"/>
      <c r="CC67" s="50"/>
      <c r="CD67" s="40"/>
      <c r="CE67" s="40"/>
      <c r="CF67" s="40"/>
      <c r="CG67" s="40"/>
      <c r="CH67" s="40"/>
      <c r="CI67" s="50"/>
      <c r="CJ67" s="40"/>
      <c r="CK67" s="40"/>
      <c r="CL67" s="40"/>
      <c r="CM67" s="40"/>
      <c r="CN67" s="50"/>
      <c r="CO67" s="40"/>
      <c r="CP67" s="1430"/>
      <c r="CQ67" s="7"/>
      <c r="CX67" s="7"/>
    </row>
    <row r="68" spans="1:102" ht="14.25" customHeight="1" collapsed="1">
      <c r="A68" s="7"/>
      <c r="B68" s="43" t="s">
        <v>123</v>
      </c>
      <c r="C68" s="44"/>
      <c r="D68" s="45">
        <f t="shared" ref="D68:AI68" si="268">D20-D65</f>
        <v>-75</v>
      </c>
      <c r="E68" s="46">
        <f t="shared" si="268"/>
        <v>-17</v>
      </c>
      <c r="F68" s="46">
        <f t="shared" si="268"/>
        <v>14</v>
      </c>
      <c r="G68" s="46">
        <f t="shared" si="268"/>
        <v>-39</v>
      </c>
      <c r="H68" s="45">
        <f t="shared" si="268"/>
        <v>-11</v>
      </c>
      <c r="I68" s="46">
        <f t="shared" si="268"/>
        <v>27</v>
      </c>
      <c r="J68" s="46">
        <f t="shared" si="268"/>
        <v>-139</v>
      </c>
      <c r="K68" s="47">
        <f t="shared" si="268"/>
        <v>18</v>
      </c>
      <c r="L68" s="45">
        <f t="shared" si="268"/>
        <v>32</v>
      </c>
      <c r="M68" s="46">
        <f t="shared" si="268"/>
        <v>41</v>
      </c>
      <c r="N68" s="46">
        <f t="shared" si="268"/>
        <v>44</v>
      </c>
      <c r="O68" s="47">
        <f t="shared" si="268"/>
        <v>43</v>
      </c>
      <c r="P68" s="46">
        <f t="shared" si="268"/>
        <v>30</v>
      </c>
      <c r="Q68" s="46">
        <f t="shared" si="268"/>
        <v>-11</v>
      </c>
      <c r="R68" s="46">
        <f t="shared" si="268"/>
        <v>24</v>
      </c>
      <c r="S68" s="46">
        <f t="shared" si="268"/>
        <v>5</v>
      </c>
      <c r="T68" s="45">
        <f t="shared" si="268"/>
        <v>78</v>
      </c>
      <c r="U68" s="46">
        <f t="shared" si="268"/>
        <v>108</v>
      </c>
      <c r="V68" s="46">
        <f t="shared" si="268"/>
        <v>135</v>
      </c>
      <c r="W68" s="47">
        <f t="shared" si="268"/>
        <v>145</v>
      </c>
      <c r="X68" s="46">
        <f t="shared" si="268"/>
        <v>142</v>
      </c>
      <c r="Y68" s="46">
        <f t="shared" si="268"/>
        <v>138</v>
      </c>
      <c r="Z68" s="46">
        <f t="shared" si="268"/>
        <v>145</v>
      </c>
      <c r="AA68" s="46">
        <f t="shared" si="268"/>
        <v>159</v>
      </c>
      <c r="AB68" s="45">
        <f t="shared" si="268"/>
        <v>132</v>
      </c>
      <c r="AC68" s="46">
        <f t="shared" si="268"/>
        <v>137</v>
      </c>
      <c r="AD68" s="46">
        <f t="shared" si="268"/>
        <v>149</v>
      </c>
      <c r="AE68" s="47">
        <f t="shared" si="268"/>
        <v>164</v>
      </c>
      <c r="AF68" s="46">
        <f t="shared" si="268"/>
        <v>124</v>
      </c>
      <c r="AG68" s="46">
        <f t="shared" si="268"/>
        <v>118</v>
      </c>
      <c r="AH68" s="46">
        <f t="shared" si="268"/>
        <v>140</v>
      </c>
      <c r="AI68" s="46">
        <f t="shared" si="268"/>
        <v>170</v>
      </c>
      <c r="AJ68" s="45">
        <f t="shared" ref="AJ68:BC68" si="269">AJ20-AJ65</f>
        <v>139</v>
      </c>
      <c r="AK68" s="46">
        <f t="shared" si="269"/>
        <v>160</v>
      </c>
      <c r="AL68" s="46">
        <f t="shared" si="269"/>
        <v>-162</v>
      </c>
      <c r="AM68" s="46">
        <f t="shared" si="269"/>
        <v>301</v>
      </c>
      <c r="AN68" s="45">
        <f t="shared" si="269"/>
        <v>401</v>
      </c>
      <c r="AO68" s="46">
        <f t="shared" si="269"/>
        <v>418</v>
      </c>
      <c r="AP68" s="46">
        <f t="shared" si="269"/>
        <v>299</v>
      </c>
      <c r="AQ68" s="46">
        <f t="shared" si="269"/>
        <v>514</v>
      </c>
      <c r="AR68" s="45">
        <f>AR20-AR65</f>
        <v>475</v>
      </c>
      <c r="AS68" s="46">
        <f t="shared" ref="AS68:AU68" si="270">AS20-AS65</f>
        <v>-1001</v>
      </c>
      <c r="AT68" s="46">
        <f t="shared" si="270"/>
        <v>-264</v>
      </c>
      <c r="AU68" s="46">
        <f t="shared" si="270"/>
        <v>381</v>
      </c>
      <c r="AV68" s="45">
        <f>AV20-AV65</f>
        <v>506</v>
      </c>
      <c r="AW68" s="46">
        <f t="shared" ref="AW68:AY68" si="271">AW20-AW65</f>
        <v>474</v>
      </c>
      <c r="AX68" s="46">
        <f t="shared" si="271"/>
        <v>648</v>
      </c>
      <c r="AY68" s="46">
        <f t="shared" si="271"/>
        <v>865</v>
      </c>
      <c r="AZ68" s="45">
        <f>AZ20-AZ65</f>
        <v>943</v>
      </c>
      <c r="BA68" s="46">
        <f t="shared" si="269"/>
        <v>2113.5944684381452</v>
      </c>
      <c r="BB68" s="46">
        <f t="shared" si="269"/>
        <v>2196.0608700764133</v>
      </c>
      <c r="BC68" s="47">
        <f t="shared" si="269"/>
        <v>2390.3534685918726</v>
      </c>
      <c r="BD68" s="45">
        <f t="shared" ref="BD68:BG68" si="272">BD20-BD65</f>
        <v>2266.7652580186846</v>
      </c>
      <c r="BE68" s="46">
        <f t="shared" si="272"/>
        <v>2194.363599824811</v>
      </c>
      <c r="BF68" s="46">
        <f t="shared" si="272"/>
        <v>2378.4111434505494</v>
      </c>
      <c r="BG68" s="1412">
        <f t="shared" si="272"/>
        <v>2681.3871184223876</v>
      </c>
      <c r="BH68" s="45">
        <f t="shared" ref="BH68:BK68" si="273">BH20-BH65</f>
        <v>2547.1965755790206</v>
      </c>
      <c r="BI68" s="46">
        <f t="shared" si="273"/>
        <v>2383.0891608817324</v>
      </c>
      <c r="BJ68" s="46">
        <f t="shared" si="273"/>
        <v>2507.5140403649775</v>
      </c>
      <c r="BK68" s="1412">
        <f t="shared" si="273"/>
        <v>2696.7195847637176</v>
      </c>
      <c r="BL68" s="232"/>
      <c r="BM68" s="45">
        <f t="shared" ref="BM68:BY68" si="274">BM20-BM65</f>
        <v>-117</v>
      </c>
      <c r="BN68" s="46">
        <f t="shared" si="274"/>
        <v>-105</v>
      </c>
      <c r="BO68" s="46">
        <f t="shared" si="274"/>
        <v>160</v>
      </c>
      <c r="BP68" s="46">
        <f t="shared" si="274"/>
        <v>48</v>
      </c>
      <c r="BQ68" s="46">
        <f t="shared" si="274"/>
        <v>466</v>
      </c>
      <c r="BR68" s="46">
        <f t="shared" si="274"/>
        <v>584</v>
      </c>
      <c r="BS68" s="46">
        <f t="shared" si="274"/>
        <v>582</v>
      </c>
      <c r="BT68" s="47">
        <f t="shared" si="274"/>
        <v>552</v>
      </c>
      <c r="BU68" s="45">
        <f t="shared" si="274"/>
        <v>438</v>
      </c>
      <c r="BV68" s="46">
        <f t="shared" si="274"/>
        <v>1632</v>
      </c>
      <c r="BW68" s="46">
        <f t="shared" ref="BW68" si="275">BW20-BW65</f>
        <v>-409</v>
      </c>
      <c r="BX68" s="46">
        <f t="shared" si="274"/>
        <v>2493</v>
      </c>
      <c r="BY68" s="46">
        <f t="shared" si="274"/>
        <v>7643.008807106432</v>
      </c>
      <c r="BZ68" s="46">
        <f t="shared" ref="BZ68:CA68" si="276">BZ20-BZ65</f>
        <v>9520.9271197164326</v>
      </c>
      <c r="CA68" s="1412">
        <f t="shared" si="276"/>
        <v>10134.519361589451</v>
      </c>
      <c r="CB68" s="19"/>
      <c r="CC68" s="45">
        <f t="shared" ref="CC68:CN68" si="277">CC20-CC65</f>
        <v>-53</v>
      </c>
      <c r="CD68" s="46">
        <f t="shared" si="277"/>
        <v>-62</v>
      </c>
      <c r="CE68" s="46">
        <f t="shared" si="277"/>
        <v>158</v>
      </c>
      <c r="CF68" s="46">
        <f t="shared" si="277"/>
        <v>96</v>
      </c>
      <c r="CG68" s="46">
        <f t="shared" si="277"/>
        <v>530</v>
      </c>
      <c r="CH68" s="46">
        <f t="shared" si="277"/>
        <v>574</v>
      </c>
      <c r="CI68" s="45">
        <f t="shared" si="277"/>
        <v>574</v>
      </c>
      <c r="CJ68" s="46">
        <f t="shared" si="277"/>
        <v>567</v>
      </c>
      <c r="CK68" s="46">
        <f t="shared" si="277"/>
        <v>700</v>
      </c>
      <c r="CL68" s="46">
        <f t="shared" si="277"/>
        <v>1706</v>
      </c>
      <c r="CM68" s="46">
        <f t="shared" si="277"/>
        <v>-378</v>
      </c>
      <c r="CN68" s="45">
        <f t="shared" si="277"/>
        <v>2930</v>
      </c>
      <c r="CO68" s="46">
        <f t="shared" ref="CO68" si="278">CO20-CO65</f>
        <v>8966.774065125117</v>
      </c>
      <c r="CP68" s="1412">
        <f t="shared" ref="CP68" si="279">CP20-CP65</f>
        <v>9801.3584372767655</v>
      </c>
      <c r="CQ68" s="7"/>
      <c r="CX68" s="7"/>
    </row>
    <row r="69" spans="1:102" ht="14.25" customHeight="1">
      <c r="A69" s="7"/>
      <c r="B69" s="35" t="s">
        <v>235</v>
      </c>
      <c r="C69" s="36"/>
      <c r="D69" s="1013">
        <f t="shared" ref="D69:AI69" si="280">D68/D8</f>
        <v>-0.21428571428571427</v>
      </c>
      <c r="E69" s="1011">
        <f t="shared" si="280"/>
        <v>-4.6961325966850827E-2</v>
      </c>
      <c r="F69" s="1011">
        <f t="shared" si="280"/>
        <v>3.4313725490196081E-2</v>
      </c>
      <c r="G69" s="1011">
        <f t="shared" si="280"/>
        <v>-9.9236641221374045E-2</v>
      </c>
      <c r="H69" s="1013">
        <f t="shared" si="280"/>
        <v>-2.9333333333333333E-2</v>
      </c>
      <c r="I69" s="1011">
        <f t="shared" si="280"/>
        <v>7.1052631578947367E-2</v>
      </c>
      <c r="J69" s="1011">
        <f t="shared" si="280"/>
        <v>-0.3648293963254593</v>
      </c>
      <c r="K69" s="1012">
        <f t="shared" si="280"/>
        <v>4.6035805626598467E-2</v>
      </c>
      <c r="L69" s="1013">
        <f t="shared" si="280"/>
        <v>7.9601990049751242E-2</v>
      </c>
      <c r="M69" s="1011">
        <f t="shared" si="280"/>
        <v>9.9756690997566913E-2</v>
      </c>
      <c r="N69" s="1011">
        <f t="shared" si="280"/>
        <v>0.10022779043280182</v>
      </c>
      <c r="O69" s="1012">
        <f t="shared" si="280"/>
        <v>9.6196868008948541E-2</v>
      </c>
      <c r="P69" s="1011">
        <f t="shared" si="280"/>
        <v>8.1521739130434784E-2</v>
      </c>
      <c r="Q69" s="1011">
        <f t="shared" si="280"/>
        <v>-3.3846153846153845E-2</v>
      </c>
      <c r="R69" s="1011">
        <f t="shared" si="280"/>
        <v>6.6115702479338845E-2</v>
      </c>
      <c r="S69" s="1011">
        <f t="shared" si="280"/>
        <v>1.1682242990654205E-2</v>
      </c>
      <c r="T69" s="1013">
        <f t="shared" si="280"/>
        <v>0.17105263157894737</v>
      </c>
      <c r="U69" s="1011">
        <f t="shared" si="280"/>
        <v>0.20970873786407768</v>
      </c>
      <c r="V69" s="1011">
        <f t="shared" si="280"/>
        <v>0.24545454545454545</v>
      </c>
      <c r="W69" s="1012">
        <f t="shared" si="280"/>
        <v>0.25349650349650349</v>
      </c>
      <c r="X69" s="1011">
        <f t="shared" si="280"/>
        <v>0.25818181818181818</v>
      </c>
      <c r="Y69" s="1011">
        <f t="shared" si="280"/>
        <v>0.24642857142857144</v>
      </c>
      <c r="Z69" s="1011">
        <f t="shared" si="280"/>
        <v>0.24046434494195687</v>
      </c>
      <c r="AA69" s="1011">
        <f t="shared" si="280"/>
        <v>0.2552166934189406</v>
      </c>
      <c r="AB69" s="1013">
        <f t="shared" si="280"/>
        <v>0.23445825932504441</v>
      </c>
      <c r="AC69" s="1011">
        <f t="shared" si="280"/>
        <v>0.23743500866551126</v>
      </c>
      <c r="AD69" s="1011">
        <f t="shared" si="280"/>
        <v>0.24587458745874588</v>
      </c>
      <c r="AE69" s="1012">
        <f t="shared" si="280"/>
        <v>0.26537216828478966</v>
      </c>
      <c r="AF69" s="1011">
        <f t="shared" si="280"/>
        <v>0.21527777777777779</v>
      </c>
      <c r="AG69" s="1011">
        <f t="shared" si="280"/>
        <v>0.20996441281138789</v>
      </c>
      <c r="AH69" s="1011">
        <f t="shared" si="280"/>
        <v>0.21739130434782608</v>
      </c>
      <c r="AI69" s="1011">
        <f t="shared" si="280"/>
        <v>0.23035230352303523</v>
      </c>
      <c r="AJ69" s="1013">
        <f t="shared" ref="AJ69:BC69" si="281">AJ68/AJ8</f>
        <v>0.19605077574047955</v>
      </c>
      <c r="AK69" s="1011">
        <f t="shared" si="281"/>
        <v>0.22824536376604851</v>
      </c>
      <c r="AL69" s="1011">
        <f t="shared" si="281"/>
        <v>-0.1276595744680851</v>
      </c>
      <c r="AM69" s="1011">
        <f t="shared" si="281"/>
        <v>0.18930817610062894</v>
      </c>
      <c r="AN69" s="1013">
        <f t="shared" si="281"/>
        <v>0.24525993883792049</v>
      </c>
      <c r="AO69" s="1011">
        <f t="shared" si="281"/>
        <v>0.2589838909541512</v>
      </c>
      <c r="AP69" s="1011">
        <f t="shared" si="281"/>
        <v>0.1723342939481268</v>
      </c>
      <c r="AQ69" s="1011">
        <f t="shared" si="281"/>
        <v>0.27934782608695652</v>
      </c>
      <c r="AR69" s="1141">
        <f t="shared" ref="AR69:AU69" si="282">AR68/AR8</f>
        <v>0.26821005081874649</v>
      </c>
      <c r="AS69" s="1142">
        <f t="shared" si="282"/>
        <v>-0.28268850607173113</v>
      </c>
      <c r="AT69" s="1142">
        <f t="shared" si="282"/>
        <v>-6.9620253164556958E-2</v>
      </c>
      <c r="AU69" s="1142">
        <f t="shared" si="282"/>
        <v>9.2117988394584141E-2</v>
      </c>
      <c r="AV69" s="1227">
        <f t="shared" ref="AV69:AY69" si="283">AV68/AV8</f>
        <v>0.1222517516308287</v>
      </c>
      <c r="AW69" s="1228">
        <f t="shared" si="283"/>
        <v>0.11312649164677804</v>
      </c>
      <c r="AX69" s="1307">
        <f t="shared" si="283"/>
        <v>0.14519381581895585</v>
      </c>
      <c r="AY69" s="1365">
        <f t="shared" si="283"/>
        <v>0.17857142857142858</v>
      </c>
      <c r="AZ69" s="1364">
        <f t="shared" ref="AZ69" si="284">AZ68/AZ8</f>
        <v>0.1770227144734372</v>
      </c>
      <c r="BA69" s="1365">
        <f t="shared" si="281"/>
        <v>0.42178758669620375</v>
      </c>
      <c r="BB69" s="1365">
        <f t="shared" si="281"/>
        <v>0.42132537000760562</v>
      </c>
      <c r="BC69" s="1366">
        <f t="shared" si="281"/>
        <v>0.42816668566340255</v>
      </c>
      <c r="BD69" s="1364">
        <f t="shared" ref="BD69:BG69" si="285">BD68/BD8</f>
        <v>0.42518615641241608</v>
      </c>
      <c r="BE69" s="1365">
        <f t="shared" si="285"/>
        <v>0.42376728527892349</v>
      </c>
      <c r="BF69" s="1365">
        <f t="shared" si="285"/>
        <v>0.42875690488569934</v>
      </c>
      <c r="BG69" s="1405">
        <f t="shared" si="285"/>
        <v>0.43404670011480551</v>
      </c>
      <c r="BH69" s="1364">
        <f t="shared" ref="BH69:BK69" si="286">BH68/BH8</f>
        <v>0.43155809226476893</v>
      </c>
      <c r="BI69" s="1365">
        <f t="shared" si="286"/>
        <v>0.42658173052918136</v>
      </c>
      <c r="BJ69" s="1365">
        <f t="shared" si="286"/>
        <v>0.43134311268323833</v>
      </c>
      <c r="BK69" s="1405">
        <f t="shared" si="286"/>
        <v>0.43619898723827133</v>
      </c>
      <c r="BL69" s="232"/>
      <c r="BM69" s="1013">
        <f t="shared" ref="BM69:BY69" si="287">BM68/BM8</f>
        <v>-7.7329808327825517E-2</v>
      </c>
      <c r="BN69" s="1011">
        <f t="shared" si="287"/>
        <v>-6.8762278978389005E-2</v>
      </c>
      <c r="BO69" s="1011">
        <f t="shared" si="287"/>
        <v>9.4173042966450848E-2</v>
      </c>
      <c r="BP69" s="1011">
        <f t="shared" si="287"/>
        <v>3.2345013477088951E-2</v>
      </c>
      <c r="BQ69" s="1011">
        <f t="shared" si="287"/>
        <v>0.22264691829909222</v>
      </c>
      <c r="BR69" s="1011">
        <f t="shared" si="287"/>
        <v>0.25</v>
      </c>
      <c r="BS69" s="1011">
        <f t="shared" si="287"/>
        <v>0.24619289340101522</v>
      </c>
      <c r="BT69" s="1012">
        <f t="shared" si="287"/>
        <v>0.21904761904761905</v>
      </c>
      <c r="BU69" s="1364">
        <f t="shared" si="287"/>
        <v>0.10260014054813774</v>
      </c>
      <c r="BV69" s="1365">
        <f t="shared" si="287"/>
        <v>0.2391559202813599</v>
      </c>
      <c r="BW69" s="1365">
        <f t="shared" ref="BW69" si="288">BW68/BW8</f>
        <v>-3.0891238670694866E-2</v>
      </c>
      <c r="BX69" s="1365">
        <f t="shared" si="287"/>
        <v>0.14135858471308688</v>
      </c>
      <c r="BY69" s="1365">
        <f t="shared" si="287"/>
        <v>0.36166103890327767</v>
      </c>
      <c r="BZ69" s="1365">
        <f t="shared" ref="BZ69:CA69" si="289">BZ68/BZ8</f>
        <v>0.42820841144511823</v>
      </c>
      <c r="CA69" s="1405">
        <f t="shared" si="289"/>
        <v>0.43154282291820439</v>
      </c>
      <c r="CB69" s="19"/>
      <c r="CC69" s="1013">
        <f t="shared" ref="CC69:CN69" si="290">CC68/CC8</f>
        <v>-3.4460338101430427E-2</v>
      </c>
      <c r="CD69" s="1011">
        <f t="shared" si="290"/>
        <v>-3.9897039897039896E-2</v>
      </c>
      <c r="CE69" s="1011">
        <f t="shared" si="290"/>
        <v>9.4894894894894902E-2</v>
      </c>
      <c r="CF69" s="1011">
        <f t="shared" si="290"/>
        <v>6.1068702290076333E-2</v>
      </c>
      <c r="CG69" s="1011">
        <f t="shared" si="290"/>
        <v>0.24234110653863741</v>
      </c>
      <c r="CH69" s="1011">
        <f t="shared" si="290"/>
        <v>0.2443593018305662</v>
      </c>
      <c r="CI69" s="1141">
        <f t="shared" si="290"/>
        <v>0.24148085822465293</v>
      </c>
      <c r="CJ69" s="1142">
        <f t="shared" si="290"/>
        <v>0.21372031662269128</v>
      </c>
      <c r="CK69" s="1142">
        <f t="shared" si="290"/>
        <v>0.13474494706448509</v>
      </c>
      <c r="CL69" s="1142">
        <f t="shared" si="290"/>
        <v>0.24511494252873564</v>
      </c>
      <c r="CM69" s="1142">
        <f t="shared" si="290"/>
        <v>-2.4218349564325985E-2</v>
      </c>
      <c r="CN69" s="1364">
        <f t="shared" si="290"/>
        <v>0.15565235869103272</v>
      </c>
      <c r="CO69" s="1365">
        <f t="shared" ref="CO69" si="291">CO68/CO8</f>
        <v>0.42421563366691289</v>
      </c>
      <c r="CP69" s="1405">
        <f t="shared" ref="CP69" si="292">CP68/CP8</f>
        <v>0.42978186355880055</v>
      </c>
      <c r="CQ69" s="7"/>
      <c r="CX69" s="7"/>
    </row>
    <row r="70" spans="1:102" ht="14.25" customHeight="1" outlineLevel="1">
      <c r="A70" s="7"/>
      <c r="B70" s="35"/>
      <c r="C70" s="36"/>
      <c r="D70" s="1013"/>
      <c r="E70" s="1011"/>
      <c r="F70" s="1011"/>
      <c r="G70" s="1011"/>
      <c r="H70" s="1013"/>
      <c r="I70" s="1011"/>
      <c r="J70" s="1011"/>
      <c r="K70" s="1012"/>
      <c r="L70" s="1013"/>
      <c r="M70" s="1011"/>
      <c r="N70" s="1011"/>
      <c r="O70" s="1012"/>
      <c r="P70" s="1011"/>
      <c r="Q70" s="1011"/>
      <c r="R70" s="1011"/>
      <c r="S70" s="1011"/>
      <c r="T70" s="1013"/>
      <c r="U70" s="1011"/>
      <c r="V70" s="1011"/>
      <c r="W70" s="1012"/>
      <c r="X70" s="1011"/>
      <c r="Y70" s="1011"/>
      <c r="Z70" s="1011"/>
      <c r="AA70" s="1011"/>
      <c r="AB70" s="1013"/>
      <c r="AC70" s="1011"/>
      <c r="AD70" s="1011"/>
      <c r="AE70" s="1012"/>
      <c r="AF70" s="1011"/>
      <c r="AG70" s="1011"/>
      <c r="AH70" s="1011"/>
      <c r="AI70" s="1011"/>
      <c r="AJ70" s="1013"/>
      <c r="AK70" s="1011"/>
      <c r="AL70" s="1011"/>
      <c r="AM70" s="1011"/>
      <c r="AN70" s="1013"/>
      <c r="AO70" s="1011"/>
      <c r="AP70" s="1011"/>
      <c r="AQ70" s="1113"/>
      <c r="AR70" s="1141"/>
      <c r="AS70" s="1142"/>
      <c r="AT70" s="1142"/>
      <c r="AU70" s="1113"/>
      <c r="AV70" s="1227"/>
      <c r="AW70" s="1228"/>
      <c r="AX70" s="1307"/>
      <c r="AY70" s="1113"/>
      <c r="AZ70" s="1364"/>
      <c r="BA70" s="1365"/>
      <c r="BB70" s="1365"/>
      <c r="BC70" s="1366"/>
      <c r="BD70" s="1364"/>
      <c r="BE70" s="1365"/>
      <c r="BF70" s="1365"/>
      <c r="BG70" s="1405"/>
      <c r="BH70" s="1364"/>
      <c r="BI70" s="1365"/>
      <c r="BJ70" s="1365"/>
      <c r="BK70" s="1405"/>
      <c r="BL70" s="232"/>
      <c r="BM70" s="1013"/>
      <c r="BN70" s="1011"/>
      <c r="BO70" s="1011"/>
      <c r="BP70" s="1011"/>
      <c r="BQ70" s="1011"/>
      <c r="BR70" s="1011"/>
      <c r="BS70" s="1011"/>
      <c r="BT70" s="1012"/>
      <c r="BU70" s="1364"/>
      <c r="BV70" s="1365"/>
      <c r="BW70" s="1365"/>
      <c r="BX70" s="1365"/>
      <c r="BY70" s="1365"/>
      <c r="BZ70" s="1365"/>
      <c r="CA70" s="1405"/>
      <c r="CB70" s="19"/>
      <c r="CC70" s="1013"/>
      <c r="CD70" s="1011"/>
      <c r="CE70" s="1011"/>
      <c r="CF70" s="1011"/>
      <c r="CG70" s="1011"/>
      <c r="CH70" s="1011"/>
      <c r="CI70" s="1141"/>
      <c r="CJ70" s="1142"/>
      <c r="CK70" s="1142"/>
      <c r="CL70" s="1142"/>
      <c r="CM70" s="1142"/>
      <c r="CN70" s="1364"/>
      <c r="CO70" s="1365"/>
      <c r="CP70" s="1405"/>
      <c r="CQ70" s="7"/>
      <c r="CX70" s="7"/>
    </row>
    <row r="71" spans="1:102" ht="14.25" customHeight="1" outlineLevel="1">
      <c r="A71" s="7"/>
      <c r="B71" s="43" t="s">
        <v>364</v>
      </c>
      <c r="C71" s="44"/>
      <c r="D71" s="45">
        <f t="shared" ref="D71:AI71" si="293">D23-D66</f>
        <v>-50</v>
      </c>
      <c r="E71" s="46">
        <f t="shared" si="293"/>
        <v>20</v>
      </c>
      <c r="F71" s="46">
        <f t="shared" si="293"/>
        <v>44</v>
      </c>
      <c r="G71" s="46">
        <f t="shared" si="293"/>
        <v>7</v>
      </c>
      <c r="H71" s="45">
        <f t="shared" si="293"/>
        <v>33</v>
      </c>
      <c r="I71" s="46">
        <f t="shared" si="293"/>
        <v>53</v>
      </c>
      <c r="J71" s="46">
        <f t="shared" si="293"/>
        <v>53</v>
      </c>
      <c r="K71" s="47">
        <f t="shared" si="293"/>
        <v>54</v>
      </c>
      <c r="L71" s="45">
        <f t="shared" si="293"/>
        <v>56</v>
      </c>
      <c r="M71" s="46">
        <f t="shared" si="293"/>
        <v>64</v>
      </c>
      <c r="N71" s="46">
        <f t="shared" si="293"/>
        <v>70</v>
      </c>
      <c r="O71" s="47">
        <f t="shared" si="293"/>
        <v>67</v>
      </c>
      <c r="P71" s="46">
        <f t="shared" si="293"/>
        <v>62</v>
      </c>
      <c r="Q71" s="46">
        <f t="shared" si="293"/>
        <v>14</v>
      </c>
      <c r="R71" s="46">
        <f t="shared" si="293"/>
        <v>59</v>
      </c>
      <c r="S71" s="46">
        <f t="shared" si="293"/>
        <v>84</v>
      </c>
      <c r="T71" s="45">
        <f t="shared" si="293"/>
        <v>99</v>
      </c>
      <c r="U71" s="46">
        <f t="shared" si="293"/>
        <v>129</v>
      </c>
      <c r="V71" s="46">
        <f t="shared" si="293"/>
        <v>157</v>
      </c>
      <c r="W71" s="47">
        <f t="shared" si="293"/>
        <v>164</v>
      </c>
      <c r="X71" s="46">
        <f t="shared" si="293"/>
        <v>162</v>
      </c>
      <c r="Y71" s="46">
        <f t="shared" si="293"/>
        <v>158</v>
      </c>
      <c r="Z71" s="46">
        <f t="shared" si="293"/>
        <v>166</v>
      </c>
      <c r="AA71" s="46">
        <f t="shared" si="293"/>
        <v>180</v>
      </c>
      <c r="AB71" s="45">
        <f t="shared" si="293"/>
        <v>152</v>
      </c>
      <c r="AC71" s="46">
        <f t="shared" si="293"/>
        <v>158</v>
      </c>
      <c r="AD71" s="46">
        <f t="shared" si="293"/>
        <v>171</v>
      </c>
      <c r="AE71" s="47">
        <f t="shared" si="293"/>
        <v>185</v>
      </c>
      <c r="AF71" s="46">
        <f t="shared" si="293"/>
        <v>144</v>
      </c>
      <c r="AG71" s="46">
        <f t="shared" si="293"/>
        <v>141</v>
      </c>
      <c r="AH71" s="46">
        <f t="shared" si="293"/>
        <v>171</v>
      </c>
      <c r="AI71" s="46">
        <f t="shared" si="293"/>
        <v>207</v>
      </c>
      <c r="AJ71" s="45">
        <f t="shared" ref="AJ71:BC71" si="294">AJ23-AJ66</f>
        <v>200</v>
      </c>
      <c r="AK71" s="46">
        <f t="shared" si="294"/>
        <v>203</v>
      </c>
      <c r="AL71" s="46">
        <f t="shared" si="294"/>
        <v>378</v>
      </c>
      <c r="AM71" s="46">
        <f t="shared" si="294"/>
        <v>587</v>
      </c>
      <c r="AN71" s="45">
        <f t="shared" si="294"/>
        <v>632</v>
      </c>
      <c r="AO71" s="46">
        <f t="shared" si="294"/>
        <v>644</v>
      </c>
      <c r="AP71" s="46">
        <f t="shared" si="294"/>
        <v>670</v>
      </c>
      <c r="AQ71" s="46">
        <f t="shared" si="294"/>
        <v>748</v>
      </c>
      <c r="AR71" s="45">
        <f t="shared" ref="AR71:AU71" si="295">AR23-AR66</f>
        <v>726</v>
      </c>
      <c r="AS71" s="46">
        <f t="shared" si="295"/>
        <v>1143</v>
      </c>
      <c r="AT71" s="46">
        <f t="shared" si="295"/>
        <v>1276</v>
      </c>
      <c r="AU71" s="46">
        <f t="shared" si="295"/>
        <v>1511</v>
      </c>
      <c r="AV71" s="45">
        <f t="shared" ref="AV71:AY71" si="296">AV23-AV66</f>
        <v>1605</v>
      </c>
      <c r="AW71" s="46">
        <f t="shared" si="296"/>
        <v>1637</v>
      </c>
      <c r="AX71" s="46">
        <f t="shared" si="296"/>
        <v>1808</v>
      </c>
      <c r="AY71" s="46">
        <f t="shared" si="296"/>
        <v>2041</v>
      </c>
      <c r="AZ71" s="45">
        <f t="shared" ref="AZ71" si="297">AZ23-AZ66</f>
        <v>2272</v>
      </c>
      <c r="BA71" s="46">
        <f t="shared" si="294"/>
        <v>2113.5944684381452</v>
      </c>
      <c r="BB71" s="46">
        <f t="shared" si="294"/>
        <v>2196.0608700764133</v>
      </c>
      <c r="BC71" s="47">
        <f t="shared" si="294"/>
        <v>2390.3534685918726</v>
      </c>
      <c r="BD71" s="45">
        <f t="shared" ref="BD71:BG71" si="298">BD23-BD66</f>
        <v>2266.7652580186846</v>
      </c>
      <c r="BE71" s="46">
        <f t="shared" si="298"/>
        <v>2194.363599824811</v>
      </c>
      <c r="BF71" s="46">
        <f t="shared" si="298"/>
        <v>2378.4111434505494</v>
      </c>
      <c r="BG71" s="1412">
        <f t="shared" si="298"/>
        <v>2681.3871184223876</v>
      </c>
      <c r="BH71" s="45">
        <f t="shared" ref="BH71:BK71" si="299">BH23-BH66</f>
        <v>2547.1965755790206</v>
      </c>
      <c r="BI71" s="46">
        <f t="shared" si="299"/>
        <v>2383.0891608817324</v>
      </c>
      <c r="BJ71" s="46">
        <f t="shared" si="299"/>
        <v>2507.5140403649775</v>
      </c>
      <c r="BK71" s="1412">
        <f t="shared" si="299"/>
        <v>2696.7195847637176</v>
      </c>
      <c r="BL71" s="232"/>
      <c r="BM71" s="45">
        <f t="shared" ref="BM71:BY71" si="300">BM23-BM66</f>
        <v>21</v>
      </c>
      <c r="BN71" s="46">
        <f t="shared" si="300"/>
        <v>193</v>
      </c>
      <c r="BO71" s="46">
        <f t="shared" si="300"/>
        <v>257</v>
      </c>
      <c r="BP71" s="46">
        <f t="shared" si="300"/>
        <v>219</v>
      </c>
      <c r="BQ71" s="46">
        <f t="shared" si="300"/>
        <v>549</v>
      </c>
      <c r="BR71" s="46">
        <f t="shared" si="300"/>
        <v>666</v>
      </c>
      <c r="BS71" s="46">
        <f t="shared" si="300"/>
        <v>666</v>
      </c>
      <c r="BT71" s="47">
        <f t="shared" si="300"/>
        <v>663</v>
      </c>
      <c r="BU71" s="45">
        <f t="shared" si="300"/>
        <v>1368</v>
      </c>
      <c r="BV71" s="46">
        <f t="shared" si="300"/>
        <v>2694</v>
      </c>
      <c r="BW71" s="46">
        <f t="shared" ref="BW71" si="301">BW23-BW66</f>
        <v>4656</v>
      </c>
      <c r="BX71" s="46">
        <f t="shared" si="300"/>
        <v>7091</v>
      </c>
      <c r="BY71" s="46">
        <f t="shared" si="300"/>
        <v>8972.008807106431</v>
      </c>
      <c r="BZ71" s="46">
        <f t="shared" ref="BZ71:CA71" si="302">BZ23-BZ66</f>
        <v>9520.9271197164326</v>
      </c>
      <c r="CA71" s="1412">
        <f t="shared" si="302"/>
        <v>10134.519361589451</v>
      </c>
      <c r="CB71" s="19"/>
      <c r="CC71" s="45">
        <f t="shared" ref="CC71:CN71" si="303">CC23-CC66</f>
        <v>104</v>
      </c>
      <c r="CD71" s="46">
        <f t="shared" si="303"/>
        <v>216</v>
      </c>
      <c r="CE71" s="46">
        <f t="shared" si="303"/>
        <v>263</v>
      </c>
      <c r="CF71" s="46">
        <f t="shared" si="303"/>
        <v>256</v>
      </c>
      <c r="CG71" s="46">
        <f t="shared" si="303"/>
        <v>612</v>
      </c>
      <c r="CH71" s="46">
        <f t="shared" si="303"/>
        <v>656</v>
      </c>
      <c r="CI71" s="45">
        <f t="shared" si="303"/>
        <v>658</v>
      </c>
      <c r="CJ71" s="46">
        <f t="shared" si="303"/>
        <v>719</v>
      </c>
      <c r="CK71" s="46">
        <f t="shared" si="303"/>
        <v>1800</v>
      </c>
      <c r="CL71" s="46">
        <f t="shared" si="303"/>
        <v>2788</v>
      </c>
      <c r="CM71" s="46">
        <f t="shared" si="303"/>
        <v>5535</v>
      </c>
      <c r="CN71" s="45">
        <f t="shared" si="303"/>
        <v>7758</v>
      </c>
      <c r="CO71" s="46">
        <f t="shared" ref="CO71" si="304">CO23-CO66</f>
        <v>8966.774065125117</v>
      </c>
      <c r="CP71" s="1412">
        <f t="shared" ref="CP71" si="305">CP23-CP66</f>
        <v>9801.3584372767655</v>
      </c>
      <c r="CQ71" s="7"/>
      <c r="CX71" s="7"/>
    </row>
    <row r="72" spans="1:102" ht="14.25" customHeight="1" outlineLevel="1">
      <c r="A72" s="7"/>
      <c r="B72" s="35" t="s">
        <v>365</v>
      </c>
      <c r="C72" s="36"/>
      <c r="D72" s="1013">
        <f t="shared" ref="D72:AK72" si="306">D71/D$8</f>
        <v>-0.14285714285714285</v>
      </c>
      <c r="E72" s="1011">
        <f t="shared" si="306"/>
        <v>5.5248618784530384E-2</v>
      </c>
      <c r="F72" s="1011">
        <f t="shared" si="306"/>
        <v>0.10784313725490197</v>
      </c>
      <c r="G72" s="1011">
        <f t="shared" si="306"/>
        <v>1.7811704834605598E-2</v>
      </c>
      <c r="H72" s="1013">
        <f t="shared" si="306"/>
        <v>8.7999999999999995E-2</v>
      </c>
      <c r="I72" s="1011">
        <f t="shared" si="306"/>
        <v>0.13947368421052631</v>
      </c>
      <c r="J72" s="1011">
        <f t="shared" si="306"/>
        <v>0.13910761154855644</v>
      </c>
      <c r="K72" s="1012">
        <f t="shared" si="306"/>
        <v>0.13810741687979539</v>
      </c>
      <c r="L72" s="1013">
        <f t="shared" si="306"/>
        <v>0.13930348258706468</v>
      </c>
      <c r="M72" s="1011">
        <f t="shared" si="306"/>
        <v>0.15571776155717762</v>
      </c>
      <c r="N72" s="1011">
        <f t="shared" si="306"/>
        <v>0.15945330296127563</v>
      </c>
      <c r="O72" s="1012">
        <f t="shared" si="306"/>
        <v>0.14988814317673377</v>
      </c>
      <c r="P72" s="1011">
        <f t="shared" si="306"/>
        <v>0.16847826086956522</v>
      </c>
      <c r="Q72" s="1011">
        <f t="shared" si="306"/>
        <v>4.3076923076923075E-2</v>
      </c>
      <c r="R72" s="1011">
        <f t="shared" si="306"/>
        <v>0.16253443526170799</v>
      </c>
      <c r="S72" s="1011">
        <f t="shared" si="306"/>
        <v>0.19626168224299065</v>
      </c>
      <c r="T72" s="1013">
        <f t="shared" si="306"/>
        <v>0.21710526315789475</v>
      </c>
      <c r="U72" s="1011">
        <f t="shared" si="306"/>
        <v>0.25048543689320391</v>
      </c>
      <c r="V72" s="1011">
        <f t="shared" si="306"/>
        <v>0.28545454545454546</v>
      </c>
      <c r="W72" s="1012">
        <f t="shared" si="306"/>
        <v>0.28671328671328672</v>
      </c>
      <c r="X72" s="1011">
        <f t="shared" si="306"/>
        <v>0.29454545454545455</v>
      </c>
      <c r="Y72" s="1011">
        <f t="shared" si="306"/>
        <v>0.28214285714285714</v>
      </c>
      <c r="Z72" s="1011">
        <f t="shared" si="306"/>
        <v>0.27529021558872308</v>
      </c>
      <c r="AA72" s="1011">
        <f t="shared" si="306"/>
        <v>0.28892455858747995</v>
      </c>
      <c r="AB72" s="1013">
        <f t="shared" si="306"/>
        <v>0.26998223801065718</v>
      </c>
      <c r="AC72" s="1011">
        <f t="shared" si="306"/>
        <v>0.27383015597920279</v>
      </c>
      <c r="AD72" s="1011">
        <f t="shared" si="306"/>
        <v>0.28217821782178215</v>
      </c>
      <c r="AE72" s="1012">
        <f t="shared" si="306"/>
        <v>0.29935275080906149</v>
      </c>
      <c r="AF72" s="1011">
        <f t="shared" si="306"/>
        <v>0.25</v>
      </c>
      <c r="AG72" s="1011">
        <f t="shared" si="306"/>
        <v>0.25088967971530252</v>
      </c>
      <c r="AH72" s="1011">
        <f t="shared" si="306"/>
        <v>0.26552795031055898</v>
      </c>
      <c r="AI72" s="1011">
        <f t="shared" si="306"/>
        <v>0.28048780487804881</v>
      </c>
      <c r="AJ72" s="1013">
        <f t="shared" si="306"/>
        <v>0.28208744710860367</v>
      </c>
      <c r="AK72" s="1011">
        <f t="shared" si="306"/>
        <v>0.28958630527817403</v>
      </c>
      <c r="AL72" s="1011">
        <f>AL71/AL$8</f>
        <v>0.2978723404255319</v>
      </c>
      <c r="AM72" s="1011">
        <f>AM71/AM$8</f>
        <v>0.36918238993710689</v>
      </c>
      <c r="AN72" s="1013">
        <f>AN71/AN$8</f>
        <v>0.38654434250764524</v>
      </c>
      <c r="AO72" s="1011">
        <f t="shared" ref="AO72:BC72" si="307">AO71/AO$8</f>
        <v>0.39900867410161089</v>
      </c>
      <c r="AP72" s="1011">
        <f>AP71/AP$8</f>
        <v>0.3861671469740634</v>
      </c>
      <c r="AQ72" s="1011">
        <f>AQ71/AQ$8</f>
        <v>0.40652173913043477</v>
      </c>
      <c r="AR72" s="1141">
        <f>AR71/AR$8</f>
        <v>0.40993788819875776</v>
      </c>
      <c r="AS72" s="1142">
        <f t="shared" ref="AS72" si="308">AS71/AS$8</f>
        <v>0.322790172267721</v>
      </c>
      <c r="AT72" s="1142">
        <f>AT71/AT$8</f>
        <v>0.33649789029535865</v>
      </c>
      <c r="AU72" s="1142">
        <f>AU71/AU$8</f>
        <v>0.36532882011605416</v>
      </c>
      <c r="AV72" s="1227">
        <f>AV71/AV$8</f>
        <v>0.38777482483691711</v>
      </c>
      <c r="AW72" s="1228">
        <f t="shared" ref="AW72" si="309">AW71/AW$8</f>
        <v>0.39069212410501192</v>
      </c>
      <c r="AX72" s="1307">
        <f>AX71/AX$8</f>
        <v>0.40510867129733363</v>
      </c>
      <c r="AY72" s="1365">
        <f>AY71/AY$8</f>
        <v>0.42134599504541703</v>
      </c>
      <c r="AZ72" s="1364">
        <f>AZ71/AZ$8</f>
        <v>0.42650647644077344</v>
      </c>
      <c r="BA72" s="1365">
        <f t="shared" si="307"/>
        <v>0.42178758669620375</v>
      </c>
      <c r="BB72" s="1365">
        <f t="shared" si="307"/>
        <v>0.42132537000760562</v>
      </c>
      <c r="BC72" s="1366">
        <f t="shared" si="307"/>
        <v>0.42816668566340255</v>
      </c>
      <c r="BD72" s="1364">
        <f t="shared" ref="BD72:BG72" si="310">BD71/BD$8</f>
        <v>0.42518615641241608</v>
      </c>
      <c r="BE72" s="1365">
        <f t="shared" si="310"/>
        <v>0.42376728527892349</v>
      </c>
      <c r="BF72" s="1365">
        <f t="shared" si="310"/>
        <v>0.42875690488569934</v>
      </c>
      <c r="BG72" s="1405">
        <f t="shared" si="310"/>
        <v>0.43404670011480551</v>
      </c>
      <c r="BH72" s="1364">
        <f t="shared" ref="BH72:BK72" si="311">BH71/BH$8</f>
        <v>0.43155809226476893</v>
      </c>
      <c r="BI72" s="1365">
        <f t="shared" si="311"/>
        <v>0.42658173052918136</v>
      </c>
      <c r="BJ72" s="1365">
        <f t="shared" si="311"/>
        <v>0.43134311268323833</v>
      </c>
      <c r="BK72" s="1405">
        <f t="shared" si="311"/>
        <v>0.43619898723827133</v>
      </c>
      <c r="BL72" s="232"/>
      <c r="BM72" s="1013">
        <f t="shared" ref="BM72:BV72" si="312">BM71/BM$8</f>
        <v>1.3879709187045605E-2</v>
      </c>
      <c r="BN72" s="1011">
        <f t="shared" si="312"/>
        <v>0.12639161755075312</v>
      </c>
      <c r="BO72" s="1011">
        <f t="shared" si="312"/>
        <v>0.15126545026486168</v>
      </c>
      <c r="BP72" s="1011">
        <f t="shared" si="312"/>
        <v>0.14757412398921832</v>
      </c>
      <c r="BQ72" s="1011">
        <f t="shared" si="312"/>
        <v>0.26230291447682752</v>
      </c>
      <c r="BR72" s="1011">
        <f t="shared" si="312"/>
        <v>0.2851027397260274</v>
      </c>
      <c r="BS72" s="1011">
        <f t="shared" si="312"/>
        <v>0.28172588832487311</v>
      </c>
      <c r="BT72" s="1012">
        <f t="shared" si="312"/>
        <v>0.2630952380952381</v>
      </c>
      <c r="BU72" s="1364">
        <f t="shared" si="312"/>
        <v>0.32044975404075898</v>
      </c>
      <c r="BV72" s="1365">
        <f t="shared" si="312"/>
        <v>0.39478311840562719</v>
      </c>
      <c r="BW72" s="1365">
        <f>BW71/BW$8</f>
        <v>0.35166163141993956</v>
      </c>
      <c r="BX72" s="1365">
        <f>BX71/BX$8</f>
        <v>0.40207530052166024</v>
      </c>
      <c r="BY72" s="1365">
        <f>BY71/BY$8</f>
        <v>0.4245482516270877</v>
      </c>
      <c r="BZ72" s="1365">
        <f>BZ71/BZ$8</f>
        <v>0.42820841144511823</v>
      </c>
      <c r="CA72" s="1405">
        <f>CA71/CA$8</f>
        <v>0.43154282291820439</v>
      </c>
      <c r="CB72" s="19"/>
      <c r="CC72" s="1013">
        <f t="shared" ref="CC72:CJ72" si="313">CC71/CC$8</f>
        <v>6.7620286085825751E-2</v>
      </c>
      <c r="CD72" s="1011">
        <f t="shared" si="313"/>
        <v>0.138996138996139</v>
      </c>
      <c r="CE72" s="1011">
        <f t="shared" si="313"/>
        <v>0.15795795795795795</v>
      </c>
      <c r="CF72" s="1011">
        <f t="shared" si="313"/>
        <v>0.16284987277353691</v>
      </c>
      <c r="CG72" s="1011">
        <f t="shared" si="313"/>
        <v>0.27983539094650206</v>
      </c>
      <c r="CH72" s="1011">
        <f t="shared" si="313"/>
        <v>0.27926777352064708</v>
      </c>
      <c r="CI72" s="1141">
        <f t="shared" si="313"/>
        <v>0.27681952040387042</v>
      </c>
      <c r="CJ72" s="1142">
        <f t="shared" si="313"/>
        <v>0.27101394647568788</v>
      </c>
      <c r="CK72" s="1142">
        <f t="shared" ref="CK72:CP72" si="314">CK71/CK$8</f>
        <v>0.34648700673724736</v>
      </c>
      <c r="CL72" s="1142">
        <f t="shared" si="314"/>
        <v>0.40057471264367817</v>
      </c>
      <c r="CM72" s="1142">
        <f t="shared" si="314"/>
        <v>0.35462583290620192</v>
      </c>
      <c r="CN72" s="1364">
        <f t="shared" si="314"/>
        <v>0.41213344666383339</v>
      </c>
      <c r="CO72" s="1365">
        <f t="shared" si="314"/>
        <v>0.42421563366691289</v>
      </c>
      <c r="CP72" s="1405">
        <f t="shared" si="314"/>
        <v>0.42978186355880055</v>
      </c>
      <c r="CQ72" s="7"/>
      <c r="CX72" s="7"/>
    </row>
    <row r="73" spans="1:102" ht="14.25" customHeight="1">
      <c r="A73" s="7"/>
      <c r="B73" s="21"/>
      <c r="C73" s="22"/>
      <c r="D73" s="39"/>
      <c r="E73" s="37"/>
      <c r="F73" s="42"/>
      <c r="G73" s="37"/>
      <c r="H73" s="39"/>
      <c r="I73" s="37"/>
      <c r="J73" s="42"/>
      <c r="K73" s="38"/>
      <c r="L73" s="39"/>
      <c r="M73" s="37"/>
      <c r="N73" s="42"/>
      <c r="O73" s="38"/>
      <c r="P73" s="37"/>
      <c r="Q73" s="37"/>
      <c r="R73" s="42"/>
      <c r="S73" s="37"/>
      <c r="T73" s="39"/>
      <c r="U73" s="37"/>
      <c r="V73" s="37"/>
      <c r="W73" s="38"/>
      <c r="X73" s="37"/>
      <c r="Y73" s="37"/>
      <c r="Z73" s="37"/>
      <c r="AA73" s="37"/>
      <c r="AB73" s="39"/>
      <c r="AC73" s="37"/>
      <c r="AD73" s="37"/>
      <c r="AE73" s="38"/>
      <c r="AF73" s="37"/>
      <c r="AG73" s="37"/>
      <c r="AH73" s="37"/>
      <c r="AI73" s="37"/>
      <c r="AJ73" s="39"/>
      <c r="AK73" s="37"/>
      <c r="AL73" s="37"/>
      <c r="AM73" s="37"/>
      <c r="AN73" s="39"/>
      <c r="AO73" s="37"/>
      <c r="AP73" s="37"/>
      <c r="AQ73" s="37"/>
      <c r="AR73" s="39"/>
      <c r="AS73" s="37"/>
      <c r="AT73" s="37"/>
      <c r="AU73" s="37"/>
      <c r="AV73" s="39"/>
      <c r="AW73" s="37"/>
      <c r="AX73" s="37"/>
      <c r="AY73" s="37"/>
      <c r="AZ73" s="39"/>
      <c r="BA73" s="37"/>
      <c r="BB73" s="37"/>
      <c r="BC73" s="38"/>
      <c r="BD73" s="39"/>
      <c r="BE73" s="37"/>
      <c r="BF73" s="37"/>
      <c r="BG73" s="1411"/>
      <c r="BH73" s="39"/>
      <c r="BI73" s="37"/>
      <c r="BJ73" s="37"/>
      <c r="BK73" s="1411"/>
      <c r="BL73" s="232"/>
      <c r="BM73" s="39"/>
      <c r="BN73" s="37"/>
      <c r="BO73" s="37"/>
      <c r="BP73" s="37"/>
      <c r="BQ73" s="37"/>
      <c r="BR73" s="37"/>
      <c r="BS73" s="37"/>
      <c r="BT73" s="38"/>
      <c r="BU73" s="39"/>
      <c r="BV73" s="37"/>
      <c r="BW73" s="37"/>
      <c r="BX73" s="37"/>
      <c r="BY73" s="37"/>
      <c r="BZ73" s="37"/>
      <c r="CA73" s="1411"/>
      <c r="CB73" s="19"/>
      <c r="CC73" s="39"/>
      <c r="CD73" s="37"/>
      <c r="CE73" s="37"/>
      <c r="CF73" s="37"/>
      <c r="CG73" s="37"/>
      <c r="CH73" s="37"/>
      <c r="CI73" s="39"/>
      <c r="CJ73" s="37"/>
      <c r="CK73" s="37"/>
      <c r="CL73" s="37"/>
      <c r="CM73" s="37"/>
      <c r="CN73" s="39"/>
      <c r="CO73" s="37"/>
      <c r="CP73" s="1411"/>
      <c r="CQ73" s="7"/>
      <c r="CX73" s="7"/>
    </row>
    <row r="74" spans="1:102" ht="14.25" customHeight="1">
      <c r="A74" s="7"/>
      <c r="B74" s="21" t="s">
        <v>237</v>
      </c>
      <c r="C74" s="22"/>
      <c r="D74" s="34">
        <f t="shared" ref="D74:AJ74" si="315">D75+D76+D77+D79+D78</f>
        <v>-24</v>
      </c>
      <c r="E74" s="32">
        <f t="shared" si="315"/>
        <v>-30</v>
      </c>
      <c r="F74" s="32">
        <f t="shared" si="315"/>
        <v>-36</v>
      </c>
      <c r="G74" s="32">
        <f t="shared" si="315"/>
        <v>-39</v>
      </c>
      <c r="H74" s="34">
        <f t="shared" si="315"/>
        <v>20</v>
      </c>
      <c r="I74" s="32">
        <f t="shared" si="315"/>
        <v>-23</v>
      </c>
      <c r="J74" s="32">
        <f t="shared" si="315"/>
        <v>-25</v>
      </c>
      <c r="K74" s="33">
        <f t="shared" si="315"/>
        <v>-18</v>
      </c>
      <c r="L74" s="34">
        <f t="shared" si="315"/>
        <v>-25</v>
      </c>
      <c r="M74" s="32">
        <f t="shared" si="315"/>
        <v>-20</v>
      </c>
      <c r="N74" s="32">
        <f t="shared" si="315"/>
        <v>5</v>
      </c>
      <c r="O74" s="33">
        <f t="shared" si="315"/>
        <v>-34</v>
      </c>
      <c r="P74" s="32">
        <f t="shared" si="315"/>
        <v>-19</v>
      </c>
      <c r="Q74" s="32">
        <f t="shared" si="315"/>
        <v>-22</v>
      </c>
      <c r="R74" s="32">
        <f t="shared" si="315"/>
        <v>-16</v>
      </c>
      <c r="S74" s="32">
        <f t="shared" si="315"/>
        <v>-27</v>
      </c>
      <c r="T74" s="34">
        <f t="shared" si="315"/>
        <v>-36</v>
      </c>
      <c r="U74" s="32">
        <f t="shared" si="315"/>
        <v>-9</v>
      </c>
      <c r="V74" s="32">
        <f t="shared" si="315"/>
        <v>-8</v>
      </c>
      <c r="W74" s="33">
        <f t="shared" si="315"/>
        <v>-7</v>
      </c>
      <c r="X74" s="32">
        <f t="shared" si="315"/>
        <v>-22</v>
      </c>
      <c r="Y74" s="32">
        <f t="shared" si="315"/>
        <v>-1</v>
      </c>
      <c r="Z74" s="32">
        <f t="shared" si="315"/>
        <v>0</v>
      </c>
      <c r="AA74" s="32">
        <f t="shared" si="315"/>
        <v>0</v>
      </c>
      <c r="AB74" s="34">
        <f t="shared" si="315"/>
        <v>-2</v>
      </c>
      <c r="AC74" s="32">
        <f t="shared" si="315"/>
        <v>3</v>
      </c>
      <c r="AD74" s="32">
        <f t="shared" si="315"/>
        <v>1</v>
      </c>
      <c r="AE74" s="33">
        <f t="shared" si="315"/>
        <v>1</v>
      </c>
      <c r="AF74" s="32">
        <f t="shared" si="315"/>
        <v>2</v>
      </c>
      <c r="AG74" s="32">
        <f t="shared" si="315"/>
        <v>0</v>
      </c>
      <c r="AH74" s="32">
        <f t="shared" si="315"/>
        <v>4</v>
      </c>
      <c r="AI74" s="32">
        <f t="shared" si="315"/>
        <v>10</v>
      </c>
      <c r="AJ74" s="34">
        <f t="shared" si="315"/>
        <v>0</v>
      </c>
      <c r="AK74" s="32">
        <f t="shared" ref="AK74:AN74" si="316">AK75+AK76+AK77+AK79</f>
        <v>-1</v>
      </c>
      <c r="AL74" s="32">
        <f t="shared" si="316"/>
        <v>-101</v>
      </c>
      <c r="AM74" s="32">
        <f t="shared" si="316"/>
        <v>-40</v>
      </c>
      <c r="AN74" s="34">
        <f t="shared" si="316"/>
        <v>-37</v>
      </c>
      <c r="AO74" s="32">
        <f>AO75+AO76+AO77+AO79</f>
        <v>-49</v>
      </c>
      <c r="AP74" s="32">
        <f t="shared" ref="AP74:BC74" si="317">AP75+AP76+AP77+AP79</f>
        <v>-36</v>
      </c>
      <c r="AQ74" s="32">
        <f t="shared" si="317"/>
        <v>-70</v>
      </c>
      <c r="AR74" s="34">
        <f t="shared" ref="AR74:AW74" si="318">AR75+AR76+AR77+AR79</f>
        <v>-81</v>
      </c>
      <c r="AS74" s="32">
        <f t="shared" si="318"/>
        <v>-353</v>
      </c>
      <c r="AT74" s="32">
        <f t="shared" si="318"/>
        <v>-168</v>
      </c>
      <c r="AU74" s="32">
        <f t="shared" si="318"/>
        <v>-208</v>
      </c>
      <c r="AV74" s="34">
        <f t="shared" si="318"/>
        <v>-244</v>
      </c>
      <c r="AW74" s="32">
        <f t="shared" si="318"/>
        <v>-113</v>
      </c>
      <c r="AX74" s="32">
        <f t="shared" ref="AX74:AZ74" si="319">AX75+AX76+AX77+AX79</f>
        <v>-102</v>
      </c>
      <c r="AY74" s="32">
        <f t="shared" si="319"/>
        <v>-105</v>
      </c>
      <c r="AZ74" s="34">
        <f t="shared" si="319"/>
        <v>-163</v>
      </c>
      <c r="BA74" s="32">
        <f t="shared" si="317"/>
        <v>-114</v>
      </c>
      <c r="BB74" s="32">
        <f t="shared" si="317"/>
        <v>-112.5</v>
      </c>
      <c r="BC74" s="33">
        <f t="shared" si="317"/>
        <v>-111</v>
      </c>
      <c r="BD74" s="34">
        <f t="shared" ref="BD74:BG74" si="320">BD75+BD76+BD77+BD79</f>
        <v>-109.5</v>
      </c>
      <c r="BE74" s="32">
        <f t="shared" si="320"/>
        <v>-108</v>
      </c>
      <c r="BF74" s="32">
        <f t="shared" si="320"/>
        <v>-106.5</v>
      </c>
      <c r="BG74" s="1410">
        <f t="shared" si="320"/>
        <v>-105</v>
      </c>
      <c r="BH74" s="34">
        <f t="shared" ref="BH74:BK74" si="321">BH75+BH76+BH77+BH79</f>
        <v>-103.5</v>
      </c>
      <c r="BI74" s="32">
        <f t="shared" si="321"/>
        <v>-102</v>
      </c>
      <c r="BJ74" s="32">
        <f t="shared" si="321"/>
        <v>-100.5</v>
      </c>
      <c r="BK74" s="1410">
        <f t="shared" si="321"/>
        <v>-99</v>
      </c>
      <c r="BL74" s="791"/>
      <c r="BM74" s="34">
        <f t="shared" ref="BM74:BU74" si="322">BM75+BM76+BM77+BM79+BM78</f>
        <v>-129</v>
      </c>
      <c r="BN74" s="32">
        <f t="shared" si="322"/>
        <v>-46</v>
      </c>
      <c r="BO74" s="32">
        <f t="shared" si="322"/>
        <v>-74</v>
      </c>
      <c r="BP74" s="32">
        <f t="shared" si="322"/>
        <v>-84</v>
      </c>
      <c r="BQ74" s="32">
        <f t="shared" si="322"/>
        <v>-60</v>
      </c>
      <c r="BR74" s="32">
        <f t="shared" si="322"/>
        <v>-23</v>
      </c>
      <c r="BS74" s="32">
        <f t="shared" si="322"/>
        <v>3</v>
      </c>
      <c r="BT74" s="33">
        <f t="shared" si="322"/>
        <v>16</v>
      </c>
      <c r="BU74" s="34">
        <f t="shared" si="322"/>
        <v>-142</v>
      </c>
      <c r="BV74" s="32">
        <f>BV75+BV76+BV77+BV79</f>
        <v>-192</v>
      </c>
      <c r="BW74" s="32">
        <f t="shared" ref="BW74" si="323">BW75+BW76+BW77+BW79</f>
        <v>-810</v>
      </c>
      <c r="BX74" s="32">
        <f t="shared" ref="BX74:BY74" si="324">BX75+BX76+BX77+BX79</f>
        <v>-564</v>
      </c>
      <c r="BY74" s="32">
        <f t="shared" si="324"/>
        <v>-500.5</v>
      </c>
      <c r="BZ74" s="32">
        <f t="shared" ref="BZ74" si="325">BZ75+BZ76+BZ77+BZ79</f>
        <v>-429</v>
      </c>
      <c r="CA74" s="1410">
        <f>CA75+CA76+CA77+CA79</f>
        <v>-405</v>
      </c>
      <c r="CB74" s="19"/>
      <c r="CC74" s="34">
        <f t="shared" ref="CC74:CJ74" si="326">CC75+CC76+CC77+CC79+CC78</f>
        <v>-85</v>
      </c>
      <c r="CD74" s="32">
        <f t="shared" si="326"/>
        <v>-91</v>
      </c>
      <c r="CE74" s="32">
        <f t="shared" si="326"/>
        <v>-68</v>
      </c>
      <c r="CF74" s="32">
        <f t="shared" si="326"/>
        <v>-101</v>
      </c>
      <c r="CG74" s="32">
        <f t="shared" si="326"/>
        <v>-46</v>
      </c>
      <c r="CH74" s="32">
        <f t="shared" si="326"/>
        <v>-3</v>
      </c>
      <c r="CI74" s="34">
        <f t="shared" si="326"/>
        <v>7</v>
      </c>
      <c r="CJ74" s="32">
        <f t="shared" si="326"/>
        <v>14</v>
      </c>
      <c r="CK74" s="32">
        <f>CK75+CK76+CK77+CK79+CK78</f>
        <v>-179</v>
      </c>
      <c r="CL74" s="32">
        <f>CL75+CL76+CL77+CL79</f>
        <v>-236</v>
      </c>
      <c r="CM74" s="32">
        <f>CM75+CM76+CM77+CM79</f>
        <v>-973</v>
      </c>
      <c r="CN74" s="34">
        <f>CN75+CN76+CN77+CN79</f>
        <v>-483</v>
      </c>
      <c r="CO74" s="32">
        <f>CO75+CO76+CO77+CO79</f>
        <v>-447</v>
      </c>
      <c r="CP74" s="1410">
        <f>CP75+CP76+CP77+CP79</f>
        <v>-423</v>
      </c>
      <c r="CQ74" s="7"/>
      <c r="CX74" s="7"/>
    </row>
    <row r="75" spans="1:102" ht="14.25" hidden="1" customHeight="1" outlineLevel="1">
      <c r="A75" s="7"/>
      <c r="B75" s="27" t="s">
        <v>140</v>
      </c>
      <c r="C75" s="28"/>
      <c r="D75" s="29">
        <v>0</v>
      </c>
      <c r="E75" s="30">
        <v>0</v>
      </c>
      <c r="F75" s="30">
        <v>0</v>
      </c>
      <c r="G75" s="30">
        <v>0</v>
      </c>
      <c r="H75" s="29">
        <v>0</v>
      </c>
      <c r="I75" s="30">
        <v>0</v>
      </c>
      <c r="J75" s="30">
        <v>0</v>
      </c>
      <c r="K75" s="31">
        <v>0</v>
      </c>
      <c r="L75" s="29">
        <v>0</v>
      </c>
      <c r="M75" s="30">
        <v>0</v>
      </c>
      <c r="N75" s="30">
        <v>0</v>
      </c>
      <c r="O75" s="31">
        <v>0</v>
      </c>
      <c r="P75" s="30">
        <v>0</v>
      </c>
      <c r="Q75" s="30">
        <v>0</v>
      </c>
      <c r="R75" s="30">
        <v>0</v>
      </c>
      <c r="S75" s="30">
        <v>0</v>
      </c>
      <c r="T75" s="29">
        <v>0</v>
      </c>
      <c r="U75" s="30">
        <v>0</v>
      </c>
      <c r="V75" s="30">
        <v>0</v>
      </c>
      <c r="W75" s="31">
        <v>0</v>
      </c>
      <c r="X75" s="30">
        <v>0</v>
      </c>
      <c r="Y75" s="30">
        <v>0</v>
      </c>
      <c r="Z75" s="30">
        <v>0</v>
      </c>
      <c r="AA75" s="30">
        <v>0</v>
      </c>
      <c r="AB75" s="29">
        <v>0</v>
      </c>
      <c r="AC75" s="30">
        <v>0</v>
      </c>
      <c r="AD75" s="30">
        <v>0</v>
      </c>
      <c r="AE75" s="31">
        <v>0</v>
      </c>
      <c r="AF75" s="30">
        <v>0</v>
      </c>
      <c r="AG75" s="30">
        <v>0</v>
      </c>
      <c r="AH75" s="30">
        <v>0</v>
      </c>
      <c r="AI75" s="30">
        <v>0</v>
      </c>
      <c r="AJ75" s="29">
        <v>0</v>
      </c>
      <c r="AK75" s="30">
        <v>0</v>
      </c>
      <c r="AL75" s="30">
        <v>0</v>
      </c>
      <c r="AM75" s="30">
        <v>0</v>
      </c>
      <c r="AN75" s="29">
        <v>0</v>
      </c>
      <c r="AO75" s="30">
        <f t="shared" ref="AO75:BC75" si="327">AN75</f>
        <v>0</v>
      </c>
      <c r="AP75" s="30">
        <v>0</v>
      </c>
      <c r="AQ75" s="30">
        <v>0</v>
      </c>
      <c r="AR75" s="29">
        <v>0</v>
      </c>
      <c r="AS75" s="30">
        <f t="shared" si="327"/>
        <v>0</v>
      </c>
      <c r="AT75" s="30">
        <v>0</v>
      </c>
      <c r="AU75" s="30">
        <v>0</v>
      </c>
      <c r="AV75" s="29">
        <v>0</v>
      </c>
      <c r="AW75" s="30">
        <f t="shared" si="327"/>
        <v>0</v>
      </c>
      <c r="AX75" s="30">
        <v>0</v>
      </c>
      <c r="AY75" s="30">
        <v>0</v>
      </c>
      <c r="AZ75" s="29">
        <v>0</v>
      </c>
      <c r="BA75" s="30">
        <f t="shared" si="327"/>
        <v>0</v>
      </c>
      <c r="BB75" s="30">
        <f t="shared" si="327"/>
        <v>0</v>
      </c>
      <c r="BC75" s="31">
        <f t="shared" si="327"/>
        <v>0</v>
      </c>
      <c r="BD75" s="29">
        <f t="shared" ref="BD75:BD78" si="328">BC75</f>
        <v>0</v>
      </c>
      <c r="BE75" s="30">
        <f t="shared" ref="BE75:BE78" si="329">BD75</f>
        <v>0</v>
      </c>
      <c r="BF75" s="30">
        <f t="shared" ref="BF75:BF78" si="330">BE75</f>
        <v>0</v>
      </c>
      <c r="BG75" s="1415">
        <f t="shared" ref="BG75:BG78" si="331">BF75</f>
        <v>0</v>
      </c>
      <c r="BH75" s="29">
        <f t="shared" ref="BH75" si="332">BG75</f>
        <v>0</v>
      </c>
      <c r="BI75" s="30">
        <f t="shared" ref="BI75" si="333">BH75</f>
        <v>0</v>
      </c>
      <c r="BJ75" s="30">
        <f t="shared" ref="BJ75" si="334">BI75</f>
        <v>0</v>
      </c>
      <c r="BK75" s="1415">
        <f t="shared" ref="BK75" si="335">BJ75</f>
        <v>0</v>
      </c>
      <c r="BL75" s="232"/>
      <c r="BM75" s="34">
        <f>SUM(D75:G75)</f>
        <v>0</v>
      </c>
      <c r="BN75" s="32">
        <f>SUM(H75:K75)</f>
        <v>0</v>
      </c>
      <c r="BO75" s="32">
        <f>SUM(L75:O75)</f>
        <v>0</v>
      </c>
      <c r="BP75" s="32">
        <f>SUM(P75:S75)</f>
        <v>0</v>
      </c>
      <c r="BQ75" s="32">
        <f>SUM(T75:W75)</f>
        <v>0</v>
      </c>
      <c r="BR75" s="32">
        <f>SUM(X75:AA75)</f>
        <v>0</v>
      </c>
      <c r="BS75" s="32">
        <f>SUM(AB75:AE75)</f>
        <v>0</v>
      </c>
      <c r="BT75" s="33">
        <f>SUM(AF75:AI75)</f>
        <v>0</v>
      </c>
      <c r="BU75" s="34">
        <f>SUM(AJ75:AM75)</f>
        <v>0</v>
      </c>
      <c r="BV75" s="32">
        <f>SUM(AN75:AQ75)</f>
        <v>0</v>
      </c>
      <c r="BW75" s="32">
        <f>SUM(AR75:AU75)</f>
        <v>0</v>
      </c>
      <c r="BX75" s="32">
        <f>SUM(AV75:AY75)</f>
        <v>0</v>
      </c>
      <c r="BY75" s="32">
        <f t="shared" ref="BY75:BY79" si="336">SUM(AZ75:BC75)</f>
        <v>0</v>
      </c>
      <c r="BZ75" s="32">
        <f>SUM(BD75:BG75)</f>
        <v>0</v>
      </c>
      <c r="CA75" s="1410">
        <f>SUM(BH75:BK75)</f>
        <v>0</v>
      </c>
      <c r="CB75" s="19"/>
      <c r="CC75" s="34">
        <f>SUM(E75:H75)</f>
        <v>0</v>
      </c>
      <c r="CD75" s="32">
        <f>SUM(I75:L75)</f>
        <v>0</v>
      </c>
      <c r="CE75" s="32">
        <f>SUM(M75:P75)</f>
        <v>0</v>
      </c>
      <c r="CF75" s="32">
        <f>SUM(Q75:T75)</f>
        <v>0</v>
      </c>
      <c r="CG75" s="32">
        <f>SUM(U75:X75)</f>
        <v>0</v>
      </c>
      <c r="CH75" s="32">
        <f>SUM(Y75:AB75)</f>
        <v>0</v>
      </c>
      <c r="CI75" s="34">
        <f>SUM(AC75:AF75)</f>
        <v>0</v>
      </c>
      <c r="CJ75" s="32">
        <f>SUM(AG75:AJ75)</f>
        <v>0</v>
      </c>
      <c r="CK75" s="32">
        <f>SUM(AK75:AN75)</f>
        <v>0</v>
      </c>
      <c r="CL75" s="32">
        <f>SUM(AO75:AR75)</f>
        <v>0</v>
      </c>
      <c r="CM75" s="32">
        <f>SUM(AS75:AV75)</f>
        <v>0</v>
      </c>
      <c r="CN75" s="34">
        <f>SUM(AW75:AZ75)</f>
        <v>0</v>
      </c>
      <c r="CO75" s="32">
        <f>SUM(BA75:BD75)</f>
        <v>0</v>
      </c>
      <c r="CP75" s="1410">
        <f>SUM(BE75:BH75)</f>
        <v>0</v>
      </c>
      <c r="CQ75" s="7"/>
      <c r="CX75" s="7"/>
    </row>
    <row r="76" spans="1:102" ht="14.25" hidden="1" customHeight="1" outlineLevel="1">
      <c r="A76" s="7"/>
      <c r="B76" s="27" t="s">
        <v>124</v>
      </c>
      <c r="C76" s="28"/>
      <c r="D76" s="29">
        <v>-40</v>
      </c>
      <c r="E76" s="30">
        <v>-40</v>
      </c>
      <c r="F76" s="30">
        <v>-34</v>
      </c>
      <c r="G76" s="30">
        <v>-29</v>
      </c>
      <c r="H76" s="29">
        <v>-29</v>
      </c>
      <c r="I76" s="30">
        <v>-28</v>
      </c>
      <c r="J76" s="30">
        <v>-26</v>
      </c>
      <c r="K76" s="31">
        <v>-26</v>
      </c>
      <c r="L76" s="29">
        <v>-25</v>
      </c>
      <c r="M76" s="30">
        <v>-20</v>
      </c>
      <c r="N76" s="30">
        <v>-20</v>
      </c>
      <c r="O76" s="31">
        <v>-21</v>
      </c>
      <c r="P76" s="30">
        <v>-18</v>
      </c>
      <c r="Q76" s="30">
        <v>-20</v>
      </c>
      <c r="R76" s="30">
        <v>-20</v>
      </c>
      <c r="S76" s="30">
        <v>-19</v>
      </c>
      <c r="T76" s="29">
        <v>-11</v>
      </c>
      <c r="U76" s="30">
        <v>-8</v>
      </c>
      <c r="V76" s="30">
        <v>-8</v>
      </c>
      <c r="W76" s="31">
        <v>-7</v>
      </c>
      <c r="X76" s="30">
        <v>-3</v>
      </c>
      <c r="Y76" s="30">
        <v>-1</v>
      </c>
      <c r="Z76" s="30">
        <v>0</v>
      </c>
      <c r="AA76" s="30">
        <v>0</v>
      </c>
      <c r="AB76" s="29">
        <v>-1</v>
      </c>
      <c r="AC76" s="30">
        <v>0</v>
      </c>
      <c r="AD76" s="30">
        <v>0</v>
      </c>
      <c r="AE76" s="31">
        <v>0</v>
      </c>
      <c r="AF76" s="30">
        <v>0</v>
      </c>
      <c r="AG76" s="30">
        <v>-1</v>
      </c>
      <c r="AH76" s="30">
        <v>-1</v>
      </c>
      <c r="AI76" s="30">
        <v>0</v>
      </c>
      <c r="AJ76" s="29">
        <v>0</v>
      </c>
      <c r="AK76" s="30">
        <v>-1</v>
      </c>
      <c r="AL76" s="30">
        <v>-55</v>
      </c>
      <c r="AM76" s="30">
        <v>-54</v>
      </c>
      <c r="AN76" s="29">
        <v>-54</v>
      </c>
      <c r="AO76" s="30">
        <v>-53</v>
      </c>
      <c r="AP76" s="30">
        <v>-43</v>
      </c>
      <c r="AQ76" s="30">
        <v>-41</v>
      </c>
      <c r="AR76" s="29">
        <v>-84</v>
      </c>
      <c r="AS76" s="30">
        <v>-256</v>
      </c>
      <c r="AT76" s="30">
        <v>-139</v>
      </c>
      <c r="AU76" s="30">
        <v>-106</v>
      </c>
      <c r="AV76" s="29">
        <v>-111</v>
      </c>
      <c r="AW76" s="30">
        <v>-112</v>
      </c>
      <c r="AX76" s="30">
        <v>-112</v>
      </c>
      <c r="AY76" s="30">
        <v>-119</v>
      </c>
      <c r="AZ76" s="29">
        <v>-183</v>
      </c>
      <c r="BA76" s="1376">
        <v>-114</v>
      </c>
      <c r="BB76" s="1376">
        <f>BA76+1.5</f>
        <v>-112.5</v>
      </c>
      <c r="BC76" s="1280">
        <f t="shared" ref="BC76:BG76" si="337">BB76+1.5</f>
        <v>-111</v>
      </c>
      <c r="BD76" s="1351">
        <f t="shared" si="337"/>
        <v>-109.5</v>
      </c>
      <c r="BE76" s="1376">
        <f t="shared" si="337"/>
        <v>-108</v>
      </c>
      <c r="BF76" s="1376">
        <f t="shared" si="337"/>
        <v>-106.5</v>
      </c>
      <c r="BG76" s="1425">
        <f t="shared" si="337"/>
        <v>-105</v>
      </c>
      <c r="BH76" s="1351">
        <f t="shared" ref="BH76" si="338">BG76+1.5</f>
        <v>-103.5</v>
      </c>
      <c r="BI76" s="1376">
        <f t="shared" ref="BI76" si="339">BH76+1.5</f>
        <v>-102</v>
      </c>
      <c r="BJ76" s="1376">
        <f t="shared" ref="BJ76" si="340">BI76+1.5</f>
        <v>-100.5</v>
      </c>
      <c r="BK76" s="1425">
        <f t="shared" ref="BK76" si="341">BJ76+1.5</f>
        <v>-99</v>
      </c>
      <c r="BL76" s="232"/>
      <c r="BM76" s="34">
        <f>SUM(D76:G76)</f>
        <v>-143</v>
      </c>
      <c r="BN76" s="32">
        <f>SUM(H76:K76)</f>
        <v>-109</v>
      </c>
      <c r="BO76" s="32">
        <f>SUM(L76:O76)</f>
        <v>-86</v>
      </c>
      <c r="BP76" s="32">
        <f>SUM(P76:S76)</f>
        <v>-77</v>
      </c>
      <c r="BQ76" s="32">
        <f>SUM(T76:W76)</f>
        <v>-34</v>
      </c>
      <c r="BR76" s="32">
        <f>SUM(X76:AA76)</f>
        <v>-4</v>
      </c>
      <c r="BS76" s="32">
        <f>SUM(AB76:AE76)</f>
        <v>-1</v>
      </c>
      <c r="BT76" s="33">
        <f>SUM(AF76:AI76)</f>
        <v>-2</v>
      </c>
      <c r="BU76" s="34">
        <f>SUM(AJ76:AM76)</f>
        <v>-110</v>
      </c>
      <c r="BV76" s="32">
        <f>SUM(AN76:AQ76)</f>
        <v>-191</v>
      </c>
      <c r="BW76" s="32">
        <f>SUM(AR76:AU76)</f>
        <v>-585</v>
      </c>
      <c r="BX76" s="32">
        <f>SUM(AV76:AY76)</f>
        <v>-454</v>
      </c>
      <c r="BY76" s="32">
        <f t="shared" si="336"/>
        <v>-520.5</v>
      </c>
      <c r="BZ76" s="32">
        <f>SUM(BD76:BG76)</f>
        <v>-429</v>
      </c>
      <c r="CA76" s="1410">
        <f>SUM(BH76:BK76)</f>
        <v>-405</v>
      </c>
      <c r="CB76" s="19"/>
      <c r="CC76" s="34">
        <f>SUM(E76:H76)</f>
        <v>-132</v>
      </c>
      <c r="CD76" s="32">
        <f>SUM(I76:L76)</f>
        <v>-105</v>
      </c>
      <c r="CE76" s="32">
        <f>SUM(M76:P76)</f>
        <v>-79</v>
      </c>
      <c r="CF76" s="32">
        <f>SUM(Q76:T76)</f>
        <v>-70</v>
      </c>
      <c r="CG76" s="32">
        <f>SUM(U76:X76)</f>
        <v>-26</v>
      </c>
      <c r="CH76" s="32">
        <f>SUM(Y76:AB76)</f>
        <v>-2</v>
      </c>
      <c r="CI76" s="34">
        <f>SUM(AC76:AF76)</f>
        <v>0</v>
      </c>
      <c r="CJ76" s="32">
        <f>SUM(AG76:AJ76)</f>
        <v>-2</v>
      </c>
      <c r="CK76" s="32">
        <f>SUM(AK76:AN76)</f>
        <v>-164</v>
      </c>
      <c r="CL76" s="32">
        <f>SUM(AO76:AR76)</f>
        <v>-221</v>
      </c>
      <c r="CM76" s="32">
        <f>SUM(AS76:AV76)</f>
        <v>-612</v>
      </c>
      <c r="CN76" s="34">
        <f>SUM(AW76:AZ76)</f>
        <v>-526</v>
      </c>
      <c r="CO76" s="32">
        <f>SUM(BA76:BD76)</f>
        <v>-447</v>
      </c>
      <c r="CP76" s="1410">
        <f>SUM(BE76:BH76)</f>
        <v>-423</v>
      </c>
      <c r="CQ76" s="7"/>
      <c r="CX76" s="7"/>
    </row>
    <row r="77" spans="1:102" ht="14.25" hidden="1" customHeight="1" outlineLevel="1">
      <c r="A77" s="7"/>
      <c r="B77" s="27" t="s">
        <v>0</v>
      </c>
      <c r="C77" s="28"/>
      <c r="D77" s="29">
        <v>2</v>
      </c>
      <c r="E77" s="30">
        <v>4</v>
      </c>
      <c r="F77" s="30">
        <v>2</v>
      </c>
      <c r="G77" s="30">
        <v>4</v>
      </c>
      <c r="H77" s="29">
        <v>1</v>
      </c>
      <c r="I77" s="30">
        <f>5</f>
        <v>5</v>
      </c>
      <c r="J77" s="30">
        <f>2</f>
        <v>2</v>
      </c>
      <c r="K77" s="31">
        <f>6</f>
        <v>6</v>
      </c>
      <c r="L77" s="29">
        <f>1</f>
        <v>1</v>
      </c>
      <c r="M77" s="30">
        <v>1</v>
      </c>
      <c r="N77" s="30">
        <v>0</v>
      </c>
      <c r="O77" s="31">
        <v>-6</v>
      </c>
      <c r="P77" s="30">
        <f>-2</f>
        <v>-2</v>
      </c>
      <c r="Q77" s="30">
        <v>-2</v>
      </c>
      <c r="R77" s="30">
        <v>4</v>
      </c>
      <c r="S77" s="30">
        <f>1</f>
        <v>1</v>
      </c>
      <c r="T77" s="29">
        <f>-1</f>
        <v>-1</v>
      </c>
      <c r="U77" s="30">
        <v>-1</v>
      </c>
      <c r="V77" s="30">
        <v>0</v>
      </c>
      <c r="W77" s="31">
        <v>0</v>
      </c>
      <c r="X77" s="30"/>
      <c r="Y77" s="30">
        <v>1</v>
      </c>
      <c r="Z77" s="30">
        <v>0</v>
      </c>
      <c r="AA77" s="30">
        <v>0</v>
      </c>
      <c r="AB77" s="29">
        <v>-1</v>
      </c>
      <c r="AC77" s="30">
        <v>3</v>
      </c>
      <c r="AD77" s="30">
        <v>1</v>
      </c>
      <c r="AE77" s="31">
        <v>1</v>
      </c>
      <c r="AF77" s="30">
        <v>2</v>
      </c>
      <c r="AG77" s="30">
        <v>1</v>
      </c>
      <c r="AH77" s="30">
        <v>5</v>
      </c>
      <c r="AI77" s="30">
        <f>11</f>
        <v>11</v>
      </c>
      <c r="AJ77" s="29">
        <v>0</v>
      </c>
      <c r="AK77" s="30">
        <v>0</v>
      </c>
      <c r="AL77" s="30">
        <v>-2</v>
      </c>
      <c r="AM77" s="30">
        <v>16</v>
      </c>
      <c r="AN77" s="29">
        <v>4</v>
      </c>
      <c r="AO77" s="30">
        <v>-1</v>
      </c>
      <c r="AP77" s="30">
        <v>11</v>
      </c>
      <c r="AQ77" s="30">
        <v>12</v>
      </c>
      <c r="AR77" s="29">
        <v>3</v>
      </c>
      <c r="AS77" s="30">
        <v>-59</v>
      </c>
      <c r="AT77" s="30">
        <f>-21+4</f>
        <v>-17</v>
      </c>
      <c r="AU77" s="30">
        <v>9</v>
      </c>
      <c r="AV77" s="29">
        <f>31</f>
        <v>31</v>
      </c>
      <c r="AW77" s="30">
        <v>3</v>
      </c>
      <c r="AX77" s="30">
        <v>12</v>
      </c>
      <c r="AY77" s="30">
        <f>16-7</f>
        <v>9</v>
      </c>
      <c r="AZ77" s="29">
        <v>35</v>
      </c>
      <c r="BA77" s="32">
        <v>0</v>
      </c>
      <c r="BB77" s="32">
        <f t="shared" ref="BB77:BC78" si="342">BA77</f>
        <v>0</v>
      </c>
      <c r="BC77" s="33">
        <f t="shared" si="342"/>
        <v>0</v>
      </c>
      <c r="BD77" s="34">
        <f t="shared" si="328"/>
        <v>0</v>
      </c>
      <c r="BE77" s="32">
        <f t="shared" si="329"/>
        <v>0</v>
      </c>
      <c r="BF77" s="32">
        <f t="shared" si="330"/>
        <v>0</v>
      </c>
      <c r="BG77" s="1410">
        <f t="shared" si="331"/>
        <v>0</v>
      </c>
      <c r="BH77" s="34">
        <f t="shared" ref="BH77:BH78" si="343">BG77</f>
        <v>0</v>
      </c>
      <c r="BI77" s="32">
        <f t="shared" ref="BI77:BI78" si="344">BH77</f>
        <v>0</v>
      </c>
      <c r="BJ77" s="32">
        <f t="shared" ref="BJ77:BJ78" si="345">BI77</f>
        <v>0</v>
      </c>
      <c r="BK77" s="1410">
        <f t="shared" ref="BK77:BK78" si="346">BJ77</f>
        <v>0</v>
      </c>
      <c r="BL77" s="232"/>
      <c r="BM77" s="34">
        <f>SUM(D77:G77)</f>
        <v>12</v>
      </c>
      <c r="BN77" s="32">
        <f>SUM(H77:K77)</f>
        <v>14</v>
      </c>
      <c r="BO77" s="32">
        <f>SUM(L77:O77)</f>
        <v>-4</v>
      </c>
      <c r="BP77" s="32">
        <f>SUM(P77:S77)</f>
        <v>1</v>
      </c>
      <c r="BQ77" s="32">
        <f>SUM(T77:W77)</f>
        <v>-2</v>
      </c>
      <c r="BR77" s="32">
        <f>SUM(X77:AA77)</f>
        <v>1</v>
      </c>
      <c r="BS77" s="32">
        <f>SUM(AB77:AE77)</f>
        <v>4</v>
      </c>
      <c r="BT77" s="33">
        <f>SUM(AF77:AI77)</f>
        <v>19</v>
      </c>
      <c r="BU77" s="34">
        <f>SUM(AJ77:AM77)</f>
        <v>14</v>
      </c>
      <c r="BV77" s="32">
        <f>SUM(AN77:AQ77)</f>
        <v>26</v>
      </c>
      <c r="BW77" s="32">
        <f>SUM(AR77:AU77)</f>
        <v>-64</v>
      </c>
      <c r="BX77" s="32">
        <f>SUM(AV77:AY77)</f>
        <v>55</v>
      </c>
      <c r="BY77" s="32">
        <f t="shared" si="336"/>
        <v>35</v>
      </c>
      <c r="BZ77" s="32">
        <f>SUM(BD77:BG77)</f>
        <v>0</v>
      </c>
      <c r="CA77" s="1410">
        <f>SUM(BH77:BK77)</f>
        <v>0</v>
      </c>
      <c r="CB77" s="19"/>
      <c r="CC77" s="34">
        <f>SUM(E77:H77)</f>
        <v>11</v>
      </c>
      <c r="CD77" s="32">
        <f>SUM(I77:L77)</f>
        <v>14</v>
      </c>
      <c r="CE77" s="32">
        <f>SUM(M77:P77)</f>
        <v>-7</v>
      </c>
      <c r="CF77" s="32">
        <f>SUM(Q77:T77)</f>
        <v>2</v>
      </c>
      <c r="CG77" s="32">
        <f>SUM(U77:X77)</f>
        <v>-1</v>
      </c>
      <c r="CH77" s="32">
        <f>SUM(Y77:AB77)</f>
        <v>0</v>
      </c>
      <c r="CI77" s="34">
        <f>SUM(AC77:AF77)</f>
        <v>7</v>
      </c>
      <c r="CJ77" s="32">
        <f>SUM(AG77:AJ77)</f>
        <v>17</v>
      </c>
      <c r="CK77" s="32">
        <f>SUM(AK77:AN77)</f>
        <v>18</v>
      </c>
      <c r="CL77" s="32">
        <f>SUM(AO77:AR77)</f>
        <v>25</v>
      </c>
      <c r="CM77" s="32">
        <f>SUM(AS77:AV77)</f>
        <v>-36</v>
      </c>
      <c r="CN77" s="34">
        <f>SUM(AW77:AZ77)</f>
        <v>59</v>
      </c>
      <c r="CO77" s="32">
        <f>SUM(BA77:BD77)</f>
        <v>0</v>
      </c>
      <c r="CP77" s="1410">
        <f>SUM(BE77:BH77)</f>
        <v>0</v>
      </c>
      <c r="CQ77" s="7"/>
      <c r="CX77" s="7"/>
    </row>
    <row r="78" spans="1:102" s="300" customFormat="1" ht="14.25" hidden="1" customHeight="1" outlineLevel="1">
      <c r="A78" s="10"/>
      <c r="B78" s="27" t="s">
        <v>282</v>
      </c>
      <c r="C78" s="28"/>
      <c r="D78" s="29">
        <v>14</v>
      </c>
      <c r="E78" s="30">
        <v>6</v>
      </c>
      <c r="F78" s="30">
        <v>-4</v>
      </c>
      <c r="G78" s="30">
        <v>-14</v>
      </c>
      <c r="H78" s="29">
        <v>48</v>
      </c>
      <c r="I78" s="30">
        <v>10</v>
      </c>
      <c r="J78" s="30">
        <v>0</v>
      </c>
      <c r="K78" s="31">
        <v>3</v>
      </c>
      <c r="L78" s="29">
        <v>9</v>
      </c>
      <c r="M78" s="30">
        <v>-1</v>
      </c>
      <c r="N78" s="30">
        <v>25</v>
      </c>
      <c r="O78" s="31">
        <v>-7</v>
      </c>
      <c r="P78" s="30">
        <v>0</v>
      </c>
      <c r="Q78" s="30">
        <v>0</v>
      </c>
      <c r="R78" s="30">
        <v>0</v>
      </c>
      <c r="S78" s="30">
        <v>0</v>
      </c>
      <c r="T78" s="29">
        <v>0</v>
      </c>
      <c r="U78" s="30">
        <v>0</v>
      </c>
      <c r="V78" s="30">
        <v>0</v>
      </c>
      <c r="W78" s="31">
        <v>0</v>
      </c>
      <c r="X78" s="30">
        <v>0</v>
      </c>
      <c r="Y78" s="30">
        <v>0</v>
      </c>
      <c r="Z78" s="30">
        <v>0</v>
      </c>
      <c r="AA78" s="30">
        <v>0</v>
      </c>
      <c r="AB78" s="29">
        <v>0</v>
      </c>
      <c r="AC78" s="30">
        <v>0</v>
      </c>
      <c r="AD78" s="30">
        <v>0</v>
      </c>
      <c r="AE78" s="31">
        <v>0</v>
      </c>
      <c r="AF78" s="30">
        <v>0</v>
      </c>
      <c r="AG78" s="30">
        <v>0</v>
      </c>
      <c r="AH78" s="30">
        <v>0</v>
      </c>
      <c r="AI78" s="30">
        <v>0</v>
      </c>
      <c r="AJ78" s="29">
        <v>0</v>
      </c>
      <c r="AK78" s="30">
        <v>0</v>
      </c>
      <c r="AL78" s="30">
        <v>0</v>
      </c>
      <c r="AM78" s="30">
        <v>0</v>
      </c>
      <c r="AN78" s="29">
        <v>0</v>
      </c>
      <c r="AO78" s="30">
        <v>13</v>
      </c>
      <c r="AP78" s="30">
        <v>-3</v>
      </c>
      <c r="AQ78" s="30">
        <v>-2</v>
      </c>
      <c r="AR78" s="29">
        <f>43</f>
        <v>43</v>
      </c>
      <c r="AS78" s="30">
        <v>159</v>
      </c>
      <c r="AT78" s="30">
        <v>21</v>
      </c>
      <c r="AU78" s="30">
        <v>0</v>
      </c>
      <c r="AV78" s="29">
        <f>1-23</f>
        <v>-22</v>
      </c>
      <c r="AW78" s="30">
        <v>0</v>
      </c>
      <c r="AX78" s="30">
        <v>0</v>
      </c>
      <c r="AY78" s="30">
        <v>7</v>
      </c>
      <c r="AZ78" s="29">
        <v>32</v>
      </c>
      <c r="BA78" s="32">
        <v>0</v>
      </c>
      <c r="BB78" s="32">
        <f t="shared" si="342"/>
        <v>0</v>
      </c>
      <c r="BC78" s="33">
        <f t="shared" si="342"/>
        <v>0</v>
      </c>
      <c r="BD78" s="34">
        <f t="shared" si="328"/>
        <v>0</v>
      </c>
      <c r="BE78" s="32">
        <f t="shared" si="329"/>
        <v>0</v>
      </c>
      <c r="BF78" s="32">
        <f t="shared" si="330"/>
        <v>0</v>
      </c>
      <c r="BG78" s="1410">
        <f t="shared" si="331"/>
        <v>0</v>
      </c>
      <c r="BH78" s="34">
        <f t="shared" si="343"/>
        <v>0</v>
      </c>
      <c r="BI78" s="32">
        <f t="shared" si="344"/>
        <v>0</v>
      </c>
      <c r="BJ78" s="32">
        <f t="shared" si="345"/>
        <v>0</v>
      </c>
      <c r="BK78" s="1410">
        <f t="shared" si="346"/>
        <v>0</v>
      </c>
      <c r="BL78" s="22"/>
      <c r="BM78" s="34">
        <f>SUM(D78:G78)</f>
        <v>2</v>
      </c>
      <c r="BN78" s="32">
        <f>SUM(H78:K78)</f>
        <v>61</v>
      </c>
      <c r="BO78" s="32">
        <f>SUM(L78:O78)</f>
        <v>26</v>
      </c>
      <c r="BP78" s="32">
        <f>SUM(P78:S78)</f>
        <v>0</v>
      </c>
      <c r="BQ78" s="32">
        <f>SUM(T78:W78)</f>
        <v>0</v>
      </c>
      <c r="BR78" s="32">
        <f>SUM(X78:AA78)</f>
        <v>0</v>
      </c>
      <c r="BS78" s="32">
        <f>SUM(AB78:AE78)</f>
        <v>0</v>
      </c>
      <c r="BT78" s="33">
        <f>SUM(AF78:AI78)</f>
        <v>0</v>
      </c>
      <c r="BU78" s="34">
        <f>SUM(AJ78:AM78)</f>
        <v>0</v>
      </c>
      <c r="BV78" s="32">
        <f>SUM(AN78:AQ78)</f>
        <v>8</v>
      </c>
      <c r="BW78" s="32">
        <f>SUM(AR78:AU78)</f>
        <v>223</v>
      </c>
      <c r="BX78" s="32">
        <f>SUM(AV78:AY78)</f>
        <v>-15</v>
      </c>
      <c r="BY78" s="32">
        <f t="shared" si="336"/>
        <v>32</v>
      </c>
      <c r="BZ78" s="32">
        <f>SUM(BD78:BG78)</f>
        <v>0</v>
      </c>
      <c r="CA78" s="1410">
        <f>SUM(BH78:BK78)</f>
        <v>0</v>
      </c>
      <c r="CB78" s="166"/>
      <c r="CC78" s="34">
        <f>SUM(E78:H78)</f>
        <v>36</v>
      </c>
      <c r="CD78" s="32">
        <f>SUM(I78:L78)</f>
        <v>22</v>
      </c>
      <c r="CE78" s="32">
        <f>SUM(M78:P78)</f>
        <v>17</v>
      </c>
      <c r="CF78" s="32">
        <f>SUM(Q78:T78)</f>
        <v>0</v>
      </c>
      <c r="CG78" s="32">
        <f>SUM(U78:X78)</f>
        <v>0</v>
      </c>
      <c r="CH78" s="32">
        <f>SUM(Y78:AB78)</f>
        <v>0</v>
      </c>
      <c r="CI78" s="34">
        <f>SUM(AC78:AF78)</f>
        <v>0</v>
      </c>
      <c r="CJ78" s="32">
        <f>SUM(AG78:AJ78)</f>
        <v>0</v>
      </c>
      <c r="CK78" s="32">
        <f>SUM(AK78:AN78)</f>
        <v>0</v>
      </c>
      <c r="CL78" s="32">
        <f>SUM(AO78:AR78)</f>
        <v>51</v>
      </c>
      <c r="CM78" s="32">
        <f>SUM(AS78:AV78)</f>
        <v>158</v>
      </c>
      <c r="CN78" s="34">
        <f>SUM(AW78:AZ78)</f>
        <v>39</v>
      </c>
      <c r="CO78" s="32">
        <f>SUM(BA78:BD78)</f>
        <v>0</v>
      </c>
      <c r="CP78" s="1410">
        <f>SUM(BE78:BH78)</f>
        <v>0</v>
      </c>
      <c r="CQ78" s="10"/>
      <c r="CR78"/>
      <c r="CS78"/>
      <c r="CT78"/>
      <c r="CU78"/>
      <c r="CV78"/>
      <c r="CW78"/>
      <c r="CX78" s="10"/>
    </row>
    <row r="79" spans="1:102" ht="14.25" hidden="1" customHeight="1" outlineLevel="1">
      <c r="A79" s="7"/>
      <c r="B79" s="27" t="s">
        <v>283</v>
      </c>
      <c r="C79" s="22"/>
      <c r="D79" s="29">
        <v>0</v>
      </c>
      <c r="E79" s="30">
        <v>0</v>
      </c>
      <c r="F79" s="30">
        <v>0</v>
      </c>
      <c r="G79" s="30">
        <v>0</v>
      </c>
      <c r="H79" s="29">
        <v>0</v>
      </c>
      <c r="I79" s="30">
        <v>-10</v>
      </c>
      <c r="J79" s="30">
        <v>-1</v>
      </c>
      <c r="K79" s="31">
        <v>-1</v>
      </c>
      <c r="L79" s="29">
        <v>-10</v>
      </c>
      <c r="M79" s="30">
        <v>0</v>
      </c>
      <c r="N79" s="30">
        <v>0</v>
      </c>
      <c r="O79" s="31">
        <v>0</v>
      </c>
      <c r="P79" s="30">
        <v>1</v>
      </c>
      <c r="Q79" s="30">
        <v>0</v>
      </c>
      <c r="R79" s="30">
        <v>0</v>
      </c>
      <c r="S79" s="30">
        <v>-9</v>
      </c>
      <c r="T79" s="29">
        <v>-24</v>
      </c>
      <c r="U79" s="30">
        <v>0</v>
      </c>
      <c r="V79" s="30">
        <v>0</v>
      </c>
      <c r="W79" s="31">
        <v>0</v>
      </c>
      <c r="X79" s="30">
        <v>-19</v>
      </c>
      <c r="Y79" s="30">
        <v>-1</v>
      </c>
      <c r="Z79" s="30">
        <v>0</v>
      </c>
      <c r="AA79" s="30">
        <v>0</v>
      </c>
      <c r="AB79" s="29">
        <v>0</v>
      </c>
      <c r="AC79" s="30">
        <v>0</v>
      </c>
      <c r="AD79" s="30">
        <v>0</v>
      </c>
      <c r="AE79" s="31">
        <v>0</v>
      </c>
      <c r="AF79" s="30">
        <v>0</v>
      </c>
      <c r="AG79" s="30">
        <v>0</v>
      </c>
      <c r="AH79" s="30">
        <v>0</v>
      </c>
      <c r="AI79" s="30">
        <v>-1</v>
      </c>
      <c r="AJ79" s="29">
        <v>0</v>
      </c>
      <c r="AK79" s="30">
        <v>0</v>
      </c>
      <c r="AL79" s="30">
        <v>-44</v>
      </c>
      <c r="AM79" s="30">
        <v>-2</v>
      </c>
      <c r="AN79" s="29">
        <v>13</v>
      </c>
      <c r="AO79" s="30">
        <v>5</v>
      </c>
      <c r="AP79" s="30">
        <v>-4</v>
      </c>
      <c r="AQ79" s="30">
        <v>-41</v>
      </c>
      <c r="AR79" s="29">
        <v>0</v>
      </c>
      <c r="AS79" s="30">
        <v>-38</v>
      </c>
      <c r="AT79" s="30">
        <v>-12</v>
      </c>
      <c r="AU79" s="30">
        <f>-49-62</f>
        <v>-111</v>
      </c>
      <c r="AV79" s="29">
        <f>-159-5</f>
        <v>-164</v>
      </c>
      <c r="AW79" s="30">
        <v>-4</v>
      </c>
      <c r="AX79" s="30">
        <v>-2</v>
      </c>
      <c r="AY79" s="30">
        <v>5</v>
      </c>
      <c r="AZ79" s="29">
        <v>-15</v>
      </c>
      <c r="BA79" s="30">
        <v>0</v>
      </c>
      <c r="BB79" s="30">
        <v>0</v>
      </c>
      <c r="BC79" s="31">
        <v>0</v>
      </c>
      <c r="BD79" s="29">
        <v>0</v>
      </c>
      <c r="BE79" s="30">
        <v>0</v>
      </c>
      <c r="BF79" s="30">
        <v>0</v>
      </c>
      <c r="BG79" s="1415">
        <v>0</v>
      </c>
      <c r="BH79" s="29">
        <v>0</v>
      </c>
      <c r="BI79" s="30">
        <v>0</v>
      </c>
      <c r="BJ79" s="30">
        <v>0</v>
      </c>
      <c r="BK79" s="1415">
        <v>0</v>
      </c>
      <c r="BL79" s="232"/>
      <c r="BM79" s="34">
        <f>SUM(D79:G79)</f>
        <v>0</v>
      </c>
      <c r="BN79" s="32">
        <f>SUM(H79:K79)</f>
        <v>-12</v>
      </c>
      <c r="BO79" s="32">
        <f>SUM(L79:O79)</f>
        <v>-10</v>
      </c>
      <c r="BP79" s="32">
        <f>SUM(P79:S79)</f>
        <v>-8</v>
      </c>
      <c r="BQ79" s="32">
        <f>SUM(T79:W79)</f>
        <v>-24</v>
      </c>
      <c r="BR79" s="32">
        <f>SUM(X79:AA79)</f>
        <v>-20</v>
      </c>
      <c r="BS79" s="32">
        <f>SUM(AB79:AE79)</f>
        <v>0</v>
      </c>
      <c r="BT79" s="33">
        <f>SUM(AF79:AI79)</f>
        <v>-1</v>
      </c>
      <c r="BU79" s="34">
        <f>SUM(AJ79:AM79)</f>
        <v>-46</v>
      </c>
      <c r="BV79" s="32">
        <f>SUM(AN79:AQ79)</f>
        <v>-27</v>
      </c>
      <c r="BW79" s="32">
        <f>SUM(AR79:AU79)</f>
        <v>-161</v>
      </c>
      <c r="BX79" s="32">
        <f>SUM(AV79:AY79)</f>
        <v>-165</v>
      </c>
      <c r="BY79" s="32">
        <f t="shared" si="336"/>
        <v>-15</v>
      </c>
      <c r="BZ79" s="32">
        <f>SUM(BD79:BG79)</f>
        <v>0</v>
      </c>
      <c r="CA79" s="1410">
        <f>SUM(BH79:BK79)</f>
        <v>0</v>
      </c>
      <c r="CB79" s="19"/>
      <c r="CC79" s="34">
        <f>SUM(E79:H79)</f>
        <v>0</v>
      </c>
      <c r="CD79" s="32">
        <f>SUM(I79:L79)</f>
        <v>-22</v>
      </c>
      <c r="CE79" s="32">
        <f>SUM(M79:P79)</f>
        <v>1</v>
      </c>
      <c r="CF79" s="32">
        <f>SUM(Q79:T79)</f>
        <v>-33</v>
      </c>
      <c r="CG79" s="32">
        <f>SUM(U79:X79)</f>
        <v>-19</v>
      </c>
      <c r="CH79" s="32">
        <f>SUM(Y79:AB79)</f>
        <v>-1</v>
      </c>
      <c r="CI79" s="34">
        <f>SUM(AC79:AF79)</f>
        <v>0</v>
      </c>
      <c r="CJ79" s="32">
        <f>SUM(AG79:AJ79)</f>
        <v>-1</v>
      </c>
      <c r="CK79" s="32">
        <f>SUM(AK79:AN79)</f>
        <v>-33</v>
      </c>
      <c r="CL79" s="32">
        <f>SUM(AO79:AR79)</f>
        <v>-40</v>
      </c>
      <c r="CM79" s="32">
        <f>SUM(AS79:AV79)</f>
        <v>-325</v>
      </c>
      <c r="CN79" s="34">
        <f>SUM(AW79:AZ79)</f>
        <v>-16</v>
      </c>
      <c r="CO79" s="32">
        <f>SUM(BA79:BD79)</f>
        <v>0</v>
      </c>
      <c r="CP79" s="1410">
        <f>SUM(BE79:BH79)</f>
        <v>0</v>
      </c>
      <c r="CQ79" s="7"/>
      <c r="CX79" s="7"/>
    </row>
    <row r="80" spans="1:102" ht="14.25" hidden="1" customHeight="1" outlineLevel="1">
      <c r="A80" s="7"/>
      <c r="B80" s="21" t="s">
        <v>1</v>
      </c>
      <c r="C80" s="22"/>
      <c r="D80" s="34">
        <f t="shared" ref="D80:AJ80" si="347">D74-D78-D79</f>
        <v>-38</v>
      </c>
      <c r="E80" s="32">
        <f t="shared" si="347"/>
        <v>-36</v>
      </c>
      <c r="F80" s="32">
        <f t="shared" si="347"/>
        <v>-32</v>
      </c>
      <c r="G80" s="32">
        <f t="shared" si="347"/>
        <v>-25</v>
      </c>
      <c r="H80" s="34">
        <f t="shared" si="347"/>
        <v>-28</v>
      </c>
      <c r="I80" s="32">
        <f t="shared" si="347"/>
        <v>-23</v>
      </c>
      <c r="J80" s="32">
        <f t="shared" si="347"/>
        <v>-24</v>
      </c>
      <c r="K80" s="33">
        <f t="shared" si="347"/>
        <v>-20</v>
      </c>
      <c r="L80" s="34">
        <f t="shared" si="347"/>
        <v>-24</v>
      </c>
      <c r="M80" s="32">
        <f t="shared" si="347"/>
        <v>-19</v>
      </c>
      <c r="N80" s="32">
        <f t="shared" si="347"/>
        <v>-20</v>
      </c>
      <c r="O80" s="33">
        <f t="shared" si="347"/>
        <v>-27</v>
      </c>
      <c r="P80" s="32">
        <f t="shared" si="347"/>
        <v>-20</v>
      </c>
      <c r="Q80" s="32">
        <f t="shared" si="347"/>
        <v>-22</v>
      </c>
      <c r="R80" s="32">
        <f t="shared" si="347"/>
        <v>-16</v>
      </c>
      <c r="S80" s="32">
        <f t="shared" si="347"/>
        <v>-18</v>
      </c>
      <c r="T80" s="34">
        <f t="shared" si="347"/>
        <v>-12</v>
      </c>
      <c r="U80" s="32">
        <f t="shared" si="347"/>
        <v>-9</v>
      </c>
      <c r="V80" s="32">
        <f t="shared" si="347"/>
        <v>-8</v>
      </c>
      <c r="W80" s="33">
        <f t="shared" si="347"/>
        <v>-7</v>
      </c>
      <c r="X80" s="32">
        <f t="shared" si="347"/>
        <v>-3</v>
      </c>
      <c r="Y80" s="32">
        <f t="shared" si="347"/>
        <v>0</v>
      </c>
      <c r="Z80" s="32">
        <f t="shared" si="347"/>
        <v>0</v>
      </c>
      <c r="AA80" s="32">
        <f t="shared" si="347"/>
        <v>0</v>
      </c>
      <c r="AB80" s="34">
        <f t="shared" si="347"/>
        <v>-2</v>
      </c>
      <c r="AC80" s="32">
        <f t="shared" si="347"/>
        <v>3</v>
      </c>
      <c r="AD80" s="32">
        <f t="shared" si="347"/>
        <v>1</v>
      </c>
      <c r="AE80" s="33">
        <f t="shared" si="347"/>
        <v>1</v>
      </c>
      <c r="AF80" s="32">
        <f t="shared" si="347"/>
        <v>2</v>
      </c>
      <c r="AG80" s="32">
        <f t="shared" si="347"/>
        <v>0</v>
      </c>
      <c r="AH80" s="32">
        <f t="shared" si="347"/>
        <v>4</v>
      </c>
      <c r="AI80" s="32">
        <f t="shared" si="347"/>
        <v>11</v>
      </c>
      <c r="AJ80" s="34">
        <f t="shared" si="347"/>
        <v>0</v>
      </c>
      <c r="AK80" s="32">
        <f t="shared" ref="AK80:AN80" si="348">AK74+AK78-AK79</f>
        <v>-1</v>
      </c>
      <c r="AL80" s="32">
        <f t="shared" si="348"/>
        <v>-57</v>
      </c>
      <c r="AM80" s="32">
        <f t="shared" si="348"/>
        <v>-38</v>
      </c>
      <c r="AN80" s="34">
        <f t="shared" si="348"/>
        <v>-50</v>
      </c>
      <c r="AO80" s="32">
        <f>AO74+AO78-AO79</f>
        <v>-41</v>
      </c>
      <c r="AP80" s="32">
        <f t="shared" ref="AP80:BC80" si="349">AP74+AP78-AP79</f>
        <v>-35</v>
      </c>
      <c r="AQ80" s="32">
        <f t="shared" si="349"/>
        <v>-31</v>
      </c>
      <c r="AR80" s="34">
        <f>AR74+AR78-AR79</f>
        <v>-38</v>
      </c>
      <c r="AS80" s="32">
        <f>AS74+AS78-AS79</f>
        <v>-156</v>
      </c>
      <c r="AT80" s="32">
        <f t="shared" ref="AT80:AU80" si="350">AT74+AT78-AT79</f>
        <v>-135</v>
      </c>
      <c r="AU80" s="32">
        <f t="shared" si="350"/>
        <v>-97</v>
      </c>
      <c r="AV80" s="34">
        <f>AV74+AV78-AV79</f>
        <v>-102</v>
      </c>
      <c r="AW80" s="32">
        <f>AW74+AW78-AW79</f>
        <v>-109</v>
      </c>
      <c r="AX80" s="32">
        <f t="shared" ref="AX80:AY80" si="351">AX74+AX78-AX79</f>
        <v>-100</v>
      </c>
      <c r="AY80" s="32">
        <f t="shared" si="351"/>
        <v>-103</v>
      </c>
      <c r="AZ80" s="34">
        <f>AZ74+AZ78-AZ79</f>
        <v>-116</v>
      </c>
      <c r="BA80" s="32">
        <f t="shared" si="349"/>
        <v>-114</v>
      </c>
      <c r="BB80" s="32">
        <f t="shared" si="349"/>
        <v>-112.5</v>
      </c>
      <c r="BC80" s="33">
        <f t="shared" si="349"/>
        <v>-111</v>
      </c>
      <c r="BD80" s="34">
        <f t="shared" ref="BD80:BG80" si="352">BD74+BD78-BD79</f>
        <v>-109.5</v>
      </c>
      <c r="BE80" s="32">
        <f t="shared" si="352"/>
        <v>-108</v>
      </c>
      <c r="BF80" s="32">
        <f t="shared" si="352"/>
        <v>-106.5</v>
      </c>
      <c r="BG80" s="1410">
        <f t="shared" si="352"/>
        <v>-105</v>
      </c>
      <c r="BH80" s="34">
        <f t="shared" ref="BH80:BK80" si="353">BH74+BH78-BH79</f>
        <v>-103.5</v>
      </c>
      <c r="BI80" s="32">
        <f t="shared" si="353"/>
        <v>-102</v>
      </c>
      <c r="BJ80" s="32">
        <f t="shared" si="353"/>
        <v>-100.5</v>
      </c>
      <c r="BK80" s="1410">
        <f t="shared" si="353"/>
        <v>-99</v>
      </c>
      <c r="BL80" s="232"/>
      <c r="BM80" s="34">
        <f t="shared" ref="BM80:BU80" si="354">BM74-BM78-BM79</f>
        <v>-131</v>
      </c>
      <c r="BN80" s="32">
        <f t="shared" si="354"/>
        <v>-95</v>
      </c>
      <c r="BO80" s="32">
        <f t="shared" si="354"/>
        <v>-90</v>
      </c>
      <c r="BP80" s="32">
        <f t="shared" si="354"/>
        <v>-76</v>
      </c>
      <c r="BQ80" s="32">
        <f t="shared" si="354"/>
        <v>-36</v>
      </c>
      <c r="BR80" s="32">
        <f t="shared" si="354"/>
        <v>-3</v>
      </c>
      <c r="BS80" s="32">
        <f t="shared" si="354"/>
        <v>3</v>
      </c>
      <c r="BT80" s="33">
        <f t="shared" si="354"/>
        <v>17</v>
      </c>
      <c r="BU80" s="34">
        <f t="shared" si="354"/>
        <v>-96</v>
      </c>
      <c r="BV80" s="32">
        <f>BV74+BV78-BV79</f>
        <v>-157</v>
      </c>
      <c r="BW80" s="32">
        <f t="shared" ref="BW80" si="355">BW74+BW78-BW79</f>
        <v>-426</v>
      </c>
      <c r="BX80" s="32">
        <f t="shared" ref="BX80:BY80" si="356">BX74+BX78-BX79</f>
        <v>-414</v>
      </c>
      <c r="BY80" s="32">
        <f t="shared" si="356"/>
        <v>-453.5</v>
      </c>
      <c r="BZ80" s="32">
        <f t="shared" ref="BZ80:CA80" si="357">BZ74+BZ78-BZ79</f>
        <v>-429</v>
      </c>
      <c r="CA80" s="1410">
        <f t="shared" si="357"/>
        <v>-405</v>
      </c>
      <c r="CB80" s="19"/>
      <c r="CC80" s="34">
        <f t="shared" ref="CC80:CJ80" si="358">CC74-CC78-CC79</f>
        <v>-121</v>
      </c>
      <c r="CD80" s="32">
        <f t="shared" si="358"/>
        <v>-91</v>
      </c>
      <c r="CE80" s="32">
        <f t="shared" si="358"/>
        <v>-86</v>
      </c>
      <c r="CF80" s="32">
        <f t="shared" si="358"/>
        <v>-68</v>
      </c>
      <c r="CG80" s="32">
        <f t="shared" si="358"/>
        <v>-27</v>
      </c>
      <c r="CH80" s="32">
        <f t="shared" si="358"/>
        <v>-2</v>
      </c>
      <c r="CI80" s="34">
        <f t="shared" si="358"/>
        <v>7</v>
      </c>
      <c r="CJ80" s="32">
        <f t="shared" si="358"/>
        <v>15</v>
      </c>
      <c r="CK80" s="32">
        <f>CK74-CK78-CK79</f>
        <v>-146</v>
      </c>
      <c r="CL80" s="32">
        <f>CL74+CL78-CL79</f>
        <v>-145</v>
      </c>
      <c r="CM80" s="32">
        <f>CM74+CM78-CM79</f>
        <v>-490</v>
      </c>
      <c r="CN80" s="34">
        <f>CN74+CN78-CN79</f>
        <v>-428</v>
      </c>
      <c r="CO80" s="32">
        <f>CO74+CO78-CO79</f>
        <v>-447</v>
      </c>
      <c r="CP80" s="1410">
        <f>CP74+CP78-CP79</f>
        <v>-423</v>
      </c>
      <c r="CQ80" s="7"/>
      <c r="CX80" s="7"/>
    </row>
    <row r="81" spans="1:102" ht="14.25" customHeight="1" collapsed="1">
      <c r="A81" s="7"/>
      <c r="B81" s="27"/>
      <c r="C81" s="28"/>
      <c r="D81" s="39"/>
      <c r="E81" s="37"/>
      <c r="F81" s="42"/>
      <c r="G81" s="37"/>
      <c r="H81" s="39"/>
      <c r="I81" s="37"/>
      <c r="J81" s="42"/>
      <c r="K81" s="38"/>
      <c r="L81" s="39"/>
      <c r="M81" s="37"/>
      <c r="N81" s="42"/>
      <c r="O81" s="38"/>
      <c r="P81" s="37"/>
      <c r="Q81" s="37"/>
      <c r="R81" s="42"/>
      <c r="S81" s="37"/>
      <c r="T81" s="39"/>
      <c r="U81" s="37"/>
      <c r="V81" s="42"/>
      <c r="W81" s="38"/>
      <c r="X81" s="37"/>
      <c r="Y81" s="37"/>
      <c r="Z81" s="37"/>
      <c r="AA81" s="37"/>
      <c r="AB81" s="39"/>
      <c r="AC81" s="37"/>
      <c r="AD81" s="37"/>
      <c r="AE81" s="38"/>
      <c r="AF81" s="37"/>
      <c r="AG81" s="37"/>
      <c r="AH81" s="37"/>
      <c r="AI81" s="37"/>
      <c r="AJ81" s="39"/>
      <c r="AK81" s="37"/>
      <c r="AL81" s="37"/>
      <c r="AM81" s="37"/>
      <c r="AN81" s="39"/>
      <c r="AO81" s="37"/>
      <c r="AP81" s="37"/>
      <c r="AQ81" s="37"/>
      <c r="AR81" s="39"/>
      <c r="AS81" s="37"/>
      <c r="AT81" s="37"/>
      <c r="AU81" s="37"/>
      <c r="AV81" s="39"/>
      <c r="AW81" s="37"/>
      <c r="AX81" s="37"/>
      <c r="AY81" s="37"/>
      <c r="AZ81" s="39"/>
      <c r="BA81" s="1330"/>
      <c r="BB81" s="1330"/>
      <c r="BC81" s="1331"/>
      <c r="BD81" s="1332"/>
      <c r="BE81" s="1330"/>
      <c r="BF81" s="1330"/>
      <c r="BG81" s="1426"/>
      <c r="BH81" s="1332"/>
      <c r="BI81" s="1330"/>
      <c r="BJ81" s="1330"/>
      <c r="BK81" s="1426"/>
      <c r="BL81" s="232"/>
      <c r="BM81" s="39"/>
      <c r="BN81" s="37"/>
      <c r="BO81" s="37"/>
      <c r="BP81" s="37"/>
      <c r="BQ81" s="37"/>
      <c r="BR81" s="37"/>
      <c r="BS81" s="37"/>
      <c r="BT81" s="38"/>
      <c r="BU81" s="39"/>
      <c r="BV81" s="37"/>
      <c r="BW81" s="37"/>
      <c r="BX81" s="37"/>
      <c r="BY81" s="37"/>
      <c r="BZ81" s="37"/>
      <c r="CA81" s="1411"/>
      <c r="CB81" s="19"/>
      <c r="CC81" s="39"/>
      <c r="CD81" s="37"/>
      <c r="CE81" s="37"/>
      <c r="CF81" s="37"/>
      <c r="CG81" s="37"/>
      <c r="CH81" s="37"/>
      <c r="CI81" s="39"/>
      <c r="CJ81" s="37"/>
      <c r="CK81" s="37"/>
      <c r="CL81" s="37"/>
      <c r="CM81" s="37"/>
      <c r="CN81" s="39"/>
      <c r="CO81" s="37"/>
      <c r="CP81" s="1411"/>
      <c r="CQ81" s="7"/>
      <c r="CX81" s="7"/>
    </row>
    <row r="82" spans="1:102" ht="14.25" customHeight="1">
      <c r="A82" s="7"/>
      <c r="B82" s="43" t="s">
        <v>284</v>
      </c>
      <c r="C82" s="44"/>
      <c r="D82" s="45">
        <f t="shared" ref="D82:AK82" si="359">D68+D74</f>
        <v>-99</v>
      </c>
      <c r="E82" s="46">
        <f t="shared" si="359"/>
        <v>-47</v>
      </c>
      <c r="F82" s="46">
        <f t="shared" si="359"/>
        <v>-22</v>
      </c>
      <c r="G82" s="46">
        <f t="shared" si="359"/>
        <v>-78</v>
      </c>
      <c r="H82" s="45">
        <f t="shared" si="359"/>
        <v>9</v>
      </c>
      <c r="I82" s="46">
        <f t="shared" si="359"/>
        <v>4</v>
      </c>
      <c r="J82" s="46">
        <f t="shared" si="359"/>
        <v>-164</v>
      </c>
      <c r="K82" s="47">
        <f t="shared" si="359"/>
        <v>0</v>
      </c>
      <c r="L82" s="45">
        <f t="shared" si="359"/>
        <v>7</v>
      </c>
      <c r="M82" s="46">
        <f t="shared" si="359"/>
        <v>21</v>
      </c>
      <c r="N82" s="46">
        <f t="shared" si="359"/>
        <v>49</v>
      </c>
      <c r="O82" s="47">
        <f t="shared" si="359"/>
        <v>9</v>
      </c>
      <c r="P82" s="46">
        <f t="shared" si="359"/>
        <v>11</v>
      </c>
      <c r="Q82" s="46">
        <f t="shared" si="359"/>
        <v>-33</v>
      </c>
      <c r="R82" s="46">
        <f t="shared" si="359"/>
        <v>8</v>
      </c>
      <c r="S82" s="46">
        <f t="shared" si="359"/>
        <v>-22</v>
      </c>
      <c r="T82" s="45">
        <f t="shared" si="359"/>
        <v>42</v>
      </c>
      <c r="U82" s="46">
        <f t="shared" si="359"/>
        <v>99</v>
      </c>
      <c r="V82" s="46">
        <f t="shared" si="359"/>
        <v>127</v>
      </c>
      <c r="W82" s="47">
        <f t="shared" si="359"/>
        <v>138</v>
      </c>
      <c r="X82" s="46">
        <f t="shared" si="359"/>
        <v>120</v>
      </c>
      <c r="Y82" s="46">
        <f t="shared" si="359"/>
        <v>137</v>
      </c>
      <c r="Z82" s="46">
        <f t="shared" si="359"/>
        <v>145</v>
      </c>
      <c r="AA82" s="46">
        <f t="shared" si="359"/>
        <v>159</v>
      </c>
      <c r="AB82" s="45">
        <f t="shared" si="359"/>
        <v>130</v>
      </c>
      <c r="AC82" s="46">
        <f t="shared" si="359"/>
        <v>140</v>
      </c>
      <c r="AD82" s="46">
        <f t="shared" si="359"/>
        <v>150</v>
      </c>
      <c r="AE82" s="47">
        <f t="shared" si="359"/>
        <v>165</v>
      </c>
      <c r="AF82" s="46">
        <f t="shared" si="359"/>
        <v>126</v>
      </c>
      <c r="AG82" s="46">
        <f t="shared" si="359"/>
        <v>118</v>
      </c>
      <c r="AH82" s="46">
        <f t="shared" si="359"/>
        <v>144</v>
      </c>
      <c r="AI82" s="46">
        <f t="shared" si="359"/>
        <v>180</v>
      </c>
      <c r="AJ82" s="45">
        <f t="shared" si="359"/>
        <v>139</v>
      </c>
      <c r="AK82" s="46">
        <f t="shared" si="359"/>
        <v>159</v>
      </c>
      <c r="AL82" s="46">
        <f>AL68+AL74</f>
        <v>-263</v>
      </c>
      <c r="AM82" s="46">
        <f>AM68+AM74</f>
        <v>261</v>
      </c>
      <c r="AN82" s="45">
        <f>AN68+AN74</f>
        <v>364</v>
      </c>
      <c r="AO82" s="46">
        <f t="shared" ref="AO82:BC82" si="360">AO68+AO74</f>
        <v>369</v>
      </c>
      <c r="AP82" s="46">
        <f t="shared" si="360"/>
        <v>263</v>
      </c>
      <c r="AQ82" s="46">
        <f>AQ68+AQ74</f>
        <v>444</v>
      </c>
      <c r="AR82" s="45">
        <f>AR68+AR74</f>
        <v>394</v>
      </c>
      <c r="AS82" s="46">
        <f t="shared" ref="AS82" si="361">AS68+AS74</f>
        <v>-1354</v>
      </c>
      <c r="AT82" s="46">
        <f>AT68+AT74</f>
        <v>-432</v>
      </c>
      <c r="AU82" s="46">
        <f>AU68+AU74</f>
        <v>173</v>
      </c>
      <c r="AV82" s="45">
        <f>AV68+AV74</f>
        <v>262</v>
      </c>
      <c r="AW82" s="46">
        <f t="shared" ref="AW82" si="362">AW68+AW74</f>
        <v>361</v>
      </c>
      <c r="AX82" s="46">
        <f>AX68+AX74</f>
        <v>546</v>
      </c>
      <c r="AY82" s="46">
        <f>AY68+AY74</f>
        <v>760</v>
      </c>
      <c r="AZ82" s="45">
        <f>AZ68+AZ74</f>
        <v>780</v>
      </c>
      <c r="BA82" s="46">
        <f t="shared" si="360"/>
        <v>1999.5944684381452</v>
      </c>
      <c r="BB82" s="46">
        <f t="shared" si="360"/>
        <v>2083.5608700764133</v>
      </c>
      <c r="BC82" s="47">
        <f t="shared" si="360"/>
        <v>2279.3534685918726</v>
      </c>
      <c r="BD82" s="45">
        <f t="shared" ref="BD82:BG82" si="363">BD68+BD74</f>
        <v>2157.2652580186846</v>
      </c>
      <c r="BE82" s="46">
        <f t="shared" si="363"/>
        <v>2086.363599824811</v>
      </c>
      <c r="BF82" s="46">
        <f t="shared" si="363"/>
        <v>2271.9111434505494</v>
      </c>
      <c r="BG82" s="1412">
        <f t="shared" si="363"/>
        <v>2576.3871184223876</v>
      </c>
      <c r="BH82" s="45">
        <f t="shared" ref="BH82:BK82" si="364">BH68+BH74</f>
        <v>2443.6965755790206</v>
      </c>
      <c r="BI82" s="46">
        <f t="shared" si="364"/>
        <v>2281.0891608817324</v>
      </c>
      <c r="BJ82" s="46">
        <f t="shared" si="364"/>
        <v>2407.0140403649775</v>
      </c>
      <c r="BK82" s="1412">
        <f t="shared" si="364"/>
        <v>2597.7195847637176</v>
      </c>
      <c r="BL82" s="232"/>
      <c r="BM82" s="45">
        <f t="shared" ref="BM82:BU82" si="365">BM68+BM74</f>
        <v>-246</v>
      </c>
      <c r="BN82" s="46">
        <f t="shared" si="365"/>
        <v>-151</v>
      </c>
      <c r="BO82" s="46">
        <f t="shared" si="365"/>
        <v>86</v>
      </c>
      <c r="BP82" s="46">
        <f t="shared" si="365"/>
        <v>-36</v>
      </c>
      <c r="BQ82" s="46">
        <f t="shared" si="365"/>
        <v>406</v>
      </c>
      <c r="BR82" s="46">
        <f t="shared" si="365"/>
        <v>561</v>
      </c>
      <c r="BS82" s="46">
        <f t="shared" si="365"/>
        <v>585</v>
      </c>
      <c r="BT82" s="47">
        <f t="shared" si="365"/>
        <v>568</v>
      </c>
      <c r="BU82" s="45">
        <f t="shared" si="365"/>
        <v>296</v>
      </c>
      <c r="BV82" s="46">
        <f t="shared" ref="BV82:CA82" si="366">BV68+BV74</f>
        <v>1440</v>
      </c>
      <c r="BW82" s="46">
        <f t="shared" si="366"/>
        <v>-1219</v>
      </c>
      <c r="BX82" s="46">
        <f t="shared" si="366"/>
        <v>1929</v>
      </c>
      <c r="BY82" s="46">
        <f t="shared" si="366"/>
        <v>7142.508807106432</v>
      </c>
      <c r="BZ82" s="46">
        <f t="shared" si="366"/>
        <v>9091.9271197164326</v>
      </c>
      <c r="CA82" s="1412">
        <f t="shared" si="366"/>
        <v>9729.5193615894514</v>
      </c>
      <c r="CB82" s="19"/>
      <c r="CC82" s="45">
        <f t="shared" ref="CC82:CJ82" si="367">CC68+CC74</f>
        <v>-138</v>
      </c>
      <c r="CD82" s="46">
        <f t="shared" si="367"/>
        <v>-153</v>
      </c>
      <c r="CE82" s="46">
        <f t="shared" si="367"/>
        <v>90</v>
      </c>
      <c r="CF82" s="46">
        <f t="shared" si="367"/>
        <v>-5</v>
      </c>
      <c r="CG82" s="46">
        <f t="shared" si="367"/>
        <v>484</v>
      </c>
      <c r="CH82" s="46">
        <f t="shared" si="367"/>
        <v>571</v>
      </c>
      <c r="CI82" s="45">
        <f t="shared" si="367"/>
        <v>581</v>
      </c>
      <c r="CJ82" s="46">
        <f t="shared" si="367"/>
        <v>581</v>
      </c>
      <c r="CK82" s="46">
        <f t="shared" ref="CK82:CP82" si="368">CK68+CK74</f>
        <v>521</v>
      </c>
      <c r="CL82" s="46">
        <f t="shared" si="368"/>
        <v>1470</v>
      </c>
      <c r="CM82" s="46">
        <f t="shared" si="368"/>
        <v>-1351</v>
      </c>
      <c r="CN82" s="45">
        <f t="shared" si="368"/>
        <v>2447</v>
      </c>
      <c r="CO82" s="46">
        <f t="shared" si="368"/>
        <v>8519.774065125117</v>
      </c>
      <c r="CP82" s="1412">
        <f t="shared" si="368"/>
        <v>9378.3584372767655</v>
      </c>
      <c r="CQ82" s="7"/>
      <c r="CX82" s="7"/>
    </row>
    <row r="83" spans="1:102" ht="14.25" hidden="1" customHeight="1" outlineLevel="1">
      <c r="A83" s="7"/>
      <c r="B83" s="43" t="s">
        <v>2</v>
      </c>
      <c r="C83" s="44"/>
      <c r="D83" s="45">
        <f t="shared" ref="D83:AL83" si="369">D71+D80</f>
        <v>-88</v>
      </c>
      <c r="E83" s="46">
        <f t="shared" si="369"/>
        <v>-16</v>
      </c>
      <c r="F83" s="46">
        <f t="shared" si="369"/>
        <v>12</v>
      </c>
      <c r="G83" s="46">
        <f t="shared" si="369"/>
        <v>-18</v>
      </c>
      <c r="H83" s="45">
        <f t="shared" si="369"/>
        <v>5</v>
      </c>
      <c r="I83" s="46">
        <f t="shared" si="369"/>
        <v>30</v>
      </c>
      <c r="J83" s="46">
        <f t="shared" si="369"/>
        <v>29</v>
      </c>
      <c r="K83" s="47">
        <f t="shared" si="369"/>
        <v>34</v>
      </c>
      <c r="L83" s="45">
        <f t="shared" si="369"/>
        <v>32</v>
      </c>
      <c r="M83" s="46">
        <f t="shared" si="369"/>
        <v>45</v>
      </c>
      <c r="N83" s="46">
        <f t="shared" si="369"/>
        <v>50</v>
      </c>
      <c r="O83" s="47">
        <f t="shared" si="369"/>
        <v>40</v>
      </c>
      <c r="P83" s="46">
        <f t="shared" si="369"/>
        <v>42</v>
      </c>
      <c r="Q83" s="46">
        <f t="shared" si="369"/>
        <v>-8</v>
      </c>
      <c r="R83" s="46">
        <f t="shared" si="369"/>
        <v>43</v>
      </c>
      <c r="S83" s="46">
        <f t="shared" si="369"/>
        <v>66</v>
      </c>
      <c r="T83" s="45">
        <f t="shared" si="369"/>
        <v>87</v>
      </c>
      <c r="U83" s="46">
        <f t="shared" si="369"/>
        <v>120</v>
      </c>
      <c r="V83" s="46">
        <f t="shared" si="369"/>
        <v>149</v>
      </c>
      <c r="W83" s="47">
        <f t="shared" si="369"/>
        <v>157</v>
      </c>
      <c r="X83" s="46">
        <f t="shared" si="369"/>
        <v>159</v>
      </c>
      <c r="Y83" s="46">
        <f t="shared" si="369"/>
        <v>158</v>
      </c>
      <c r="Z83" s="46">
        <f t="shared" si="369"/>
        <v>166</v>
      </c>
      <c r="AA83" s="46">
        <f t="shared" si="369"/>
        <v>180</v>
      </c>
      <c r="AB83" s="45">
        <f t="shared" si="369"/>
        <v>150</v>
      </c>
      <c r="AC83" s="46">
        <f t="shared" si="369"/>
        <v>161</v>
      </c>
      <c r="AD83" s="46">
        <f t="shared" si="369"/>
        <v>172</v>
      </c>
      <c r="AE83" s="47">
        <f t="shared" si="369"/>
        <v>186</v>
      </c>
      <c r="AF83" s="46">
        <f t="shared" si="369"/>
        <v>146</v>
      </c>
      <c r="AG83" s="46">
        <f t="shared" si="369"/>
        <v>141</v>
      </c>
      <c r="AH83" s="46">
        <f t="shared" si="369"/>
        <v>175</v>
      </c>
      <c r="AI83" s="46">
        <f t="shared" si="369"/>
        <v>218</v>
      </c>
      <c r="AJ83" s="45">
        <f t="shared" si="369"/>
        <v>200</v>
      </c>
      <c r="AK83" s="46">
        <f t="shared" si="369"/>
        <v>202</v>
      </c>
      <c r="AL83" s="46">
        <f t="shared" si="369"/>
        <v>321</v>
      </c>
      <c r="AM83" s="46">
        <f>AM71+AM80</f>
        <v>549</v>
      </c>
      <c r="AN83" s="45">
        <f>AN71+AN80</f>
        <v>582</v>
      </c>
      <c r="AO83" s="46">
        <f t="shared" ref="AO83:BC83" si="370">AO71+AO80</f>
        <v>603</v>
      </c>
      <c r="AP83" s="46">
        <f t="shared" si="370"/>
        <v>635</v>
      </c>
      <c r="AQ83" s="46">
        <f>AQ71+AQ80</f>
        <v>717</v>
      </c>
      <c r="AR83" s="45">
        <f>AR71+AR80</f>
        <v>688</v>
      </c>
      <c r="AS83" s="46">
        <f t="shared" ref="AS83:AT83" si="371">AS71+AS80</f>
        <v>987</v>
      </c>
      <c r="AT83" s="46">
        <f t="shared" si="371"/>
        <v>1141</v>
      </c>
      <c r="AU83" s="46">
        <f>AU71+AU80</f>
        <v>1414</v>
      </c>
      <c r="AV83" s="45">
        <f>AV71+AV80</f>
        <v>1503</v>
      </c>
      <c r="AW83" s="46">
        <f t="shared" ref="AW83:AX83" si="372">AW71+AW80</f>
        <v>1528</v>
      </c>
      <c r="AX83" s="46">
        <f t="shared" si="372"/>
        <v>1708</v>
      </c>
      <c r="AY83" s="46">
        <f>AY71+AY80</f>
        <v>1938</v>
      </c>
      <c r="AZ83" s="45">
        <f>AZ71+AZ80</f>
        <v>2156</v>
      </c>
      <c r="BA83" s="46">
        <f t="shared" si="370"/>
        <v>1999.5944684381452</v>
      </c>
      <c r="BB83" s="46">
        <f t="shared" si="370"/>
        <v>2083.5608700764133</v>
      </c>
      <c r="BC83" s="47">
        <f t="shared" si="370"/>
        <v>2279.3534685918726</v>
      </c>
      <c r="BD83" s="45">
        <f t="shared" ref="BD83:BG83" si="373">BD71+BD80</f>
        <v>2157.2652580186846</v>
      </c>
      <c r="BE83" s="46">
        <f t="shared" si="373"/>
        <v>2086.363599824811</v>
      </c>
      <c r="BF83" s="46">
        <f t="shared" si="373"/>
        <v>2271.9111434505494</v>
      </c>
      <c r="BG83" s="1412">
        <f t="shared" si="373"/>
        <v>2576.3871184223876</v>
      </c>
      <c r="BH83" s="45">
        <f t="shared" ref="BH83:BK83" si="374">BH71+BH80</f>
        <v>2443.6965755790206</v>
      </c>
      <c r="BI83" s="46">
        <f t="shared" si="374"/>
        <v>2281.0891608817324</v>
      </c>
      <c r="BJ83" s="46">
        <f t="shared" si="374"/>
        <v>2407.0140403649775</v>
      </c>
      <c r="BK83" s="1412">
        <f t="shared" si="374"/>
        <v>2597.7195847637176</v>
      </c>
      <c r="BL83" s="232"/>
      <c r="BM83" s="45">
        <f t="shared" ref="BM83:BU83" si="375">BM71+BM80</f>
        <v>-110</v>
      </c>
      <c r="BN83" s="46">
        <f t="shared" si="375"/>
        <v>98</v>
      </c>
      <c r="BO83" s="46">
        <f t="shared" si="375"/>
        <v>167</v>
      </c>
      <c r="BP83" s="46">
        <f t="shared" si="375"/>
        <v>143</v>
      </c>
      <c r="BQ83" s="46">
        <f t="shared" si="375"/>
        <v>513</v>
      </c>
      <c r="BR83" s="46">
        <f t="shared" si="375"/>
        <v>663</v>
      </c>
      <c r="BS83" s="46">
        <f t="shared" si="375"/>
        <v>669</v>
      </c>
      <c r="BT83" s="47">
        <f t="shared" si="375"/>
        <v>680</v>
      </c>
      <c r="BU83" s="45">
        <f t="shared" si="375"/>
        <v>1272</v>
      </c>
      <c r="BV83" s="46">
        <f t="shared" ref="BV83:CA83" si="376">BV71+BV80</f>
        <v>2537</v>
      </c>
      <c r="BW83" s="46">
        <f t="shared" si="376"/>
        <v>4230</v>
      </c>
      <c r="BX83" s="46">
        <f t="shared" si="376"/>
        <v>6677</v>
      </c>
      <c r="BY83" s="46">
        <f t="shared" si="376"/>
        <v>8518.508807106431</v>
      </c>
      <c r="BZ83" s="46">
        <f t="shared" si="376"/>
        <v>9091.9271197164326</v>
      </c>
      <c r="CA83" s="1412">
        <f t="shared" si="376"/>
        <v>9729.5193615894514</v>
      </c>
      <c r="CB83" s="19"/>
      <c r="CC83" s="45">
        <f t="shared" ref="CC83:CJ83" si="377">CC71+CC80</f>
        <v>-17</v>
      </c>
      <c r="CD83" s="46">
        <f t="shared" si="377"/>
        <v>125</v>
      </c>
      <c r="CE83" s="46">
        <f t="shared" si="377"/>
        <v>177</v>
      </c>
      <c r="CF83" s="46">
        <f t="shared" si="377"/>
        <v>188</v>
      </c>
      <c r="CG83" s="46">
        <f t="shared" si="377"/>
        <v>585</v>
      </c>
      <c r="CH83" s="46">
        <f t="shared" si="377"/>
        <v>654</v>
      </c>
      <c r="CI83" s="45">
        <f t="shared" si="377"/>
        <v>665</v>
      </c>
      <c r="CJ83" s="46">
        <f t="shared" si="377"/>
        <v>734</v>
      </c>
      <c r="CK83" s="46">
        <f t="shared" ref="CK83:CP83" si="378">CK71+CK80</f>
        <v>1654</v>
      </c>
      <c r="CL83" s="46">
        <f t="shared" si="378"/>
        <v>2643</v>
      </c>
      <c r="CM83" s="46">
        <f t="shared" si="378"/>
        <v>5045</v>
      </c>
      <c r="CN83" s="45">
        <f t="shared" si="378"/>
        <v>7330</v>
      </c>
      <c r="CO83" s="46">
        <f t="shared" si="378"/>
        <v>8519.774065125117</v>
      </c>
      <c r="CP83" s="1412">
        <f t="shared" si="378"/>
        <v>9378.3584372767655</v>
      </c>
      <c r="CQ83" s="7"/>
      <c r="CX83" s="7"/>
    </row>
    <row r="84" spans="1:102" ht="14.25" customHeight="1" collapsed="1">
      <c r="A84" s="7"/>
      <c r="B84" s="21"/>
      <c r="C84" s="22"/>
      <c r="D84" s="39"/>
      <c r="E84" s="37"/>
      <c r="F84" s="42"/>
      <c r="G84" s="37"/>
      <c r="H84" s="39"/>
      <c r="I84" s="37"/>
      <c r="J84" s="42"/>
      <c r="K84" s="38"/>
      <c r="L84" s="39"/>
      <c r="M84" s="37"/>
      <c r="N84" s="42"/>
      <c r="O84" s="38"/>
      <c r="P84" s="37"/>
      <c r="Q84" s="37"/>
      <c r="R84" s="42"/>
      <c r="S84" s="37"/>
      <c r="T84" s="39"/>
      <c r="U84" s="37"/>
      <c r="V84" s="37"/>
      <c r="W84" s="38"/>
      <c r="X84" s="37"/>
      <c r="Y84" s="37"/>
      <c r="Z84" s="37"/>
      <c r="AA84" s="37"/>
      <c r="AB84" s="39"/>
      <c r="AC84" s="37"/>
      <c r="AD84" s="37"/>
      <c r="AE84" s="38"/>
      <c r="AF84" s="37"/>
      <c r="AG84" s="37"/>
      <c r="AH84" s="37"/>
      <c r="AI84" s="37"/>
      <c r="AJ84" s="39"/>
      <c r="AK84" s="37"/>
      <c r="AL84" s="37"/>
      <c r="AM84" s="37"/>
      <c r="AN84" s="39"/>
      <c r="AO84" s="37"/>
      <c r="AP84" s="37"/>
      <c r="AQ84" s="37"/>
      <c r="AR84" s="39"/>
      <c r="AS84" s="37"/>
      <c r="AT84" s="37"/>
      <c r="AU84" s="37"/>
      <c r="AV84" s="39"/>
      <c r="AW84" s="37"/>
      <c r="AX84" s="37"/>
      <c r="AY84" s="37"/>
      <c r="AZ84" s="39"/>
      <c r="BA84" s="37"/>
      <c r="BB84" s="37"/>
      <c r="BC84" s="38"/>
      <c r="BD84" s="39"/>
      <c r="BE84" s="37"/>
      <c r="BF84" s="37"/>
      <c r="BG84" s="1411"/>
      <c r="BH84" s="39"/>
      <c r="BI84" s="37"/>
      <c r="BJ84" s="37"/>
      <c r="BK84" s="1411"/>
      <c r="BL84" s="232"/>
      <c r="BM84" s="50"/>
      <c r="BN84" s="40"/>
      <c r="BO84" s="40"/>
      <c r="BP84" s="40"/>
      <c r="BQ84" s="40"/>
      <c r="BR84" s="40"/>
      <c r="BS84" s="40"/>
      <c r="BT84" s="41"/>
      <c r="BU84" s="50"/>
      <c r="BV84" s="40"/>
      <c r="BW84" s="40"/>
      <c r="BX84" s="40"/>
      <c r="BY84" s="40"/>
      <c r="BZ84" s="40"/>
      <c r="CA84" s="1430"/>
      <c r="CB84" s="19"/>
      <c r="CC84" s="50"/>
      <c r="CD84" s="40"/>
      <c r="CE84" s="40"/>
      <c r="CF84" s="40"/>
      <c r="CG84" s="40"/>
      <c r="CH84" s="40"/>
      <c r="CI84" s="50"/>
      <c r="CJ84" s="40"/>
      <c r="CK84" s="40"/>
      <c r="CL84" s="40"/>
      <c r="CM84" s="40"/>
      <c r="CN84" s="50"/>
      <c r="CO84" s="40"/>
      <c r="CP84" s="1430"/>
      <c r="CQ84" s="7"/>
      <c r="CX84" s="7"/>
    </row>
    <row r="85" spans="1:102" ht="14.25" customHeight="1">
      <c r="A85" s="7"/>
      <c r="B85" s="21" t="s">
        <v>236</v>
      </c>
      <c r="C85" s="22"/>
      <c r="D85" s="29">
        <v>3</v>
      </c>
      <c r="E85" s="30">
        <v>1</v>
      </c>
      <c r="F85" s="30">
        <v>1</v>
      </c>
      <c r="G85" s="30">
        <v>0</v>
      </c>
      <c r="H85" s="29">
        <v>3</v>
      </c>
      <c r="I85" s="30">
        <v>0</v>
      </c>
      <c r="J85" s="30">
        <v>3</v>
      </c>
      <c r="K85" s="31">
        <v>2</v>
      </c>
      <c r="L85" s="29">
        <v>3</v>
      </c>
      <c r="M85" s="30">
        <v>4</v>
      </c>
      <c r="N85" s="30">
        <v>5</v>
      </c>
      <c r="O85" s="31">
        <v>-9</v>
      </c>
      <c r="P85" s="30">
        <v>5</v>
      </c>
      <c r="Q85" s="30">
        <v>-2</v>
      </c>
      <c r="R85" s="30">
        <v>6</v>
      </c>
      <c r="S85" s="30">
        <v>-1</v>
      </c>
      <c r="T85" s="29">
        <v>4</v>
      </c>
      <c r="U85" s="30">
        <v>9</v>
      </c>
      <c r="V85" s="30">
        <v>4</v>
      </c>
      <c r="W85" s="31">
        <v>-26</v>
      </c>
      <c r="X85" s="30">
        <v>1</v>
      </c>
      <c r="Y85" s="30">
        <v>2</v>
      </c>
      <c r="Z85" s="30">
        <v>1</v>
      </c>
      <c r="AA85" s="30">
        <v>5</v>
      </c>
      <c r="AB85" s="29">
        <v>5</v>
      </c>
      <c r="AC85" s="30">
        <v>6</v>
      </c>
      <c r="AD85" s="30">
        <v>5</v>
      </c>
      <c r="AE85" s="31">
        <v>6</v>
      </c>
      <c r="AF85" s="30">
        <v>1</v>
      </c>
      <c r="AG85" s="30">
        <v>5</v>
      </c>
      <c r="AH85" s="30">
        <v>2</v>
      </c>
      <c r="AI85" s="30">
        <v>8</v>
      </c>
      <c r="AJ85" s="29">
        <v>5</v>
      </c>
      <c r="AK85" s="30">
        <v>1</v>
      </c>
      <c r="AL85" s="30">
        <v>-99</v>
      </c>
      <c r="AM85" s="30">
        <v>126</v>
      </c>
      <c r="AN85" s="29">
        <v>13</v>
      </c>
      <c r="AO85" s="30">
        <v>25</v>
      </c>
      <c r="AP85" s="30">
        <v>23</v>
      </c>
      <c r="AQ85" s="30">
        <v>15</v>
      </c>
      <c r="AR85" s="29">
        <v>17</v>
      </c>
      <c r="AS85" s="30">
        <v>-99</v>
      </c>
      <c r="AT85" s="30">
        <v>-117</v>
      </c>
      <c r="AU85" s="30">
        <v>841</v>
      </c>
      <c r="AV85" s="29">
        <v>10</v>
      </c>
      <c r="AW85" s="30">
        <v>-103</v>
      </c>
      <c r="AX85" s="30">
        <v>39</v>
      </c>
      <c r="AY85" s="30">
        <f>89</f>
        <v>89</v>
      </c>
      <c r="AZ85" s="29">
        <v>-5786</v>
      </c>
      <c r="BA85" s="32">
        <f t="shared" ref="BA85:BC85" si="379">BA82*BA86</f>
        <v>102.97911512456447</v>
      </c>
      <c r="BB85" s="32">
        <f t="shared" si="379"/>
        <v>235.4423783186347</v>
      </c>
      <c r="BC85" s="33">
        <f t="shared" si="379"/>
        <v>257.56694195088158</v>
      </c>
      <c r="BD85" s="34">
        <f t="shared" ref="BD85:BG85" si="380">BD82*BD86</f>
        <v>243.77097415611135</v>
      </c>
      <c r="BE85" s="32">
        <f t="shared" si="380"/>
        <v>235.75908678020366</v>
      </c>
      <c r="BF85" s="32">
        <f t="shared" si="380"/>
        <v>256.72595920991211</v>
      </c>
      <c r="BG85" s="1410">
        <f t="shared" si="380"/>
        <v>291.13174438172979</v>
      </c>
      <c r="BH85" s="34">
        <f t="shared" ref="BH85:BK85" si="381">BH82*BH86</f>
        <v>276.13771304042933</v>
      </c>
      <c r="BI85" s="32">
        <f t="shared" si="381"/>
        <v>257.76307517963579</v>
      </c>
      <c r="BJ85" s="32">
        <f t="shared" si="381"/>
        <v>271.99258656124249</v>
      </c>
      <c r="BK85" s="1410">
        <f t="shared" si="381"/>
        <v>293.54231307830008</v>
      </c>
      <c r="BL85" s="232"/>
      <c r="BM85" s="34">
        <f>SUM(D85:G85)</f>
        <v>5</v>
      </c>
      <c r="BN85" s="32">
        <f>SUM(H85:K85)</f>
        <v>8</v>
      </c>
      <c r="BO85" s="32">
        <f>SUM(L85:O85)</f>
        <v>3</v>
      </c>
      <c r="BP85" s="32">
        <f>SUM(P85:S85)</f>
        <v>8</v>
      </c>
      <c r="BQ85" s="32">
        <f>SUM(T85:W85)</f>
        <v>-9</v>
      </c>
      <c r="BR85" s="32">
        <f>SUM(X85:AA85)</f>
        <v>9</v>
      </c>
      <c r="BS85" s="32">
        <f>SUM(AB85:AE85)</f>
        <v>22</v>
      </c>
      <c r="BT85" s="33">
        <f>SUM(AF85:AI85)</f>
        <v>16</v>
      </c>
      <c r="BU85" s="34">
        <f>SUM(AJ85:AM85)</f>
        <v>33</v>
      </c>
      <c r="BV85" s="32">
        <f>SUM(AN85:AQ85)</f>
        <v>76</v>
      </c>
      <c r="BW85" s="32">
        <f>SUM(AR85:AU85)</f>
        <v>642</v>
      </c>
      <c r="BX85" s="32">
        <f>SUM(AV85:AY85)</f>
        <v>35</v>
      </c>
      <c r="BY85" s="32">
        <f>SUM(AZ85:BC85)</f>
        <v>-5190.0115646059194</v>
      </c>
      <c r="BZ85" s="32">
        <f>SUM(BD85:BG85)</f>
        <v>1027.387764527957</v>
      </c>
      <c r="CA85" s="1410">
        <f>SUM(BH85:BK85)</f>
        <v>1099.4356878596077</v>
      </c>
      <c r="CB85" s="19"/>
      <c r="CC85" s="34">
        <f>SUM(E85:H85)</f>
        <v>5</v>
      </c>
      <c r="CD85" s="32">
        <f>SUM(I85:L85)</f>
        <v>8</v>
      </c>
      <c r="CE85" s="32">
        <f>SUM(M85:P85)</f>
        <v>5</v>
      </c>
      <c r="CF85" s="32">
        <f>SUM(Q85:T85)</f>
        <v>7</v>
      </c>
      <c r="CG85" s="32">
        <f>SUM(U85:X85)</f>
        <v>-12</v>
      </c>
      <c r="CH85" s="32">
        <f>SUM(Y85:AB85)</f>
        <v>13</v>
      </c>
      <c r="CI85" s="34">
        <f>SUM(AC85:AF85)</f>
        <v>18</v>
      </c>
      <c r="CJ85" s="32">
        <f>SUM(AG85:AJ85)</f>
        <v>20</v>
      </c>
      <c r="CK85" s="32">
        <f>SUM(AK85:AN85)</f>
        <v>41</v>
      </c>
      <c r="CL85" s="32">
        <f>SUM(AO85:AR85)</f>
        <v>80</v>
      </c>
      <c r="CM85" s="32">
        <f>SUM(AS85:AV85)</f>
        <v>635</v>
      </c>
      <c r="CN85" s="34">
        <f>SUM(AW85:AZ85)</f>
        <v>-5761</v>
      </c>
      <c r="CO85" s="32">
        <f>SUM(BA85:BD85)</f>
        <v>839.75940955019212</v>
      </c>
      <c r="CP85" s="1410">
        <f>SUM(BE85:BH85)</f>
        <v>1059.754503412275</v>
      </c>
      <c r="CQ85" s="7"/>
      <c r="CX85" s="7"/>
    </row>
    <row r="86" spans="1:102" ht="14.25" customHeight="1">
      <c r="A86" s="7"/>
      <c r="B86" s="35" t="s">
        <v>238</v>
      </c>
      <c r="C86" s="36"/>
      <c r="D86" s="1013">
        <f t="shared" ref="D86:AK86" si="382">D85/D82</f>
        <v>-3.0303030303030304E-2</v>
      </c>
      <c r="E86" s="1011">
        <f t="shared" si="382"/>
        <v>-2.1276595744680851E-2</v>
      </c>
      <c r="F86" s="1011">
        <f t="shared" si="382"/>
        <v>-4.5454545454545456E-2</v>
      </c>
      <c r="G86" s="1011">
        <f t="shared" si="382"/>
        <v>0</v>
      </c>
      <c r="H86" s="1013">
        <f t="shared" si="382"/>
        <v>0.33333333333333331</v>
      </c>
      <c r="I86" s="1011">
        <f t="shared" si="382"/>
        <v>0</v>
      </c>
      <c r="J86" s="1011">
        <f t="shared" si="382"/>
        <v>-1.8292682926829267E-2</v>
      </c>
      <c r="K86" s="1012" t="e">
        <f t="shared" si="382"/>
        <v>#DIV/0!</v>
      </c>
      <c r="L86" s="1013">
        <f t="shared" si="382"/>
        <v>0.42857142857142855</v>
      </c>
      <c r="M86" s="1011">
        <f t="shared" si="382"/>
        <v>0.19047619047619047</v>
      </c>
      <c r="N86" s="1011">
        <f t="shared" si="382"/>
        <v>0.10204081632653061</v>
      </c>
      <c r="O86" s="1012">
        <f t="shared" si="382"/>
        <v>-1</v>
      </c>
      <c r="P86" s="1011">
        <f t="shared" si="382"/>
        <v>0.45454545454545453</v>
      </c>
      <c r="Q86" s="1011">
        <f t="shared" si="382"/>
        <v>6.0606060606060608E-2</v>
      </c>
      <c r="R86" s="1011">
        <f t="shared" si="382"/>
        <v>0.75</v>
      </c>
      <c r="S86" s="1011">
        <f t="shared" si="382"/>
        <v>4.5454545454545456E-2</v>
      </c>
      <c r="T86" s="1091">
        <f t="shared" si="382"/>
        <v>9.5238095238095233E-2</v>
      </c>
      <c r="U86" s="1011">
        <f t="shared" si="382"/>
        <v>9.0909090909090912E-2</v>
      </c>
      <c r="V86" s="1011">
        <f t="shared" si="382"/>
        <v>3.1496062992125984E-2</v>
      </c>
      <c r="W86" s="1012">
        <f t="shared" si="382"/>
        <v>-0.18840579710144928</v>
      </c>
      <c r="X86" s="1019">
        <f t="shared" si="382"/>
        <v>8.3333333333333332E-3</v>
      </c>
      <c r="Y86" s="1011">
        <f t="shared" si="382"/>
        <v>1.4598540145985401E-2</v>
      </c>
      <c r="Z86" s="1011">
        <f t="shared" si="382"/>
        <v>6.8965517241379309E-3</v>
      </c>
      <c r="AA86" s="1011">
        <f t="shared" si="382"/>
        <v>3.1446540880503145E-2</v>
      </c>
      <c r="AB86" s="1091">
        <f t="shared" si="382"/>
        <v>3.8461538461538464E-2</v>
      </c>
      <c r="AC86" s="1011">
        <f t="shared" si="382"/>
        <v>4.2857142857142858E-2</v>
      </c>
      <c r="AD86" s="1011">
        <f t="shared" si="382"/>
        <v>3.3333333333333333E-2</v>
      </c>
      <c r="AE86" s="1012">
        <f t="shared" si="382"/>
        <v>3.6363636363636362E-2</v>
      </c>
      <c r="AF86" s="1019">
        <f t="shared" si="382"/>
        <v>7.9365079365079361E-3</v>
      </c>
      <c r="AG86" s="1011">
        <f t="shared" si="382"/>
        <v>4.2372881355932202E-2</v>
      </c>
      <c r="AH86" s="1011">
        <f t="shared" si="382"/>
        <v>1.3888888888888888E-2</v>
      </c>
      <c r="AI86" s="1011">
        <f t="shared" si="382"/>
        <v>4.4444444444444446E-2</v>
      </c>
      <c r="AJ86" s="1088">
        <f t="shared" si="382"/>
        <v>3.5971223021582732E-2</v>
      </c>
      <c r="AK86" s="1011">
        <f t="shared" si="382"/>
        <v>6.2893081761006293E-3</v>
      </c>
      <c r="AL86" s="1011">
        <f>AL85/AL82</f>
        <v>0.37642585551330798</v>
      </c>
      <c r="AM86" s="1011">
        <f>AM85/AM82</f>
        <v>0.48275862068965519</v>
      </c>
      <c r="AN86" s="1088">
        <f>AN85/AN82</f>
        <v>3.5714285714285712E-2</v>
      </c>
      <c r="AO86" s="1011">
        <f t="shared" ref="AO86" si="383">AO85/AO82</f>
        <v>6.7750677506775062E-2</v>
      </c>
      <c r="AP86" s="1011">
        <f>AP85/AP82</f>
        <v>8.7452471482889732E-2</v>
      </c>
      <c r="AQ86" s="1011">
        <f>AQ85/AQ82</f>
        <v>3.3783783783783786E-2</v>
      </c>
      <c r="AR86" s="1170">
        <f>AR85/AR82</f>
        <v>4.3147208121827409E-2</v>
      </c>
      <c r="AS86" s="1142">
        <f t="shared" ref="AS86" si="384">AS85/AS82</f>
        <v>7.3116691285081234E-2</v>
      </c>
      <c r="AT86" s="1142">
        <f>AT85/AT82</f>
        <v>0.27083333333333331</v>
      </c>
      <c r="AU86" s="1142">
        <f>AU85/AU82</f>
        <v>4.8612716763005777</v>
      </c>
      <c r="AV86" s="1265">
        <f>AV85/AV82</f>
        <v>3.8167938931297711E-2</v>
      </c>
      <c r="AW86" s="1228">
        <f t="shared" ref="AW86" si="385">AW85/AW82</f>
        <v>-0.2853185595567867</v>
      </c>
      <c r="AX86" s="1307">
        <f>AX85/AX82</f>
        <v>7.1428571428571425E-2</v>
      </c>
      <c r="AY86" s="1365">
        <f>AY85/AY82</f>
        <v>0.11710526315789474</v>
      </c>
      <c r="AZ86" s="978">
        <f>AZ85/AZ82</f>
        <v>-7.4179487179487182</v>
      </c>
      <c r="BA86" s="1369">
        <v>5.1499999999999997E-2</v>
      </c>
      <c r="BB86" s="1369">
        <v>0.113</v>
      </c>
      <c r="BC86" s="1334">
        <v>0.113</v>
      </c>
      <c r="BD86" s="1372">
        <f t="shared" ref="BD86:BG86" si="386">BC86</f>
        <v>0.113</v>
      </c>
      <c r="BE86" s="1369">
        <f t="shared" si="386"/>
        <v>0.113</v>
      </c>
      <c r="BF86" s="1369">
        <f t="shared" si="386"/>
        <v>0.113</v>
      </c>
      <c r="BG86" s="1387">
        <f t="shared" si="386"/>
        <v>0.113</v>
      </c>
      <c r="BH86" s="1372">
        <f t="shared" ref="BH86" si="387">BG86</f>
        <v>0.113</v>
      </c>
      <c r="BI86" s="1369">
        <f t="shared" ref="BI86" si="388">BH86</f>
        <v>0.113</v>
      </c>
      <c r="BJ86" s="1369">
        <f t="shared" ref="BJ86" si="389">BI86</f>
        <v>0.113</v>
      </c>
      <c r="BK86" s="1387">
        <f t="shared" ref="BK86" si="390">BJ86</f>
        <v>0.113</v>
      </c>
      <c r="BL86" s="232"/>
      <c r="BM86" s="1013">
        <f t="shared" ref="BM86:BY86" si="391">BM85/BM82</f>
        <v>-2.032520325203252E-2</v>
      </c>
      <c r="BN86" s="1011">
        <f t="shared" si="391"/>
        <v>-5.2980132450331126E-2</v>
      </c>
      <c r="BO86" s="1011">
        <f t="shared" si="391"/>
        <v>3.4883720930232558E-2</v>
      </c>
      <c r="BP86" s="1011">
        <f t="shared" si="391"/>
        <v>-0.22222222222222221</v>
      </c>
      <c r="BQ86" s="1011">
        <f t="shared" si="391"/>
        <v>-2.2167487684729065E-2</v>
      </c>
      <c r="BR86" s="1011">
        <f t="shared" si="391"/>
        <v>1.6042780748663103E-2</v>
      </c>
      <c r="BS86" s="1011">
        <f t="shared" si="391"/>
        <v>3.7606837606837605E-2</v>
      </c>
      <c r="BT86" s="1012">
        <f t="shared" si="391"/>
        <v>2.8169014084507043E-2</v>
      </c>
      <c r="BU86" s="1364">
        <f t="shared" si="391"/>
        <v>0.11148648648648649</v>
      </c>
      <c r="BV86" s="1365">
        <f t="shared" si="391"/>
        <v>5.2777777777777778E-2</v>
      </c>
      <c r="BW86" s="1365">
        <f t="shared" ref="BW86" si="392">BW85/BW82</f>
        <v>-0.52666119770303532</v>
      </c>
      <c r="BX86" s="1365">
        <f t="shared" si="391"/>
        <v>1.8144116122343183E-2</v>
      </c>
      <c r="BY86" s="1365">
        <f t="shared" si="391"/>
        <v>-0.72663705495779329</v>
      </c>
      <c r="BZ86" s="1365">
        <f t="shared" ref="BZ86:CA86" si="393">BZ85/BZ82</f>
        <v>0.113</v>
      </c>
      <c r="CA86" s="1405">
        <f t="shared" si="393"/>
        <v>0.11299999999999996</v>
      </c>
      <c r="CB86" s="895"/>
      <c r="CC86" s="1013">
        <f t="shared" ref="CC86:CJ86" si="394">CC85/CC82</f>
        <v>-3.6231884057971016E-2</v>
      </c>
      <c r="CD86" s="1011">
        <f t="shared" si="394"/>
        <v>-5.2287581699346407E-2</v>
      </c>
      <c r="CE86" s="1011">
        <f t="shared" si="394"/>
        <v>5.5555555555555552E-2</v>
      </c>
      <c r="CF86" s="1011">
        <f t="shared" si="394"/>
        <v>-1.4</v>
      </c>
      <c r="CG86" s="1011">
        <f t="shared" si="394"/>
        <v>-2.4793388429752067E-2</v>
      </c>
      <c r="CH86" s="1011">
        <f t="shared" si="394"/>
        <v>2.276707530647986E-2</v>
      </c>
      <c r="CI86" s="1141">
        <f t="shared" si="394"/>
        <v>3.098106712564544E-2</v>
      </c>
      <c r="CJ86" s="1142">
        <f t="shared" si="394"/>
        <v>3.4423407917383818E-2</v>
      </c>
      <c r="CK86" s="1142">
        <f t="shared" ref="CK86:CP86" si="395">CK85/CK82</f>
        <v>7.8694817658349334E-2</v>
      </c>
      <c r="CL86" s="1142">
        <f t="shared" si="395"/>
        <v>5.4421768707482991E-2</v>
      </c>
      <c r="CM86" s="1142">
        <f t="shared" si="395"/>
        <v>-0.47002220577350112</v>
      </c>
      <c r="CN86" s="1364">
        <f t="shared" si="395"/>
        <v>-2.3543114017163873</v>
      </c>
      <c r="CO86" s="1365">
        <f t="shared" si="395"/>
        <v>9.8565924768787852E-2</v>
      </c>
      <c r="CP86" s="1405">
        <f t="shared" si="395"/>
        <v>0.11300000000000004</v>
      </c>
      <c r="CQ86" s="7"/>
      <c r="CX86" s="7"/>
    </row>
    <row r="87" spans="1:102" ht="14.25" customHeight="1">
      <c r="A87" s="7"/>
      <c r="B87" s="35"/>
      <c r="C87" s="36"/>
      <c r="D87" s="1013"/>
      <c r="E87" s="1011"/>
      <c r="F87" s="1011"/>
      <c r="G87" s="1011"/>
      <c r="H87" s="1013"/>
      <c r="I87" s="1011"/>
      <c r="J87" s="1011"/>
      <c r="K87" s="1012"/>
      <c r="L87" s="1013"/>
      <c r="M87" s="1011"/>
      <c r="N87" s="1011"/>
      <c r="O87" s="1012"/>
      <c r="P87" s="1011"/>
      <c r="Q87" s="1011"/>
      <c r="R87" s="1011"/>
      <c r="S87" s="1011"/>
      <c r="T87" s="1091"/>
      <c r="U87" s="1011"/>
      <c r="V87" s="1011"/>
      <c r="W87" s="1012"/>
      <c r="X87" s="1019"/>
      <c r="Y87" s="1011"/>
      <c r="Z87" s="1011"/>
      <c r="AA87" s="1011"/>
      <c r="AB87" s="1091"/>
      <c r="AC87" s="1011"/>
      <c r="AD87" s="1011"/>
      <c r="AE87" s="1012"/>
      <c r="AF87" s="1019"/>
      <c r="AG87" s="1011"/>
      <c r="AH87" s="1011"/>
      <c r="AI87" s="1011"/>
      <c r="AJ87" s="764"/>
      <c r="AK87" s="1011"/>
      <c r="AL87" s="1011"/>
      <c r="AM87" s="1011"/>
      <c r="AN87" s="764"/>
      <c r="AO87" s="1011"/>
      <c r="AP87" s="1011"/>
      <c r="AQ87" s="1011"/>
      <c r="AR87" s="764"/>
      <c r="AS87" s="1142"/>
      <c r="AT87" s="1142"/>
      <c r="AU87" s="1142"/>
      <c r="AV87" s="764"/>
      <c r="AW87" s="1228"/>
      <c r="AX87" s="1307"/>
      <c r="AY87" s="1365"/>
      <c r="AZ87" s="769"/>
      <c r="BA87" s="1322"/>
      <c r="BB87" s="1322"/>
      <c r="BC87" s="1324"/>
      <c r="BD87" s="1323"/>
      <c r="BE87" s="1322"/>
      <c r="BF87" s="1322"/>
      <c r="BG87" s="1427"/>
      <c r="BH87" s="1323"/>
      <c r="BI87" s="1322"/>
      <c r="BJ87" s="1322"/>
      <c r="BK87" s="1427"/>
      <c r="BL87" s="232"/>
      <c r="BM87" s="1013"/>
      <c r="BN87" s="1011"/>
      <c r="BO87" s="1011"/>
      <c r="BP87" s="1011"/>
      <c r="BQ87" s="1011"/>
      <c r="BR87" s="1011"/>
      <c r="BS87" s="1011"/>
      <c r="BT87" s="1012"/>
      <c r="BU87" s="1364"/>
      <c r="BV87" s="1365"/>
      <c r="BW87" s="1365"/>
      <c r="BX87" s="1365"/>
      <c r="BY87" s="1365"/>
      <c r="BZ87" s="1365"/>
      <c r="CA87" s="1405"/>
      <c r="CB87" s="19"/>
      <c r="CC87" s="1013"/>
      <c r="CD87" s="1011"/>
      <c r="CE87" s="1011"/>
      <c r="CF87" s="1011"/>
      <c r="CG87" s="1011"/>
      <c r="CH87" s="1011"/>
      <c r="CI87" s="1141"/>
      <c r="CJ87" s="1142"/>
      <c r="CK87" s="1142"/>
      <c r="CL87" s="1142"/>
      <c r="CM87" s="1142"/>
      <c r="CN87" s="1364"/>
      <c r="CO87" s="1365"/>
      <c r="CP87" s="1405"/>
      <c r="CQ87" s="1095"/>
      <c r="CX87" s="7"/>
    </row>
    <row r="88" spans="1:102" ht="14.25" hidden="1" customHeight="1" outlineLevel="1">
      <c r="A88" s="7"/>
      <c r="B88" s="27" t="s">
        <v>4</v>
      </c>
      <c r="C88" s="28"/>
      <c r="D88" s="29">
        <v>0</v>
      </c>
      <c r="E88" s="30">
        <v>0</v>
      </c>
      <c r="F88" s="30">
        <v>0</v>
      </c>
      <c r="G88" s="30">
        <v>0</v>
      </c>
      <c r="H88" s="29">
        <v>0</v>
      </c>
      <c r="I88" s="30">
        <v>0</v>
      </c>
      <c r="J88" s="30">
        <v>0</v>
      </c>
      <c r="K88" s="31">
        <v>0</v>
      </c>
      <c r="L88" s="29">
        <v>0</v>
      </c>
      <c r="M88" s="30">
        <v>0</v>
      </c>
      <c r="N88" s="30">
        <v>0</v>
      </c>
      <c r="O88" s="31">
        <v>0</v>
      </c>
      <c r="P88" s="30">
        <v>0</v>
      </c>
      <c r="Q88" s="30">
        <v>0</v>
      </c>
      <c r="R88" s="30">
        <v>0</v>
      </c>
      <c r="S88" s="30">
        <v>0</v>
      </c>
      <c r="T88" s="29">
        <v>0</v>
      </c>
      <c r="U88" s="30">
        <v>0</v>
      </c>
      <c r="V88" s="30">
        <v>0</v>
      </c>
      <c r="W88" s="31">
        <v>0</v>
      </c>
      <c r="X88" s="30">
        <v>0</v>
      </c>
      <c r="Y88" s="30">
        <v>0</v>
      </c>
      <c r="Z88" s="30">
        <v>0</v>
      </c>
      <c r="AA88" s="30">
        <v>0</v>
      </c>
      <c r="AB88" s="29">
        <v>0</v>
      </c>
      <c r="AC88" s="30">
        <v>0</v>
      </c>
      <c r="AD88" s="30">
        <v>0</v>
      </c>
      <c r="AE88" s="31">
        <v>0</v>
      </c>
      <c r="AF88" s="30">
        <v>0</v>
      </c>
      <c r="AG88" s="30">
        <v>0</v>
      </c>
      <c r="AH88" s="30">
        <v>-5</v>
      </c>
      <c r="AI88" s="30">
        <v>-5</v>
      </c>
      <c r="AJ88" s="29">
        <v>-2</v>
      </c>
      <c r="AK88" s="30">
        <v>-8</v>
      </c>
      <c r="AL88" s="30">
        <v>-123</v>
      </c>
      <c r="AM88" s="30">
        <v>84</v>
      </c>
      <c r="AN88" s="29">
        <v>-22</v>
      </c>
      <c r="AO88" s="30">
        <v>-15</v>
      </c>
      <c r="AP88" s="30">
        <v>-15</v>
      </c>
      <c r="AQ88" s="30">
        <v>-28</v>
      </c>
      <c r="AR88" s="29">
        <v>-18</v>
      </c>
      <c r="AS88" s="30">
        <v>-152</v>
      </c>
      <c r="AT88" s="30">
        <v>-178</v>
      </c>
      <c r="AU88" s="30">
        <v>768</v>
      </c>
      <c r="AV88" s="29">
        <v>-67</v>
      </c>
      <c r="AW88" s="30">
        <v>-181</v>
      </c>
      <c r="AX88" s="30">
        <v>-49</v>
      </c>
      <c r="AY88" s="30">
        <v>-10</v>
      </c>
      <c r="AZ88" s="29">
        <v>-5896</v>
      </c>
      <c r="BA88" s="32">
        <f t="shared" ref="BA88:BC88" si="396">-(BA89-BA85)</f>
        <v>0</v>
      </c>
      <c r="BB88" s="32">
        <f t="shared" si="396"/>
        <v>0</v>
      </c>
      <c r="BC88" s="33">
        <f t="shared" si="396"/>
        <v>0</v>
      </c>
      <c r="BD88" s="34">
        <f t="shared" ref="BD88:BG88" si="397">-(BD89-BD85)</f>
        <v>0</v>
      </c>
      <c r="BE88" s="32">
        <f t="shared" si="397"/>
        <v>0</v>
      </c>
      <c r="BF88" s="32">
        <f t="shared" si="397"/>
        <v>0</v>
      </c>
      <c r="BG88" s="1410">
        <f t="shared" si="397"/>
        <v>0</v>
      </c>
      <c r="BH88" s="34">
        <f t="shared" ref="BH88:BK88" si="398">-(BH89-BH85)</f>
        <v>0</v>
      </c>
      <c r="BI88" s="32">
        <f t="shared" si="398"/>
        <v>0</v>
      </c>
      <c r="BJ88" s="32">
        <f t="shared" si="398"/>
        <v>0</v>
      </c>
      <c r="BK88" s="1410">
        <f t="shared" si="398"/>
        <v>0</v>
      </c>
      <c r="BL88" s="232"/>
      <c r="BM88" s="34">
        <f>SUM(D88:G88)</f>
        <v>0</v>
      </c>
      <c r="BN88" s="32">
        <f>SUM(H88:K88)</f>
        <v>0</v>
      </c>
      <c r="BO88" s="32">
        <f>SUM(L88:O88)</f>
        <v>0</v>
      </c>
      <c r="BP88" s="32">
        <f>SUM(P88:S88)</f>
        <v>0</v>
      </c>
      <c r="BQ88" s="32">
        <f>SUM(T88:W88)</f>
        <v>0</v>
      </c>
      <c r="BR88" s="32">
        <f>SUM(X88:AA88)</f>
        <v>0</v>
      </c>
      <c r="BS88" s="32">
        <f>SUM(AB88:AE88)</f>
        <v>0</v>
      </c>
      <c r="BT88" s="33">
        <f>SUM(AF88:AI88)</f>
        <v>-10</v>
      </c>
      <c r="BU88" s="34">
        <f>SUM(AJ88:AM88)</f>
        <v>-49</v>
      </c>
      <c r="BV88" s="32">
        <f>SUM(AN88:AQ88)</f>
        <v>-80</v>
      </c>
      <c r="BW88" s="1182">
        <f t="shared" ref="BW88" si="399">-(BW89-BW85)</f>
        <v>420</v>
      </c>
      <c r="BX88" s="1182">
        <f t="shared" ref="BX88" si="400">-(BX89-BX85)</f>
        <v>-307</v>
      </c>
      <c r="BY88" s="1182">
        <f t="shared" ref="BY88:BZ88" si="401">-(BY89-BY85)</f>
        <v>-5896</v>
      </c>
      <c r="BZ88" s="1182">
        <f t="shared" si="401"/>
        <v>0</v>
      </c>
      <c r="CA88" s="1482">
        <f t="shared" ref="CA88" si="402">-(CA89-CA85)</f>
        <v>0</v>
      </c>
      <c r="CB88" s="19"/>
      <c r="CC88" s="34">
        <f>SUM(E88:H88)</f>
        <v>0</v>
      </c>
      <c r="CD88" s="32">
        <f>SUM(I88:L88)</f>
        <v>0</v>
      </c>
      <c r="CE88" s="32">
        <f>SUM(M88:P88)</f>
        <v>0</v>
      </c>
      <c r="CF88" s="32">
        <f>SUM(Q88:T88)</f>
        <v>0</v>
      </c>
      <c r="CG88" s="32">
        <f>SUM(U88:X88)</f>
        <v>0</v>
      </c>
      <c r="CH88" s="32">
        <f>SUM(Y88:AB88)</f>
        <v>0</v>
      </c>
      <c r="CI88" s="34">
        <f>SUM(AC88:AF88)</f>
        <v>0</v>
      </c>
      <c r="CJ88" s="32">
        <f>SUM(AG88:AJ88)</f>
        <v>-12</v>
      </c>
      <c r="CK88" s="32">
        <f>SUM(AK88:AN88)</f>
        <v>-69</v>
      </c>
      <c r="CL88" s="32">
        <f>SUM(AO88:AR88)</f>
        <v>-76</v>
      </c>
      <c r="CM88" s="32">
        <f>SUM(AS88:AV88)</f>
        <v>371</v>
      </c>
      <c r="CN88" s="34">
        <f>SUM(AW88:AZ88)</f>
        <v>-6136</v>
      </c>
      <c r="CO88" s="32">
        <f>SUM(BA88:BD88)</f>
        <v>0</v>
      </c>
      <c r="CP88" s="1410">
        <f>SUM(BE88:BH88)</f>
        <v>0</v>
      </c>
      <c r="CQ88" s="7"/>
      <c r="CX88" s="7"/>
    </row>
    <row r="89" spans="1:102" ht="14.25" hidden="1" customHeight="1" outlineLevel="1">
      <c r="A89" s="7"/>
      <c r="B89" s="21" t="s">
        <v>5</v>
      </c>
      <c r="C89" s="22"/>
      <c r="D89" s="34">
        <f>D85-D88</f>
        <v>3</v>
      </c>
      <c r="E89" s="32">
        <f t="shared" ref="E89:AK89" si="403">E85-E88</f>
        <v>1</v>
      </c>
      <c r="F89" s="32">
        <f t="shared" si="403"/>
        <v>1</v>
      </c>
      <c r="G89" s="32">
        <f t="shared" si="403"/>
        <v>0</v>
      </c>
      <c r="H89" s="34">
        <f t="shared" si="403"/>
        <v>3</v>
      </c>
      <c r="I89" s="32">
        <f t="shared" si="403"/>
        <v>0</v>
      </c>
      <c r="J89" s="32">
        <f t="shared" si="403"/>
        <v>3</v>
      </c>
      <c r="K89" s="33">
        <f t="shared" si="403"/>
        <v>2</v>
      </c>
      <c r="L89" s="34">
        <f t="shared" si="403"/>
        <v>3</v>
      </c>
      <c r="M89" s="32">
        <f t="shared" si="403"/>
        <v>4</v>
      </c>
      <c r="N89" s="32">
        <f t="shared" si="403"/>
        <v>5</v>
      </c>
      <c r="O89" s="33">
        <f t="shared" si="403"/>
        <v>-9</v>
      </c>
      <c r="P89" s="32">
        <f t="shared" si="403"/>
        <v>5</v>
      </c>
      <c r="Q89" s="32">
        <f t="shared" si="403"/>
        <v>-2</v>
      </c>
      <c r="R89" s="32">
        <f t="shared" si="403"/>
        <v>6</v>
      </c>
      <c r="S89" s="32">
        <f t="shared" si="403"/>
        <v>-1</v>
      </c>
      <c r="T89" s="34">
        <f t="shared" si="403"/>
        <v>4</v>
      </c>
      <c r="U89" s="32">
        <f t="shared" si="403"/>
        <v>9</v>
      </c>
      <c r="V89" s="32">
        <f t="shared" si="403"/>
        <v>4</v>
      </c>
      <c r="W89" s="33">
        <f t="shared" si="403"/>
        <v>-26</v>
      </c>
      <c r="X89" s="32">
        <f t="shared" si="403"/>
        <v>1</v>
      </c>
      <c r="Y89" s="32">
        <f t="shared" si="403"/>
        <v>2</v>
      </c>
      <c r="Z89" s="32">
        <f t="shared" si="403"/>
        <v>1</v>
      </c>
      <c r="AA89" s="32">
        <f t="shared" si="403"/>
        <v>5</v>
      </c>
      <c r="AB89" s="34">
        <f t="shared" si="403"/>
        <v>5</v>
      </c>
      <c r="AC89" s="32">
        <f t="shared" si="403"/>
        <v>6</v>
      </c>
      <c r="AD89" s="32">
        <f t="shared" si="403"/>
        <v>5</v>
      </c>
      <c r="AE89" s="33">
        <f t="shared" si="403"/>
        <v>6</v>
      </c>
      <c r="AF89" s="32">
        <f t="shared" si="403"/>
        <v>1</v>
      </c>
      <c r="AG89" s="32">
        <f t="shared" si="403"/>
        <v>5</v>
      </c>
      <c r="AH89" s="32">
        <f t="shared" si="403"/>
        <v>7</v>
      </c>
      <c r="AI89" s="32">
        <f t="shared" si="403"/>
        <v>13</v>
      </c>
      <c r="AJ89" s="34">
        <f t="shared" si="403"/>
        <v>7</v>
      </c>
      <c r="AK89" s="32">
        <f t="shared" si="403"/>
        <v>9</v>
      </c>
      <c r="AL89" s="32">
        <f>AL85-AL88</f>
        <v>24</v>
      </c>
      <c r="AM89" s="32">
        <f>AM85-AM88</f>
        <v>42</v>
      </c>
      <c r="AN89" s="34">
        <f>AN85-AN88</f>
        <v>35</v>
      </c>
      <c r="AO89" s="32">
        <f t="shared" ref="AO89" si="404">AO85-AO88</f>
        <v>40</v>
      </c>
      <c r="AP89" s="32">
        <f>AP85-AP88</f>
        <v>38</v>
      </c>
      <c r="AQ89" s="32">
        <f>AQ85-AQ88</f>
        <v>43</v>
      </c>
      <c r="AR89" s="34">
        <f>AR85-AR88</f>
        <v>35</v>
      </c>
      <c r="AS89" s="32">
        <f t="shared" ref="AS89" si="405">AS85-AS88</f>
        <v>53</v>
      </c>
      <c r="AT89" s="32">
        <f>AT85-AT88</f>
        <v>61</v>
      </c>
      <c r="AU89" s="32">
        <f>AU85-AU88</f>
        <v>73</v>
      </c>
      <c r="AV89" s="34">
        <f>AV85-AV88</f>
        <v>77</v>
      </c>
      <c r="AW89" s="32">
        <f t="shared" ref="AW89" si="406">AW85-AW88</f>
        <v>78</v>
      </c>
      <c r="AX89" s="32">
        <f>AX85-AX88</f>
        <v>88</v>
      </c>
      <c r="AY89" s="32">
        <f>AY85-AY88</f>
        <v>99</v>
      </c>
      <c r="AZ89" s="34">
        <f>AZ85-AZ88</f>
        <v>110</v>
      </c>
      <c r="BA89" s="1216">
        <f t="shared" ref="BA89:BC89" si="407">BA83*BA90</f>
        <v>102.97911512456447</v>
      </c>
      <c r="BB89" s="1216">
        <f t="shared" si="407"/>
        <v>235.4423783186347</v>
      </c>
      <c r="BC89" s="1217">
        <f t="shared" si="407"/>
        <v>257.56694195088158</v>
      </c>
      <c r="BD89" s="1218">
        <f t="shared" ref="BD89:BG89" si="408">BD83*BD90</f>
        <v>243.77097415611135</v>
      </c>
      <c r="BE89" s="1216">
        <f t="shared" si="408"/>
        <v>235.75908678020366</v>
      </c>
      <c r="BF89" s="1216">
        <f t="shared" si="408"/>
        <v>256.72595920991211</v>
      </c>
      <c r="BG89" s="1428">
        <f t="shared" si="408"/>
        <v>291.13174438172979</v>
      </c>
      <c r="BH89" s="1218">
        <f t="shared" ref="BH89:BK89" si="409">BH83*BH90</f>
        <v>276.13771304042933</v>
      </c>
      <c r="BI89" s="1216">
        <f t="shared" si="409"/>
        <v>257.76307517963579</v>
      </c>
      <c r="BJ89" s="1216">
        <f t="shared" si="409"/>
        <v>271.99258656124249</v>
      </c>
      <c r="BK89" s="1428">
        <f t="shared" si="409"/>
        <v>293.54231307830008</v>
      </c>
      <c r="BL89" s="232"/>
      <c r="BM89" s="34">
        <f t="shared" ref="BM89:BV89" si="410">BM85-BM88</f>
        <v>5</v>
      </c>
      <c r="BN89" s="32">
        <f t="shared" si="410"/>
        <v>8</v>
      </c>
      <c r="BO89" s="32">
        <f t="shared" si="410"/>
        <v>3</v>
      </c>
      <c r="BP89" s="32">
        <f t="shared" si="410"/>
        <v>8</v>
      </c>
      <c r="BQ89" s="32">
        <f t="shared" si="410"/>
        <v>-9</v>
      </c>
      <c r="BR89" s="32">
        <f t="shared" si="410"/>
        <v>9</v>
      </c>
      <c r="BS89" s="32">
        <f t="shared" si="410"/>
        <v>22</v>
      </c>
      <c r="BT89" s="33">
        <f t="shared" si="410"/>
        <v>26</v>
      </c>
      <c r="BU89" s="34">
        <f t="shared" si="410"/>
        <v>82</v>
      </c>
      <c r="BV89" s="32">
        <f t="shared" si="410"/>
        <v>156</v>
      </c>
      <c r="BW89" s="32">
        <f>SUM(AR89:AU89)</f>
        <v>222</v>
      </c>
      <c r="BX89" s="32">
        <f>SUM(AV89:AY89)</f>
        <v>342</v>
      </c>
      <c r="BY89" s="32">
        <f>SUM(AZ89:BC89)</f>
        <v>705.98843539408085</v>
      </c>
      <c r="BZ89" s="32">
        <f>SUM(BD89:BG89)</f>
        <v>1027.387764527957</v>
      </c>
      <c r="CA89" s="1410">
        <f>SUM(BH89:BK89)</f>
        <v>1099.4356878596077</v>
      </c>
      <c r="CB89" s="19"/>
      <c r="CC89" s="34">
        <f t="shared" ref="CC89:CJ89" si="411">CC85-CC88</f>
        <v>5</v>
      </c>
      <c r="CD89" s="32">
        <f t="shared" si="411"/>
        <v>8</v>
      </c>
      <c r="CE89" s="32">
        <f t="shared" si="411"/>
        <v>5</v>
      </c>
      <c r="CF89" s="32">
        <f t="shared" si="411"/>
        <v>7</v>
      </c>
      <c r="CG89" s="32">
        <f t="shared" si="411"/>
        <v>-12</v>
      </c>
      <c r="CH89" s="32">
        <f t="shared" si="411"/>
        <v>13</v>
      </c>
      <c r="CI89" s="34">
        <f t="shared" si="411"/>
        <v>18</v>
      </c>
      <c r="CJ89" s="32">
        <f t="shared" si="411"/>
        <v>32</v>
      </c>
      <c r="CK89" s="32">
        <f t="shared" ref="CK89:CP89" si="412">CK85-CK88</f>
        <v>110</v>
      </c>
      <c r="CL89" s="32">
        <f t="shared" si="412"/>
        <v>156</v>
      </c>
      <c r="CM89" s="32">
        <f t="shared" si="412"/>
        <v>264</v>
      </c>
      <c r="CN89" s="34">
        <f t="shared" si="412"/>
        <v>375</v>
      </c>
      <c r="CO89" s="32">
        <f t="shared" si="412"/>
        <v>839.75940955019212</v>
      </c>
      <c r="CP89" s="1410">
        <f t="shared" si="412"/>
        <v>1059.754503412275</v>
      </c>
      <c r="CQ89" s="7"/>
      <c r="CX89" s="7"/>
    </row>
    <row r="90" spans="1:102" ht="14.25" hidden="1" customHeight="1" outlineLevel="1">
      <c r="A90" s="7"/>
      <c r="B90" s="35" t="s">
        <v>6</v>
      </c>
      <c r="C90" s="36"/>
      <c r="D90" s="1013">
        <f t="shared" ref="D90:AK90" si="413">D89/D83</f>
        <v>-3.4090909090909088E-2</v>
      </c>
      <c r="E90" s="1011">
        <f t="shared" si="413"/>
        <v>-6.25E-2</v>
      </c>
      <c r="F90" s="1011">
        <f t="shared" si="413"/>
        <v>8.3333333333333329E-2</v>
      </c>
      <c r="G90" s="1011">
        <f t="shared" si="413"/>
        <v>0</v>
      </c>
      <c r="H90" s="1013">
        <f t="shared" si="413"/>
        <v>0.6</v>
      </c>
      <c r="I90" s="1011">
        <f t="shared" si="413"/>
        <v>0</v>
      </c>
      <c r="J90" s="1011">
        <f t="shared" si="413"/>
        <v>0.10344827586206896</v>
      </c>
      <c r="K90" s="1012">
        <f t="shared" si="413"/>
        <v>5.8823529411764705E-2</v>
      </c>
      <c r="L90" s="1013">
        <f t="shared" si="413"/>
        <v>9.375E-2</v>
      </c>
      <c r="M90" s="1011">
        <f t="shared" si="413"/>
        <v>8.8888888888888892E-2</v>
      </c>
      <c r="N90" s="1011">
        <f t="shared" si="413"/>
        <v>0.1</v>
      </c>
      <c r="O90" s="1012">
        <f t="shared" si="413"/>
        <v>-0.22500000000000001</v>
      </c>
      <c r="P90" s="1011">
        <f t="shared" si="413"/>
        <v>0.11904761904761904</v>
      </c>
      <c r="Q90" s="1011">
        <f t="shared" si="413"/>
        <v>0.25</v>
      </c>
      <c r="R90" s="1011">
        <f t="shared" si="413"/>
        <v>0.13953488372093023</v>
      </c>
      <c r="S90" s="1011">
        <f t="shared" si="413"/>
        <v>-1.5151515151515152E-2</v>
      </c>
      <c r="T90" s="1013">
        <f t="shared" si="413"/>
        <v>4.5977011494252873E-2</v>
      </c>
      <c r="U90" s="1011">
        <f t="shared" si="413"/>
        <v>7.4999999999999997E-2</v>
      </c>
      <c r="V90" s="1011">
        <f t="shared" si="413"/>
        <v>2.6845637583892617E-2</v>
      </c>
      <c r="W90" s="1012">
        <f t="shared" si="413"/>
        <v>-0.16560509554140126</v>
      </c>
      <c r="X90" s="1011">
        <f t="shared" si="413"/>
        <v>6.2893081761006293E-3</v>
      </c>
      <c r="Y90" s="1011">
        <f t="shared" si="413"/>
        <v>1.2658227848101266E-2</v>
      </c>
      <c r="Z90" s="1011">
        <f t="shared" si="413"/>
        <v>6.024096385542169E-3</v>
      </c>
      <c r="AA90" s="1011">
        <f t="shared" si="413"/>
        <v>2.7777777777777776E-2</v>
      </c>
      <c r="AB90" s="1013">
        <f t="shared" si="413"/>
        <v>3.3333333333333333E-2</v>
      </c>
      <c r="AC90" s="1011">
        <f t="shared" si="413"/>
        <v>3.7267080745341616E-2</v>
      </c>
      <c r="AD90" s="1011">
        <f t="shared" si="413"/>
        <v>2.9069767441860465E-2</v>
      </c>
      <c r="AE90" s="1012">
        <f t="shared" si="413"/>
        <v>3.2258064516129031E-2</v>
      </c>
      <c r="AF90" s="1011">
        <f t="shared" si="413"/>
        <v>6.8493150684931503E-3</v>
      </c>
      <c r="AG90" s="1011">
        <f t="shared" si="413"/>
        <v>3.5460992907801421E-2</v>
      </c>
      <c r="AH90" s="1011">
        <f t="shared" si="413"/>
        <v>0.04</v>
      </c>
      <c r="AI90" s="1011">
        <f t="shared" si="413"/>
        <v>5.9633027522935783E-2</v>
      </c>
      <c r="AJ90" s="1013">
        <f t="shared" si="413"/>
        <v>3.5000000000000003E-2</v>
      </c>
      <c r="AK90" s="1011">
        <f t="shared" si="413"/>
        <v>4.4554455445544552E-2</v>
      </c>
      <c r="AL90" s="1011">
        <f>AL89/AL83</f>
        <v>7.476635514018691E-2</v>
      </c>
      <c r="AM90" s="1011">
        <f>AM89/AM83</f>
        <v>7.650273224043716E-2</v>
      </c>
      <c r="AN90" s="1013">
        <f>AN89/AN83</f>
        <v>6.0137457044673541E-2</v>
      </c>
      <c r="AO90" s="1011">
        <f t="shared" ref="AO90" si="414">AO89/AO83</f>
        <v>6.633499170812604E-2</v>
      </c>
      <c r="AP90" s="1011">
        <f>AP89/AP83</f>
        <v>5.9842519685039369E-2</v>
      </c>
      <c r="AQ90" s="1011">
        <f>AQ89/AQ83</f>
        <v>5.9972105997210597E-2</v>
      </c>
      <c r="AR90" s="1141">
        <f>AR89/AR83</f>
        <v>5.0872093023255814E-2</v>
      </c>
      <c r="AS90" s="1142">
        <f t="shared" ref="AS90" si="415">AS89/AS83</f>
        <v>5.3698074974670718E-2</v>
      </c>
      <c r="AT90" s="1142">
        <f>AT89/AT83</f>
        <v>5.3461875547765117E-2</v>
      </c>
      <c r="AU90" s="1142">
        <f>AU89/AU83</f>
        <v>5.1626591230551626E-2</v>
      </c>
      <c r="AV90" s="1227">
        <f>AV89/AV83</f>
        <v>5.1230871590153028E-2</v>
      </c>
      <c r="AW90" s="1228">
        <f t="shared" ref="AW90" si="416">AW89/AW83</f>
        <v>5.1047120418848166E-2</v>
      </c>
      <c r="AX90" s="1307">
        <f>AX89/AX83</f>
        <v>5.1522248243559721E-2</v>
      </c>
      <c r="AY90" s="1365">
        <f>AY89/AY83</f>
        <v>5.108359133126935E-2</v>
      </c>
      <c r="AZ90" s="1364">
        <f>AZ89/AZ83</f>
        <v>5.1020408163265307E-2</v>
      </c>
      <c r="BA90" s="1365">
        <f>BA86</f>
        <v>5.1499999999999997E-2</v>
      </c>
      <c r="BB90" s="1365">
        <f>BB86</f>
        <v>0.113</v>
      </c>
      <c r="BC90" s="1366">
        <f>BC86</f>
        <v>0.113</v>
      </c>
      <c r="BD90" s="1364">
        <f t="shared" ref="BD90:BG90" si="417">BC90</f>
        <v>0.113</v>
      </c>
      <c r="BE90" s="1365">
        <f t="shared" si="417"/>
        <v>0.113</v>
      </c>
      <c r="BF90" s="1365">
        <f t="shared" si="417"/>
        <v>0.113</v>
      </c>
      <c r="BG90" s="1405">
        <f t="shared" si="417"/>
        <v>0.113</v>
      </c>
      <c r="BH90" s="1364">
        <f t="shared" ref="BH90" si="418">BG90</f>
        <v>0.113</v>
      </c>
      <c r="BI90" s="1365">
        <f t="shared" ref="BI90" si="419">BH90</f>
        <v>0.113</v>
      </c>
      <c r="BJ90" s="1365">
        <f t="shared" ref="BJ90" si="420">BI90</f>
        <v>0.113</v>
      </c>
      <c r="BK90" s="1405">
        <f t="shared" ref="BK90" si="421">BJ90</f>
        <v>0.113</v>
      </c>
      <c r="BL90" s="232"/>
      <c r="BM90" s="1013">
        <f t="shared" ref="BM90:BV90" si="422">BM89/BM83</f>
        <v>-4.5454545454545456E-2</v>
      </c>
      <c r="BN90" s="1011">
        <f t="shared" si="422"/>
        <v>8.1632653061224483E-2</v>
      </c>
      <c r="BO90" s="1011">
        <f t="shared" si="422"/>
        <v>1.7964071856287425E-2</v>
      </c>
      <c r="BP90" s="1011">
        <f t="shared" si="422"/>
        <v>5.5944055944055944E-2</v>
      </c>
      <c r="BQ90" s="1011">
        <f t="shared" si="422"/>
        <v>-1.7543859649122806E-2</v>
      </c>
      <c r="BR90" s="1011">
        <f t="shared" si="422"/>
        <v>1.3574660633484163E-2</v>
      </c>
      <c r="BS90" s="1011">
        <f t="shared" si="422"/>
        <v>3.2884902840059793E-2</v>
      </c>
      <c r="BT90" s="1012">
        <f t="shared" si="422"/>
        <v>3.8235294117647062E-2</v>
      </c>
      <c r="BU90" s="1364">
        <f t="shared" si="422"/>
        <v>6.4465408805031446E-2</v>
      </c>
      <c r="BV90" s="1365">
        <f t="shared" si="422"/>
        <v>6.1489948758376031E-2</v>
      </c>
      <c r="BW90" s="1365">
        <f>BW89/BW83</f>
        <v>5.2482269503546099E-2</v>
      </c>
      <c r="BX90" s="1365">
        <f>BX89/BX83</f>
        <v>5.1220608057510858E-2</v>
      </c>
      <c r="BY90" s="1365">
        <f>BY89/BY83</f>
        <v>8.287699776809776E-2</v>
      </c>
      <c r="BZ90" s="1365">
        <f>BZ89/BZ83</f>
        <v>0.113</v>
      </c>
      <c r="CA90" s="1405">
        <f>CA89/CA83</f>
        <v>0.11299999999999996</v>
      </c>
      <c r="CB90" s="19"/>
      <c r="CC90" s="1013">
        <f t="shared" ref="CC90:CJ90" si="423">CC89/CC83</f>
        <v>-0.29411764705882354</v>
      </c>
      <c r="CD90" s="1011">
        <f t="shared" si="423"/>
        <v>6.4000000000000001E-2</v>
      </c>
      <c r="CE90" s="1011">
        <f t="shared" si="423"/>
        <v>2.8248587570621469E-2</v>
      </c>
      <c r="CF90" s="1011">
        <f t="shared" si="423"/>
        <v>3.7234042553191488E-2</v>
      </c>
      <c r="CG90" s="1011">
        <f t="shared" si="423"/>
        <v>-2.0512820512820513E-2</v>
      </c>
      <c r="CH90" s="1011">
        <f t="shared" si="423"/>
        <v>1.9877675840978593E-2</v>
      </c>
      <c r="CI90" s="1141">
        <f t="shared" si="423"/>
        <v>2.7067669172932331E-2</v>
      </c>
      <c r="CJ90" s="1142">
        <f t="shared" si="423"/>
        <v>4.3596730245231606E-2</v>
      </c>
      <c r="CK90" s="1142">
        <f t="shared" ref="CK90:CP90" si="424">CK89/CK83</f>
        <v>6.6505441354292621E-2</v>
      </c>
      <c r="CL90" s="1142">
        <f t="shared" si="424"/>
        <v>5.9023836549375708E-2</v>
      </c>
      <c r="CM90" s="1142">
        <f t="shared" si="424"/>
        <v>5.2329038652130823E-2</v>
      </c>
      <c r="CN90" s="1364">
        <f t="shared" si="424"/>
        <v>5.115961800818554E-2</v>
      </c>
      <c r="CO90" s="1365">
        <f t="shared" si="424"/>
        <v>9.8565924768787852E-2</v>
      </c>
      <c r="CP90" s="1405">
        <f t="shared" si="424"/>
        <v>0.11300000000000004</v>
      </c>
      <c r="CQ90" s="7"/>
      <c r="CX90" s="7"/>
    </row>
    <row r="91" spans="1:102" ht="14.25" hidden="1" customHeight="1" outlineLevel="1">
      <c r="A91" s="7"/>
      <c r="B91" s="21"/>
      <c r="C91" s="22"/>
      <c r="D91" s="39"/>
      <c r="E91" s="37"/>
      <c r="F91" s="37"/>
      <c r="G91" s="37"/>
      <c r="H91" s="39"/>
      <c r="I91" s="37"/>
      <c r="J91" s="37"/>
      <c r="K91" s="38"/>
      <c r="L91" s="39"/>
      <c r="M91" s="37"/>
      <c r="N91" s="37"/>
      <c r="O91" s="38"/>
      <c r="P91" s="37"/>
      <c r="Q91" s="37"/>
      <c r="R91" s="37"/>
      <c r="S91" s="37"/>
      <c r="T91" s="39"/>
      <c r="U91" s="37"/>
      <c r="V91" s="54"/>
      <c r="W91" s="38"/>
      <c r="X91" s="37"/>
      <c r="Y91" s="37"/>
      <c r="Z91" s="37"/>
      <c r="AA91" s="37"/>
      <c r="AB91" s="39"/>
      <c r="AC91" s="37"/>
      <c r="AD91" s="37"/>
      <c r="AE91" s="38"/>
      <c r="AF91" s="37"/>
      <c r="AG91" s="37"/>
      <c r="AH91" s="37"/>
      <c r="AI91" s="37"/>
      <c r="AJ91" s="39"/>
      <c r="AK91" s="37"/>
      <c r="AL91" s="37"/>
      <c r="AM91" s="37"/>
      <c r="AN91" s="39"/>
      <c r="AO91" s="37"/>
      <c r="AP91" s="37"/>
      <c r="AQ91" s="37"/>
      <c r="AR91" s="39"/>
      <c r="AS91" s="37"/>
      <c r="AT91" s="37"/>
      <c r="AU91" s="37"/>
      <c r="AV91" s="39"/>
      <c r="AW91" s="37"/>
      <c r="AX91" s="37"/>
      <c r="AY91" s="37"/>
      <c r="AZ91" s="39"/>
      <c r="BA91" s="37"/>
      <c r="BB91" s="37"/>
      <c r="BC91" s="55"/>
      <c r="BD91" s="940"/>
      <c r="BE91" s="37"/>
      <c r="BF91" s="37"/>
      <c r="BG91" s="1429"/>
      <c r="BH91" s="940"/>
      <c r="BI91" s="37"/>
      <c r="BJ91" s="37"/>
      <c r="BK91" s="1429"/>
      <c r="BL91" s="232"/>
      <c r="BM91" s="39"/>
      <c r="BN91" s="37"/>
      <c r="BO91" s="37"/>
      <c r="BP91" s="37"/>
      <c r="BQ91" s="37"/>
      <c r="BR91" s="37"/>
      <c r="BS91" s="37"/>
      <c r="BT91" s="38"/>
      <c r="BU91" s="39"/>
      <c r="BV91" s="37"/>
      <c r="BW91" s="37"/>
      <c r="BX91" s="37"/>
      <c r="BY91" s="37"/>
      <c r="BZ91" s="37"/>
      <c r="CA91" s="1411"/>
      <c r="CB91" s="19"/>
      <c r="CC91" s="39"/>
      <c r="CD91" s="37"/>
      <c r="CE91" s="37"/>
      <c r="CF91" s="37"/>
      <c r="CG91" s="37"/>
      <c r="CH91" s="37"/>
      <c r="CI91" s="39"/>
      <c r="CJ91" s="37"/>
      <c r="CK91" s="37"/>
      <c r="CL91" s="37"/>
      <c r="CM91" s="37"/>
      <c r="CN91" s="39"/>
      <c r="CO91" s="37"/>
      <c r="CP91" s="1411"/>
      <c r="CQ91" s="7"/>
      <c r="CX91" s="7"/>
    </row>
    <row r="92" spans="1:102" ht="14.25" customHeight="1" collapsed="1">
      <c r="A92" s="7"/>
      <c r="B92" s="43" t="s">
        <v>8</v>
      </c>
      <c r="C92" s="44"/>
      <c r="D92" s="45">
        <f>D82-D85</f>
        <v>-102</v>
      </c>
      <c r="E92" s="46">
        <f t="shared" ref="E92:AL92" si="425">E82-E85</f>
        <v>-48</v>
      </c>
      <c r="F92" s="46">
        <f t="shared" si="425"/>
        <v>-23</v>
      </c>
      <c r="G92" s="46">
        <f t="shared" si="425"/>
        <v>-78</v>
      </c>
      <c r="H92" s="45">
        <f t="shared" si="425"/>
        <v>6</v>
      </c>
      <c r="I92" s="46">
        <f t="shared" si="425"/>
        <v>4</v>
      </c>
      <c r="J92" s="46">
        <f t="shared" si="425"/>
        <v>-167</v>
      </c>
      <c r="K92" s="47">
        <f t="shared" si="425"/>
        <v>-2</v>
      </c>
      <c r="L92" s="45">
        <f t="shared" si="425"/>
        <v>4</v>
      </c>
      <c r="M92" s="46">
        <f t="shared" si="425"/>
        <v>17</v>
      </c>
      <c r="N92" s="46">
        <f t="shared" si="425"/>
        <v>44</v>
      </c>
      <c r="O92" s="47">
        <f t="shared" si="425"/>
        <v>18</v>
      </c>
      <c r="P92" s="46">
        <f t="shared" si="425"/>
        <v>6</v>
      </c>
      <c r="Q92" s="46">
        <f t="shared" si="425"/>
        <v>-31</v>
      </c>
      <c r="R92" s="46">
        <f t="shared" si="425"/>
        <v>2</v>
      </c>
      <c r="S92" s="46">
        <f t="shared" si="425"/>
        <v>-21</v>
      </c>
      <c r="T92" s="45">
        <f t="shared" si="425"/>
        <v>38</v>
      </c>
      <c r="U92" s="46">
        <f t="shared" si="425"/>
        <v>90</v>
      </c>
      <c r="V92" s="46">
        <f t="shared" si="425"/>
        <v>123</v>
      </c>
      <c r="W92" s="47">
        <f t="shared" si="425"/>
        <v>164</v>
      </c>
      <c r="X92" s="46">
        <f t="shared" si="425"/>
        <v>119</v>
      </c>
      <c r="Y92" s="46">
        <f t="shared" si="425"/>
        <v>135</v>
      </c>
      <c r="Z92" s="46">
        <f t="shared" si="425"/>
        <v>144</v>
      </c>
      <c r="AA92" s="46">
        <f t="shared" si="425"/>
        <v>154</v>
      </c>
      <c r="AB92" s="45">
        <f t="shared" si="425"/>
        <v>125</v>
      </c>
      <c r="AC92" s="46">
        <f t="shared" si="425"/>
        <v>134</v>
      </c>
      <c r="AD92" s="46">
        <f t="shared" si="425"/>
        <v>145</v>
      </c>
      <c r="AE92" s="47">
        <f t="shared" si="425"/>
        <v>159</v>
      </c>
      <c r="AF92" s="46">
        <f t="shared" si="425"/>
        <v>125</v>
      </c>
      <c r="AG92" s="46">
        <f t="shared" si="425"/>
        <v>113</v>
      </c>
      <c r="AH92" s="46">
        <f t="shared" si="425"/>
        <v>142</v>
      </c>
      <c r="AI92" s="46">
        <f t="shared" si="425"/>
        <v>172</v>
      </c>
      <c r="AJ92" s="45">
        <f t="shared" si="425"/>
        <v>134</v>
      </c>
      <c r="AK92" s="46">
        <f t="shared" si="425"/>
        <v>158</v>
      </c>
      <c r="AL92" s="46">
        <f t="shared" si="425"/>
        <v>-164</v>
      </c>
      <c r="AM92" s="46">
        <f>AM82-AM85</f>
        <v>135</v>
      </c>
      <c r="AN92" s="45">
        <f>AN82-AN85</f>
        <v>351</v>
      </c>
      <c r="AO92" s="46">
        <f t="shared" ref="AO92:BC92" si="426">AO82-AO85</f>
        <v>344</v>
      </c>
      <c r="AP92" s="46">
        <f t="shared" si="426"/>
        <v>240</v>
      </c>
      <c r="AQ92" s="46">
        <f t="shared" ref="AQ92:AV92" si="427">AQ82-AQ85</f>
        <v>429</v>
      </c>
      <c r="AR92" s="45">
        <f t="shared" si="427"/>
        <v>377</v>
      </c>
      <c r="AS92" s="46">
        <f t="shared" si="427"/>
        <v>-1255</v>
      </c>
      <c r="AT92" s="46">
        <f t="shared" si="427"/>
        <v>-315</v>
      </c>
      <c r="AU92" s="46">
        <f t="shared" si="427"/>
        <v>-668</v>
      </c>
      <c r="AV92" s="45">
        <f t="shared" si="427"/>
        <v>252</v>
      </c>
      <c r="AW92" s="46">
        <f t="shared" ref="AW92:AZ92" si="428">AW82-AW85</f>
        <v>464</v>
      </c>
      <c r="AX92" s="46">
        <f t="shared" si="428"/>
        <v>507</v>
      </c>
      <c r="AY92" s="46">
        <f t="shared" si="428"/>
        <v>671</v>
      </c>
      <c r="AZ92" s="45">
        <f t="shared" si="428"/>
        <v>6566</v>
      </c>
      <c r="BA92" s="46">
        <f t="shared" si="426"/>
        <v>1896.6153533135807</v>
      </c>
      <c r="BB92" s="46">
        <f t="shared" si="426"/>
        <v>1848.1184917577787</v>
      </c>
      <c r="BC92" s="47">
        <f t="shared" si="426"/>
        <v>2021.786526640991</v>
      </c>
      <c r="BD92" s="45">
        <f t="shared" ref="BD92:BG92" si="429">BD82-BD85</f>
        <v>1913.4942838625732</v>
      </c>
      <c r="BE92" s="46">
        <f t="shared" si="429"/>
        <v>1850.6045130446073</v>
      </c>
      <c r="BF92" s="46">
        <f t="shared" si="429"/>
        <v>2015.1851842406372</v>
      </c>
      <c r="BG92" s="1412">
        <f t="shared" si="429"/>
        <v>2285.2553740406579</v>
      </c>
      <c r="BH92" s="45">
        <f t="shared" ref="BH92:BK92" si="430">BH82-BH85</f>
        <v>2167.5588625385913</v>
      </c>
      <c r="BI92" s="46">
        <f t="shared" si="430"/>
        <v>2023.3260857020966</v>
      </c>
      <c r="BJ92" s="46">
        <f t="shared" si="430"/>
        <v>2135.0214538037349</v>
      </c>
      <c r="BK92" s="1412">
        <f t="shared" si="430"/>
        <v>2304.1772716854175</v>
      </c>
      <c r="BL92" s="232"/>
      <c r="BM92" s="45">
        <f t="shared" ref="BM92:BU92" si="431">BM82-BM85</f>
        <v>-251</v>
      </c>
      <c r="BN92" s="46">
        <f t="shared" si="431"/>
        <v>-159</v>
      </c>
      <c r="BO92" s="46">
        <f t="shared" si="431"/>
        <v>83</v>
      </c>
      <c r="BP92" s="46">
        <f t="shared" si="431"/>
        <v>-44</v>
      </c>
      <c r="BQ92" s="46">
        <f t="shared" si="431"/>
        <v>415</v>
      </c>
      <c r="BR92" s="46">
        <f t="shared" si="431"/>
        <v>552</v>
      </c>
      <c r="BS92" s="46">
        <f t="shared" si="431"/>
        <v>563</v>
      </c>
      <c r="BT92" s="47">
        <f t="shared" si="431"/>
        <v>552</v>
      </c>
      <c r="BU92" s="45">
        <f t="shared" si="431"/>
        <v>263</v>
      </c>
      <c r="BV92" s="46">
        <f t="shared" ref="BV92:CA92" si="432">BV82-BV85</f>
        <v>1364</v>
      </c>
      <c r="BW92" s="46">
        <f t="shared" si="432"/>
        <v>-1861</v>
      </c>
      <c r="BX92" s="46">
        <f t="shared" si="432"/>
        <v>1894</v>
      </c>
      <c r="BY92" s="46">
        <f t="shared" si="432"/>
        <v>12332.520371712351</v>
      </c>
      <c r="BZ92" s="46">
        <f t="shared" si="432"/>
        <v>8064.5393551884754</v>
      </c>
      <c r="CA92" s="1412">
        <f t="shared" si="432"/>
        <v>8630.0836737298432</v>
      </c>
      <c r="CB92" s="19"/>
      <c r="CC92" s="45">
        <f t="shared" ref="CC92:CJ92" si="433">CC82-CC85</f>
        <v>-143</v>
      </c>
      <c r="CD92" s="46">
        <f t="shared" si="433"/>
        <v>-161</v>
      </c>
      <c r="CE92" s="46">
        <f t="shared" si="433"/>
        <v>85</v>
      </c>
      <c r="CF92" s="46">
        <f t="shared" si="433"/>
        <v>-12</v>
      </c>
      <c r="CG92" s="46">
        <f t="shared" si="433"/>
        <v>496</v>
      </c>
      <c r="CH92" s="46">
        <f t="shared" si="433"/>
        <v>558</v>
      </c>
      <c r="CI92" s="45">
        <f t="shared" si="433"/>
        <v>563</v>
      </c>
      <c r="CJ92" s="46">
        <f t="shared" si="433"/>
        <v>561</v>
      </c>
      <c r="CK92" s="46">
        <f t="shared" ref="CK92:CP92" si="434">CK82-CK85</f>
        <v>480</v>
      </c>
      <c r="CL92" s="46">
        <f t="shared" si="434"/>
        <v>1390</v>
      </c>
      <c r="CM92" s="46">
        <f t="shared" si="434"/>
        <v>-1986</v>
      </c>
      <c r="CN92" s="45">
        <f t="shared" si="434"/>
        <v>8208</v>
      </c>
      <c r="CO92" s="46">
        <f t="shared" si="434"/>
        <v>7680.0146555749252</v>
      </c>
      <c r="CP92" s="1412">
        <f t="shared" si="434"/>
        <v>8318.6039338644914</v>
      </c>
      <c r="CQ92" s="7"/>
      <c r="CX92" s="7"/>
    </row>
    <row r="93" spans="1:102" s="1435" customFormat="1" ht="14.25" customHeight="1">
      <c r="A93" s="7"/>
      <c r="B93" s="43"/>
      <c r="C93" s="1436"/>
      <c r="D93" s="45"/>
      <c r="E93" s="46"/>
      <c r="F93" s="46"/>
      <c r="G93" s="46"/>
      <c r="H93" s="45"/>
      <c r="I93" s="46"/>
      <c r="J93" s="46"/>
      <c r="K93" s="1412"/>
      <c r="L93" s="45"/>
      <c r="M93" s="46"/>
      <c r="N93" s="46"/>
      <c r="O93" s="1412"/>
      <c r="P93" s="46"/>
      <c r="Q93" s="46"/>
      <c r="R93" s="46"/>
      <c r="S93" s="46"/>
      <c r="T93" s="45"/>
      <c r="U93" s="46"/>
      <c r="V93" s="46"/>
      <c r="W93" s="1412"/>
      <c r="X93" s="46"/>
      <c r="Y93" s="46"/>
      <c r="Z93" s="46"/>
      <c r="AA93" s="46"/>
      <c r="AB93" s="45"/>
      <c r="AC93" s="46"/>
      <c r="AD93" s="46"/>
      <c r="AE93" s="1412"/>
      <c r="AF93" s="46"/>
      <c r="AG93" s="46"/>
      <c r="AH93" s="46"/>
      <c r="AI93" s="46"/>
      <c r="AJ93" s="45"/>
      <c r="AK93" s="46"/>
      <c r="AL93" s="46"/>
      <c r="AM93" s="46"/>
      <c r="AN93" s="45"/>
      <c r="AO93" s="46"/>
      <c r="AP93" s="46"/>
      <c r="AQ93" s="46"/>
      <c r="AR93" s="45"/>
      <c r="AS93" s="46"/>
      <c r="AT93" s="46"/>
      <c r="AU93" s="46"/>
      <c r="AV93" s="45"/>
      <c r="AW93" s="46"/>
      <c r="AX93" s="46"/>
      <c r="AY93" s="46"/>
      <c r="AZ93" s="45"/>
      <c r="BA93" s="46"/>
      <c r="BB93" s="46"/>
      <c r="BC93" s="1412"/>
      <c r="BD93" s="45"/>
      <c r="BE93" s="46"/>
      <c r="BF93" s="46"/>
      <c r="BG93" s="1412"/>
      <c r="BH93" s="45"/>
      <c r="BI93" s="46"/>
      <c r="BJ93" s="46"/>
      <c r="BK93" s="1412"/>
      <c r="BL93" s="1391"/>
      <c r="BM93" s="45"/>
      <c r="BN93" s="46"/>
      <c r="BO93" s="46"/>
      <c r="BP93" s="46"/>
      <c r="BQ93" s="46"/>
      <c r="BR93" s="46"/>
      <c r="BS93" s="46"/>
      <c r="BT93" s="1412"/>
      <c r="BU93" s="45"/>
      <c r="BV93" s="46"/>
      <c r="BW93" s="46"/>
      <c r="BX93" s="46"/>
      <c r="BY93" s="46"/>
      <c r="BZ93" s="46"/>
      <c r="CA93" s="1412"/>
      <c r="CB93" s="19"/>
      <c r="CC93" s="45"/>
      <c r="CD93" s="46"/>
      <c r="CE93" s="46"/>
      <c r="CF93" s="46"/>
      <c r="CG93" s="46"/>
      <c r="CH93" s="46"/>
      <c r="CI93" s="45"/>
      <c r="CJ93" s="46"/>
      <c r="CK93" s="46"/>
      <c r="CL93" s="46"/>
      <c r="CM93" s="46"/>
      <c r="CN93" s="45"/>
      <c r="CO93" s="46"/>
      <c r="CP93" s="1412"/>
      <c r="CQ93" s="7"/>
      <c r="CR93"/>
      <c r="CS93"/>
      <c r="CT93"/>
      <c r="CU93"/>
      <c r="CV93"/>
      <c r="CW93"/>
      <c r="CX93" s="7"/>
    </row>
    <row r="94" spans="1:102" s="1435" customFormat="1" ht="14.25" customHeight="1">
      <c r="A94" s="7"/>
      <c r="B94" s="1443" t="s">
        <v>420</v>
      </c>
      <c r="C94" s="1436"/>
      <c r="D94" s="29">
        <v>0</v>
      </c>
      <c r="E94" s="30">
        <v>0</v>
      </c>
      <c r="F94" s="30">
        <v>0</v>
      </c>
      <c r="G94" s="30">
        <v>0</v>
      </c>
      <c r="H94" s="29">
        <v>0</v>
      </c>
      <c r="I94" s="30">
        <v>0</v>
      </c>
      <c r="J94" s="30">
        <v>0</v>
      </c>
      <c r="K94" s="30">
        <v>0</v>
      </c>
      <c r="L94" s="29">
        <v>0</v>
      </c>
      <c r="M94" s="30">
        <v>0</v>
      </c>
      <c r="N94" s="30">
        <v>0</v>
      </c>
      <c r="O94" s="30">
        <v>0</v>
      </c>
      <c r="P94" s="29">
        <v>0</v>
      </c>
      <c r="Q94" s="30">
        <v>0</v>
      </c>
      <c r="R94" s="30">
        <v>0</v>
      </c>
      <c r="S94" s="30">
        <v>0</v>
      </c>
      <c r="T94" s="29">
        <v>0</v>
      </c>
      <c r="U94" s="30">
        <v>0</v>
      </c>
      <c r="V94" s="30">
        <v>0</v>
      </c>
      <c r="W94" s="30">
        <v>0</v>
      </c>
      <c r="X94" s="29">
        <v>0</v>
      </c>
      <c r="Y94" s="30">
        <v>0</v>
      </c>
      <c r="Z94" s="30">
        <v>0</v>
      </c>
      <c r="AA94" s="30">
        <v>0</v>
      </c>
      <c r="AB94" s="29">
        <v>0</v>
      </c>
      <c r="AC94" s="30">
        <v>0</v>
      </c>
      <c r="AD94" s="30">
        <v>0</v>
      </c>
      <c r="AE94" s="30">
        <v>0</v>
      </c>
      <c r="AF94" s="29">
        <v>0</v>
      </c>
      <c r="AG94" s="30">
        <v>0</v>
      </c>
      <c r="AH94" s="30">
        <v>0</v>
      </c>
      <c r="AI94" s="30">
        <v>0</v>
      </c>
      <c r="AJ94" s="29">
        <v>0</v>
      </c>
      <c r="AK94" s="30">
        <v>0</v>
      </c>
      <c r="AL94" s="30">
        <v>0</v>
      </c>
      <c r="AM94" s="30">
        <v>0</v>
      </c>
      <c r="AN94" s="29">
        <v>0</v>
      </c>
      <c r="AO94" s="30">
        <v>0</v>
      </c>
      <c r="AP94" s="30">
        <v>0</v>
      </c>
      <c r="AQ94" s="30">
        <v>0</v>
      </c>
      <c r="AR94" s="29">
        <v>0</v>
      </c>
      <c r="AS94" s="30">
        <v>-69</v>
      </c>
      <c r="AT94" s="30">
        <v>-17</v>
      </c>
      <c r="AU94" s="30">
        <v>-36</v>
      </c>
      <c r="AV94" s="29">
        <v>13</v>
      </c>
      <c r="AW94" s="30">
        <v>24</v>
      </c>
      <c r="AX94" s="30">
        <v>26</v>
      </c>
      <c r="AY94" s="30">
        <v>35</v>
      </c>
      <c r="AZ94" s="29">
        <v>336</v>
      </c>
      <c r="BA94" s="30">
        <v>0</v>
      </c>
      <c r="BB94" s="30">
        <v>0</v>
      </c>
      <c r="BC94" s="30">
        <v>0</v>
      </c>
      <c r="BD94" s="29">
        <v>0</v>
      </c>
      <c r="BE94" s="30">
        <v>0</v>
      </c>
      <c r="BF94" s="30">
        <v>0</v>
      </c>
      <c r="BG94" s="1415">
        <v>0</v>
      </c>
      <c r="BH94" s="29">
        <v>0</v>
      </c>
      <c r="BI94" s="30">
        <v>0</v>
      </c>
      <c r="BJ94" s="30">
        <v>0</v>
      </c>
      <c r="BK94" s="30">
        <v>0</v>
      </c>
      <c r="BL94" s="1391"/>
      <c r="BM94" s="45">
        <f>SUM(D94:G94)</f>
        <v>0</v>
      </c>
      <c r="BN94" s="46">
        <f>SUM(H94:K94)</f>
        <v>0</v>
      </c>
      <c r="BO94" s="46">
        <f>SUM(L94:O94)</f>
        <v>0</v>
      </c>
      <c r="BP94" s="46">
        <f>SUM(P94:S94)</f>
        <v>0</v>
      </c>
      <c r="BQ94" s="46">
        <f>SUM(T94:W94)</f>
        <v>0</v>
      </c>
      <c r="BR94" s="46">
        <f>SUM(X94:AA94)</f>
        <v>0</v>
      </c>
      <c r="BS94" s="46">
        <f>SUM(AB94:AE94)</f>
        <v>0</v>
      </c>
      <c r="BT94" s="1412">
        <f>SUM(AF94:AI94)</f>
        <v>0</v>
      </c>
      <c r="BU94" s="45">
        <f>SUM(AJ94:AM94)</f>
        <v>0</v>
      </c>
      <c r="BV94" s="46">
        <f>SUM(AN94:AQ94)</f>
        <v>0</v>
      </c>
      <c r="BW94" s="46">
        <f>SUM(AR94:AU94)</f>
        <v>-122</v>
      </c>
      <c r="BX94" s="46">
        <f>SUM(AV94:AY94)</f>
        <v>98</v>
      </c>
      <c r="BY94" s="46">
        <f>SUM(AZ94:BC94)</f>
        <v>336</v>
      </c>
      <c r="BZ94" s="46">
        <f>SUM(BD94:BG94)</f>
        <v>0</v>
      </c>
      <c r="CA94" s="1412"/>
      <c r="CB94" s="19"/>
      <c r="CC94" s="45"/>
      <c r="CD94" s="46"/>
      <c r="CE94" s="46"/>
      <c r="CF94" s="46"/>
      <c r="CG94" s="46"/>
      <c r="CH94" s="46"/>
      <c r="CI94" s="45"/>
      <c r="CJ94" s="46"/>
      <c r="CK94" s="46"/>
      <c r="CL94" s="46"/>
      <c r="CM94" s="46"/>
      <c r="CN94" s="45"/>
      <c r="CO94" s="46"/>
      <c r="CP94" s="1412"/>
      <c r="CQ94" s="7"/>
      <c r="CR94"/>
      <c r="CS94"/>
      <c r="CT94"/>
      <c r="CU94"/>
      <c r="CV94"/>
      <c r="CW94"/>
      <c r="CX94" s="7"/>
    </row>
    <row r="95" spans="1:102" s="1435" customFormat="1" ht="14.25" customHeight="1">
      <c r="A95" s="7"/>
      <c r="B95" s="43"/>
      <c r="C95" s="1436"/>
      <c r="D95" s="45"/>
      <c r="E95" s="46"/>
      <c r="F95" s="46"/>
      <c r="G95" s="46"/>
      <c r="H95" s="45"/>
      <c r="I95" s="46"/>
      <c r="J95" s="46"/>
      <c r="K95" s="1412"/>
      <c r="L95" s="45"/>
      <c r="M95" s="46"/>
      <c r="N95" s="46"/>
      <c r="O95" s="1412"/>
      <c r="P95" s="46"/>
      <c r="Q95" s="46"/>
      <c r="R95" s="46"/>
      <c r="S95" s="46"/>
      <c r="T95" s="45"/>
      <c r="U95" s="46"/>
      <c r="V95" s="46"/>
      <c r="W95" s="1412"/>
      <c r="X95" s="46"/>
      <c r="Y95" s="46"/>
      <c r="Z95" s="46"/>
      <c r="AA95" s="46"/>
      <c r="AB95" s="45"/>
      <c r="AC95" s="46"/>
      <c r="AD95" s="46"/>
      <c r="AE95" s="1412"/>
      <c r="AF95" s="46"/>
      <c r="AG95" s="46"/>
      <c r="AH95" s="46"/>
      <c r="AI95" s="46"/>
      <c r="AJ95" s="45"/>
      <c r="AK95" s="46"/>
      <c r="AL95" s="46"/>
      <c r="AM95" s="46"/>
      <c r="AN95" s="45"/>
      <c r="AO95" s="46"/>
      <c r="AP95" s="46"/>
      <c r="AQ95" s="46"/>
      <c r="AR95" s="45"/>
      <c r="AS95" s="46"/>
      <c r="AT95" s="46"/>
      <c r="AU95" s="46"/>
      <c r="AV95" s="45"/>
      <c r="AW95" s="46"/>
      <c r="AX95" s="46"/>
      <c r="AY95" s="46"/>
      <c r="AZ95" s="45"/>
      <c r="BA95" s="46"/>
      <c r="BB95" s="46"/>
      <c r="BC95" s="1412"/>
      <c r="BD95" s="45"/>
      <c r="BE95" s="46"/>
      <c r="BF95" s="46"/>
      <c r="BG95" s="1412"/>
      <c r="BH95" s="45"/>
      <c r="BI95" s="46"/>
      <c r="BJ95" s="46"/>
      <c r="BK95" s="1412"/>
      <c r="BL95" s="1391"/>
      <c r="BM95" s="45"/>
      <c r="BN95" s="46"/>
      <c r="BO95" s="46"/>
      <c r="BP95" s="46"/>
      <c r="BQ95" s="46"/>
      <c r="BR95" s="46"/>
      <c r="BS95" s="46"/>
      <c r="BT95" s="1412"/>
      <c r="BU95" s="45"/>
      <c r="BV95" s="46"/>
      <c r="BW95" s="46"/>
      <c r="BX95" s="46"/>
      <c r="BY95" s="46"/>
      <c r="BZ95" s="46"/>
      <c r="CA95" s="1412"/>
      <c r="CB95" s="19"/>
      <c r="CC95" s="45"/>
      <c r="CD95" s="46"/>
      <c r="CE95" s="46"/>
      <c r="CF95" s="46"/>
      <c r="CG95" s="46"/>
      <c r="CH95" s="46"/>
      <c r="CI95" s="45"/>
      <c r="CJ95" s="46"/>
      <c r="CK95" s="46"/>
      <c r="CL95" s="46"/>
      <c r="CM95" s="46"/>
      <c r="CN95" s="45"/>
      <c r="CO95" s="46"/>
      <c r="CP95" s="1412"/>
      <c r="CQ95" s="7"/>
      <c r="CR95"/>
      <c r="CS95"/>
      <c r="CT95"/>
      <c r="CU95"/>
      <c r="CV95"/>
      <c r="CW95"/>
      <c r="CX95" s="7"/>
    </row>
    <row r="96" spans="1:102" s="1435" customFormat="1" ht="14.25" customHeight="1">
      <c r="A96" s="7"/>
      <c r="B96" s="43" t="s">
        <v>421</v>
      </c>
      <c r="C96" s="1436"/>
      <c r="D96" s="45">
        <f t="shared" ref="D96:AQ96" si="435">D92-D94</f>
        <v>-102</v>
      </c>
      <c r="E96" s="46">
        <f t="shared" si="435"/>
        <v>-48</v>
      </c>
      <c r="F96" s="46">
        <f t="shared" si="435"/>
        <v>-23</v>
      </c>
      <c r="G96" s="46">
        <f t="shared" si="435"/>
        <v>-78</v>
      </c>
      <c r="H96" s="45">
        <f t="shared" si="435"/>
        <v>6</v>
      </c>
      <c r="I96" s="46">
        <f t="shared" si="435"/>
        <v>4</v>
      </c>
      <c r="J96" s="46">
        <f t="shared" si="435"/>
        <v>-167</v>
      </c>
      <c r="K96" s="46">
        <f t="shared" si="435"/>
        <v>-2</v>
      </c>
      <c r="L96" s="45">
        <f t="shared" si="435"/>
        <v>4</v>
      </c>
      <c r="M96" s="46">
        <f t="shared" si="435"/>
        <v>17</v>
      </c>
      <c r="N96" s="46">
        <f t="shared" si="435"/>
        <v>44</v>
      </c>
      <c r="O96" s="46">
        <f t="shared" si="435"/>
        <v>18</v>
      </c>
      <c r="P96" s="45">
        <f t="shared" si="435"/>
        <v>6</v>
      </c>
      <c r="Q96" s="46">
        <f t="shared" si="435"/>
        <v>-31</v>
      </c>
      <c r="R96" s="46">
        <f t="shared" si="435"/>
        <v>2</v>
      </c>
      <c r="S96" s="46">
        <f t="shared" si="435"/>
        <v>-21</v>
      </c>
      <c r="T96" s="45">
        <f t="shared" si="435"/>
        <v>38</v>
      </c>
      <c r="U96" s="46">
        <f t="shared" si="435"/>
        <v>90</v>
      </c>
      <c r="V96" s="46">
        <f t="shared" si="435"/>
        <v>123</v>
      </c>
      <c r="W96" s="46">
        <f t="shared" si="435"/>
        <v>164</v>
      </c>
      <c r="X96" s="45">
        <f t="shared" si="435"/>
        <v>119</v>
      </c>
      <c r="Y96" s="46">
        <f t="shared" si="435"/>
        <v>135</v>
      </c>
      <c r="Z96" s="46">
        <f t="shared" si="435"/>
        <v>144</v>
      </c>
      <c r="AA96" s="46">
        <f t="shared" si="435"/>
        <v>154</v>
      </c>
      <c r="AB96" s="45">
        <f t="shared" si="435"/>
        <v>125</v>
      </c>
      <c r="AC96" s="46">
        <f t="shared" si="435"/>
        <v>134</v>
      </c>
      <c r="AD96" s="46">
        <f t="shared" si="435"/>
        <v>145</v>
      </c>
      <c r="AE96" s="46">
        <f t="shared" si="435"/>
        <v>159</v>
      </c>
      <c r="AF96" s="45">
        <f t="shared" si="435"/>
        <v>125</v>
      </c>
      <c r="AG96" s="46">
        <f t="shared" si="435"/>
        <v>113</v>
      </c>
      <c r="AH96" s="46">
        <f t="shared" si="435"/>
        <v>142</v>
      </c>
      <c r="AI96" s="46">
        <f t="shared" si="435"/>
        <v>172</v>
      </c>
      <c r="AJ96" s="45">
        <f t="shared" si="435"/>
        <v>134</v>
      </c>
      <c r="AK96" s="46">
        <f t="shared" si="435"/>
        <v>158</v>
      </c>
      <c r="AL96" s="46">
        <f t="shared" si="435"/>
        <v>-164</v>
      </c>
      <c r="AM96" s="46">
        <f t="shared" si="435"/>
        <v>135</v>
      </c>
      <c r="AN96" s="45">
        <f t="shared" si="435"/>
        <v>351</v>
      </c>
      <c r="AO96" s="46">
        <f t="shared" si="435"/>
        <v>344</v>
      </c>
      <c r="AP96" s="46">
        <f t="shared" si="435"/>
        <v>240</v>
      </c>
      <c r="AQ96" s="46">
        <f t="shared" si="435"/>
        <v>429</v>
      </c>
      <c r="AR96" s="45">
        <f t="shared" ref="AR96:AY96" si="436">AR92-AR94</f>
        <v>377</v>
      </c>
      <c r="AS96" s="46">
        <f t="shared" si="436"/>
        <v>-1186</v>
      </c>
      <c r="AT96" s="46">
        <f t="shared" si="436"/>
        <v>-298</v>
      </c>
      <c r="AU96" s="46">
        <f t="shared" si="436"/>
        <v>-632</v>
      </c>
      <c r="AV96" s="45">
        <f t="shared" si="436"/>
        <v>239</v>
      </c>
      <c r="AW96" s="46">
        <f t="shared" si="436"/>
        <v>440</v>
      </c>
      <c r="AX96" s="46">
        <f t="shared" si="436"/>
        <v>481</v>
      </c>
      <c r="AY96" s="46">
        <f t="shared" si="436"/>
        <v>636</v>
      </c>
      <c r="AZ96" s="45">
        <f t="shared" ref="AZ96" si="437">AZ92-AZ94</f>
        <v>6230</v>
      </c>
      <c r="BA96" s="46">
        <f t="shared" ref="BA96:BK96" si="438">BA92-BA94</f>
        <v>1896.6153533135807</v>
      </c>
      <c r="BB96" s="46">
        <f t="shared" si="438"/>
        <v>1848.1184917577787</v>
      </c>
      <c r="BC96" s="1412">
        <f t="shared" si="438"/>
        <v>2021.786526640991</v>
      </c>
      <c r="BD96" s="45">
        <f t="shared" si="438"/>
        <v>1913.4942838625732</v>
      </c>
      <c r="BE96" s="46">
        <f t="shared" si="438"/>
        <v>1850.6045130446073</v>
      </c>
      <c r="BF96" s="46">
        <f t="shared" si="438"/>
        <v>2015.1851842406372</v>
      </c>
      <c r="BG96" s="1412">
        <f t="shared" si="438"/>
        <v>2285.2553740406579</v>
      </c>
      <c r="BH96" s="45">
        <f t="shared" si="438"/>
        <v>2167.5588625385913</v>
      </c>
      <c r="BI96" s="46">
        <f t="shared" si="438"/>
        <v>2023.3260857020966</v>
      </c>
      <c r="BJ96" s="46">
        <f t="shared" si="438"/>
        <v>2135.0214538037349</v>
      </c>
      <c r="BK96" s="1412">
        <f t="shared" si="438"/>
        <v>2304.1772716854175</v>
      </c>
      <c r="BL96" s="1391"/>
      <c r="BM96" s="45">
        <f t="shared" ref="BM96:BT96" si="439">BM92-BM94</f>
        <v>-251</v>
      </c>
      <c r="BN96" s="46">
        <f t="shared" si="439"/>
        <v>-159</v>
      </c>
      <c r="BO96" s="46">
        <f t="shared" si="439"/>
        <v>83</v>
      </c>
      <c r="BP96" s="46">
        <f t="shared" si="439"/>
        <v>-44</v>
      </c>
      <c r="BQ96" s="46">
        <f t="shared" si="439"/>
        <v>415</v>
      </c>
      <c r="BR96" s="46">
        <f t="shared" si="439"/>
        <v>552</v>
      </c>
      <c r="BS96" s="46">
        <f t="shared" si="439"/>
        <v>563</v>
      </c>
      <c r="BT96" s="1412">
        <f t="shared" si="439"/>
        <v>552</v>
      </c>
      <c r="BU96" s="45">
        <f t="shared" ref="BU96:BZ96" si="440">BU92-BU94</f>
        <v>263</v>
      </c>
      <c r="BV96" s="46">
        <f t="shared" si="440"/>
        <v>1364</v>
      </c>
      <c r="BW96" s="46">
        <f t="shared" si="440"/>
        <v>-1739</v>
      </c>
      <c r="BX96" s="46">
        <f t="shared" si="440"/>
        <v>1796</v>
      </c>
      <c r="BY96" s="46">
        <f t="shared" si="440"/>
        <v>11996.520371712351</v>
      </c>
      <c r="BZ96" s="46">
        <f t="shared" si="440"/>
        <v>8064.5393551884754</v>
      </c>
      <c r="CA96" s="1412"/>
      <c r="CB96" s="19"/>
      <c r="CC96" s="45"/>
      <c r="CD96" s="46"/>
      <c r="CE96" s="46"/>
      <c r="CF96" s="46"/>
      <c r="CG96" s="46"/>
      <c r="CH96" s="46"/>
      <c r="CI96" s="45"/>
      <c r="CJ96" s="46"/>
      <c r="CK96" s="46"/>
      <c r="CL96" s="46"/>
      <c r="CM96" s="46"/>
      <c r="CN96" s="45"/>
      <c r="CO96" s="46"/>
      <c r="CP96" s="1412"/>
      <c r="CQ96" s="7"/>
      <c r="CR96"/>
      <c r="CS96"/>
      <c r="CT96"/>
      <c r="CU96"/>
      <c r="CV96"/>
      <c r="CW96"/>
      <c r="CX96" s="7"/>
    </row>
    <row r="97" spans="1:102" ht="14.25" customHeight="1">
      <c r="A97" s="7"/>
      <c r="B97" s="43"/>
      <c r="C97" s="44"/>
      <c r="D97" s="45"/>
      <c r="E97" s="46"/>
      <c r="F97" s="46"/>
      <c r="G97" s="46"/>
      <c r="H97" s="45"/>
      <c r="I97" s="46"/>
      <c r="J97" s="46"/>
      <c r="K97" s="47"/>
      <c r="L97" s="45"/>
      <c r="M97" s="46"/>
      <c r="N97" s="46"/>
      <c r="O97" s="47"/>
      <c r="P97" s="46"/>
      <c r="Q97" s="46"/>
      <c r="R97" s="46"/>
      <c r="S97" s="46"/>
      <c r="T97" s="45"/>
      <c r="U97" s="46"/>
      <c r="V97" s="46"/>
      <c r="W97" s="47"/>
      <c r="X97" s="46"/>
      <c r="Y97" s="46"/>
      <c r="Z97" s="46"/>
      <c r="AA97" s="46"/>
      <c r="AB97" s="45"/>
      <c r="AC97" s="46"/>
      <c r="AD97" s="46"/>
      <c r="AE97" s="47"/>
      <c r="AF97" s="46"/>
      <c r="AG97" s="46"/>
      <c r="AH97" s="46"/>
      <c r="AI97" s="46"/>
      <c r="AJ97" s="45"/>
      <c r="AK97" s="46"/>
      <c r="AL97" s="46"/>
      <c r="AM97" s="46"/>
      <c r="AN97" s="45"/>
      <c r="AO97" s="46"/>
      <c r="AP97" s="46"/>
      <c r="AQ97" s="46"/>
      <c r="AR97" s="45"/>
      <c r="AS97" s="46"/>
      <c r="AT97" s="46"/>
      <c r="AU97" s="46"/>
      <c r="AV97" s="45"/>
      <c r="AW97" s="46"/>
      <c r="AX97" s="46"/>
      <c r="AY97" s="46"/>
      <c r="AZ97" s="45"/>
      <c r="BA97" s="46"/>
      <c r="BB97" s="46"/>
      <c r="BC97" s="47"/>
      <c r="BD97" s="45"/>
      <c r="BE97" s="46"/>
      <c r="BF97" s="46"/>
      <c r="BG97" s="1412"/>
      <c r="BH97" s="45"/>
      <c r="BI97" s="46"/>
      <c r="BJ97" s="46"/>
      <c r="BK97" s="1412"/>
      <c r="BL97" s="232"/>
      <c r="BM97" s="45"/>
      <c r="BN97" s="46"/>
      <c r="BO97" s="46"/>
      <c r="BP97" s="46"/>
      <c r="BQ97" s="46"/>
      <c r="BR97" s="46"/>
      <c r="BS97" s="46"/>
      <c r="BT97" s="47"/>
      <c r="BU97" s="45"/>
      <c r="BV97" s="46"/>
      <c r="BW97" s="46"/>
      <c r="BX97" s="46"/>
      <c r="BY97" s="46"/>
      <c r="BZ97" s="46"/>
      <c r="CA97" s="1412"/>
      <c r="CB97" s="19"/>
      <c r="CC97" s="45"/>
      <c r="CD97" s="46"/>
      <c r="CE97" s="46"/>
      <c r="CF97" s="46"/>
      <c r="CG97" s="46"/>
      <c r="CH97" s="46"/>
      <c r="CI97" s="45"/>
      <c r="CJ97" s="46"/>
      <c r="CK97" s="46"/>
      <c r="CL97" s="46"/>
      <c r="CM97" s="46"/>
      <c r="CN97" s="45"/>
      <c r="CO97" s="46"/>
      <c r="CP97" s="1412"/>
      <c r="CQ97" s="7"/>
      <c r="CX97" s="7"/>
    </row>
    <row r="98" spans="1:102" s="533" customFormat="1" ht="14.25" customHeight="1">
      <c r="A98" s="525"/>
      <c r="B98" s="769" t="s">
        <v>239</v>
      </c>
      <c r="C98" s="789"/>
      <c r="D98" s="532">
        <f t="shared" ref="D98:AI98" si="441">(D17+D37+D52+SUM(D57:D63))+D88</f>
        <v>25</v>
      </c>
      <c r="E98" s="530">
        <f t="shared" si="441"/>
        <v>37</v>
      </c>
      <c r="F98" s="530">
        <f t="shared" si="441"/>
        <v>30</v>
      </c>
      <c r="G98" s="530">
        <f t="shared" si="441"/>
        <v>46</v>
      </c>
      <c r="H98" s="532">
        <f t="shared" si="441"/>
        <v>44</v>
      </c>
      <c r="I98" s="530">
        <f t="shared" si="441"/>
        <v>26</v>
      </c>
      <c r="J98" s="530">
        <f t="shared" si="441"/>
        <v>192</v>
      </c>
      <c r="K98" s="531">
        <f t="shared" si="441"/>
        <v>36</v>
      </c>
      <c r="L98" s="532">
        <f t="shared" si="441"/>
        <v>24</v>
      </c>
      <c r="M98" s="530">
        <f t="shared" si="441"/>
        <v>23</v>
      </c>
      <c r="N98" s="530">
        <f t="shared" si="441"/>
        <v>26</v>
      </c>
      <c r="O98" s="531">
        <f t="shared" si="441"/>
        <v>24</v>
      </c>
      <c r="P98" s="530">
        <f t="shared" si="441"/>
        <v>32</v>
      </c>
      <c r="Q98" s="530">
        <f t="shared" si="441"/>
        <v>25</v>
      </c>
      <c r="R98" s="530">
        <f t="shared" si="441"/>
        <v>35</v>
      </c>
      <c r="S98" s="530">
        <f t="shared" si="441"/>
        <v>79</v>
      </c>
      <c r="T98" s="532">
        <f t="shared" si="441"/>
        <v>21</v>
      </c>
      <c r="U98" s="530">
        <f t="shared" si="441"/>
        <v>21</v>
      </c>
      <c r="V98" s="530">
        <f t="shared" si="441"/>
        <v>22</v>
      </c>
      <c r="W98" s="531">
        <f t="shared" si="441"/>
        <v>19</v>
      </c>
      <c r="X98" s="530">
        <f t="shared" si="441"/>
        <v>20</v>
      </c>
      <c r="Y98" s="530">
        <f t="shared" si="441"/>
        <v>20</v>
      </c>
      <c r="Z98" s="530">
        <f t="shared" si="441"/>
        <v>21</v>
      </c>
      <c r="AA98" s="530">
        <f t="shared" si="441"/>
        <v>21</v>
      </c>
      <c r="AB98" s="532">
        <f t="shared" si="441"/>
        <v>20</v>
      </c>
      <c r="AC98" s="530">
        <f t="shared" si="441"/>
        <v>21</v>
      </c>
      <c r="AD98" s="530">
        <f t="shared" si="441"/>
        <v>22</v>
      </c>
      <c r="AE98" s="531">
        <f t="shared" si="441"/>
        <v>21</v>
      </c>
      <c r="AF98" s="530">
        <f t="shared" si="441"/>
        <v>20</v>
      </c>
      <c r="AG98" s="530">
        <f t="shared" si="441"/>
        <v>23</v>
      </c>
      <c r="AH98" s="530">
        <f t="shared" si="441"/>
        <v>26</v>
      </c>
      <c r="AI98" s="530">
        <f t="shared" si="441"/>
        <v>32</v>
      </c>
      <c r="AJ98" s="532">
        <f t="shared" ref="AJ98:BC98" si="442">(AJ17+AJ37+AJ52+SUM(AJ57:AJ63))+AJ88+AJ78</f>
        <v>59</v>
      </c>
      <c r="AK98" s="530">
        <f t="shared" si="442"/>
        <v>35</v>
      </c>
      <c r="AL98" s="530">
        <f t="shared" si="442"/>
        <v>417</v>
      </c>
      <c r="AM98" s="530">
        <f t="shared" si="442"/>
        <v>370</v>
      </c>
      <c r="AN98" s="532">
        <f t="shared" si="442"/>
        <v>209</v>
      </c>
      <c r="AO98" s="530">
        <f t="shared" si="442"/>
        <v>224</v>
      </c>
      <c r="AP98" s="530">
        <f t="shared" si="442"/>
        <v>353</v>
      </c>
      <c r="AQ98" s="530">
        <f t="shared" si="442"/>
        <v>204</v>
      </c>
      <c r="AR98" s="532">
        <f t="shared" ref="AR98" si="443">(AR17+AR37+AR52+SUM(AR57:AR63))+AR88+AR78</f>
        <v>276</v>
      </c>
      <c r="AS98" s="530">
        <f t="shared" ref="AS98" si="444">(AS17+AS37+AS52+SUM(AS57:AS63))+AS88+AS78</f>
        <v>2151</v>
      </c>
      <c r="AT98" s="530">
        <f t="shared" ref="AT98" si="445">(AT17+AT37+AT52+SUM(AT57:AT63))+AT88+AT78</f>
        <v>1383</v>
      </c>
      <c r="AU98" s="530">
        <f t="shared" ref="AU98:AX98" si="446">(AU17+AU37+AU52+SUM(AU57:AU63))+AU88+AU78</f>
        <v>1898</v>
      </c>
      <c r="AV98" s="532">
        <f t="shared" si="446"/>
        <v>1010</v>
      </c>
      <c r="AW98" s="530">
        <f t="shared" si="446"/>
        <v>982</v>
      </c>
      <c r="AX98" s="530">
        <f t="shared" si="446"/>
        <v>1111</v>
      </c>
      <c r="AY98" s="530">
        <f t="shared" ref="AY98:AZ98" si="447">(AY17+AY37+AY52+SUM(AY57:AY63))+AY88+AY78</f>
        <v>1173</v>
      </c>
      <c r="AZ98" s="532">
        <f t="shared" si="447"/>
        <v>-4535</v>
      </c>
      <c r="BA98" s="530">
        <f t="shared" si="442"/>
        <v>0</v>
      </c>
      <c r="BB98" s="530">
        <f t="shared" si="442"/>
        <v>0</v>
      </c>
      <c r="BC98" s="531">
        <f t="shared" si="442"/>
        <v>0</v>
      </c>
      <c r="BD98" s="532">
        <f t="shared" ref="BD98:BG98" si="448">(BD17+BD37+BD52+SUM(BD57:BD63))+BD88+BD78</f>
        <v>0</v>
      </c>
      <c r="BE98" s="530">
        <f t="shared" si="448"/>
        <v>0</v>
      </c>
      <c r="BF98" s="530">
        <f t="shared" si="448"/>
        <v>0</v>
      </c>
      <c r="BG98" s="1406">
        <f t="shared" si="448"/>
        <v>0</v>
      </c>
      <c r="BH98" s="532">
        <f t="shared" ref="BH98:BK98" si="449">(BH17+BH37+BH52+SUM(BH57:BH63))+BH88+BH78</f>
        <v>0</v>
      </c>
      <c r="BI98" s="530">
        <f t="shared" si="449"/>
        <v>0</v>
      </c>
      <c r="BJ98" s="530">
        <f t="shared" si="449"/>
        <v>0</v>
      </c>
      <c r="BK98" s="1406">
        <f t="shared" si="449"/>
        <v>0</v>
      </c>
      <c r="BL98" s="796"/>
      <c r="BM98" s="532">
        <f t="shared" ref="BM98:BU98" si="450">(BM17+BM37+BM52+SUM(BM57:BM63))+BM88</f>
        <v>138</v>
      </c>
      <c r="BN98" s="530">
        <f t="shared" si="450"/>
        <v>298</v>
      </c>
      <c r="BO98" s="530">
        <f t="shared" si="450"/>
        <v>97</v>
      </c>
      <c r="BP98" s="530">
        <f t="shared" si="450"/>
        <v>171</v>
      </c>
      <c r="BQ98" s="530">
        <f t="shared" si="450"/>
        <v>83</v>
      </c>
      <c r="BR98" s="530">
        <f t="shared" si="450"/>
        <v>82</v>
      </c>
      <c r="BS98" s="530">
        <f t="shared" si="450"/>
        <v>84</v>
      </c>
      <c r="BT98" s="531">
        <f t="shared" si="450"/>
        <v>101</v>
      </c>
      <c r="BU98" s="532">
        <f t="shared" si="450"/>
        <v>881</v>
      </c>
      <c r="BV98" s="530">
        <f t="shared" ref="BV98:CA98" si="451">(BV17+BV37+BV52+SUM(BV57:BV63))+BV88+BV78</f>
        <v>990</v>
      </c>
      <c r="BW98" s="530">
        <f t="shared" si="451"/>
        <v>5708</v>
      </c>
      <c r="BX98" s="530">
        <f t="shared" si="451"/>
        <v>4276</v>
      </c>
      <c r="BY98" s="530">
        <f t="shared" si="451"/>
        <v>-4535</v>
      </c>
      <c r="BZ98" s="530">
        <f t="shared" si="451"/>
        <v>0</v>
      </c>
      <c r="CA98" s="1406">
        <f t="shared" si="451"/>
        <v>0</v>
      </c>
      <c r="CB98" s="529"/>
      <c r="CC98" s="532">
        <f t="shared" ref="CC98:CN98" si="452">(CC17+CC37+CC52+SUM(CC57:CC63))+CC88</f>
        <v>157</v>
      </c>
      <c r="CD98" s="530">
        <f t="shared" si="452"/>
        <v>278</v>
      </c>
      <c r="CE98" s="530">
        <f t="shared" si="452"/>
        <v>105</v>
      </c>
      <c r="CF98" s="530">
        <f t="shared" si="452"/>
        <v>160</v>
      </c>
      <c r="CG98" s="530">
        <f t="shared" si="452"/>
        <v>82</v>
      </c>
      <c r="CH98" s="530">
        <f t="shared" si="452"/>
        <v>82</v>
      </c>
      <c r="CI98" s="532">
        <f t="shared" si="452"/>
        <v>84</v>
      </c>
      <c r="CJ98" s="530">
        <f t="shared" si="452"/>
        <v>140</v>
      </c>
      <c r="CK98" s="530">
        <f t="shared" si="452"/>
        <v>1031</v>
      </c>
      <c r="CL98" s="530">
        <f t="shared" si="452"/>
        <v>1006</v>
      </c>
      <c r="CM98" s="530">
        <f t="shared" si="452"/>
        <v>6284</v>
      </c>
      <c r="CN98" s="532">
        <f t="shared" si="452"/>
        <v>-1308</v>
      </c>
      <c r="CO98" s="530">
        <f t="shared" ref="CO98" si="453">(CO17+CO37+CO52+SUM(CO57:CO63))+CO88</f>
        <v>0</v>
      </c>
      <c r="CP98" s="1406">
        <f t="shared" ref="CP98" si="454">(CP17+CP37+CP52+SUM(CP57:CP63))+CP88</f>
        <v>0</v>
      </c>
      <c r="CQ98" s="525"/>
      <c r="CR98"/>
      <c r="CS98"/>
      <c r="CT98"/>
      <c r="CU98"/>
      <c r="CV98"/>
      <c r="CW98"/>
      <c r="CX98" s="525"/>
    </row>
    <row r="99" spans="1:102" ht="14.25" customHeight="1">
      <c r="A99" s="7"/>
      <c r="B99" s="43" t="s">
        <v>265</v>
      </c>
      <c r="C99" s="44"/>
      <c r="D99" s="45">
        <f t="shared" ref="D99:AL99" si="455">D83-D89</f>
        <v>-91</v>
      </c>
      <c r="E99" s="46">
        <f t="shared" si="455"/>
        <v>-17</v>
      </c>
      <c r="F99" s="46">
        <f t="shared" si="455"/>
        <v>11</v>
      </c>
      <c r="G99" s="46">
        <f t="shared" si="455"/>
        <v>-18</v>
      </c>
      <c r="H99" s="45">
        <f t="shared" si="455"/>
        <v>2</v>
      </c>
      <c r="I99" s="46">
        <f t="shared" si="455"/>
        <v>30</v>
      </c>
      <c r="J99" s="46">
        <f t="shared" si="455"/>
        <v>26</v>
      </c>
      <c r="K99" s="47">
        <f t="shared" si="455"/>
        <v>32</v>
      </c>
      <c r="L99" s="45">
        <f t="shared" si="455"/>
        <v>29</v>
      </c>
      <c r="M99" s="46">
        <f t="shared" si="455"/>
        <v>41</v>
      </c>
      <c r="N99" s="46">
        <f t="shared" si="455"/>
        <v>45</v>
      </c>
      <c r="O99" s="47">
        <f t="shared" si="455"/>
        <v>49</v>
      </c>
      <c r="P99" s="46">
        <f t="shared" si="455"/>
        <v>37</v>
      </c>
      <c r="Q99" s="46">
        <f t="shared" si="455"/>
        <v>-6</v>
      </c>
      <c r="R99" s="46">
        <f t="shared" si="455"/>
        <v>37</v>
      </c>
      <c r="S99" s="948">
        <f t="shared" si="455"/>
        <v>67</v>
      </c>
      <c r="T99" s="45">
        <f t="shared" si="455"/>
        <v>83</v>
      </c>
      <c r="U99" s="46">
        <f t="shared" si="455"/>
        <v>111</v>
      </c>
      <c r="V99" s="46">
        <f t="shared" si="455"/>
        <v>145</v>
      </c>
      <c r="W99" s="47">
        <f t="shared" si="455"/>
        <v>183</v>
      </c>
      <c r="X99" s="46">
        <f t="shared" si="455"/>
        <v>158</v>
      </c>
      <c r="Y99" s="46">
        <f t="shared" si="455"/>
        <v>156</v>
      </c>
      <c r="Z99" s="46">
        <f t="shared" si="455"/>
        <v>165</v>
      </c>
      <c r="AA99" s="46">
        <f t="shared" si="455"/>
        <v>175</v>
      </c>
      <c r="AB99" s="45">
        <f t="shared" si="455"/>
        <v>145</v>
      </c>
      <c r="AC99" s="46">
        <f t="shared" si="455"/>
        <v>155</v>
      </c>
      <c r="AD99" s="46">
        <f t="shared" si="455"/>
        <v>167</v>
      </c>
      <c r="AE99" s="47">
        <f t="shared" si="455"/>
        <v>180</v>
      </c>
      <c r="AF99" s="46">
        <f t="shared" si="455"/>
        <v>145</v>
      </c>
      <c r="AG99" s="46">
        <f t="shared" si="455"/>
        <v>136</v>
      </c>
      <c r="AH99" s="46">
        <f t="shared" si="455"/>
        <v>168</v>
      </c>
      <c r="AI99" s="46">
        <f t="shared" si="455"/>
        <v>205</v>
      </c>
      <c r="AJ99" s="45">
        <f t="shared" si="455"/>
        <v>193</v>
      </c>
      <c r="AK99" s="46">
        <f t="shared" si="455"/>
        <v>193</v>
      </c>
      <c r="AL99" s="46">
        <f t="shared" si="455"/>
        <v>297</v>
      </c>
      <c r="AM99" s="46">
        <f>AM83-AM89</f>
        <v>507</v>
      </c>
      <c r="AN99" s="45">
        <f>AN83-AN89</f>
        <v>547</v>
      </c>
      <c r="AO99" s="46">
        <f t="shared" ref="AO99:BC99" si="456">AO83-AO89</f>
        <v>563</v>
      </c>
      <c r="AP99" s="46">
        <f t="shared" si="456"/>
        <v>597</v>
      </c>
      <c r="AQ99" s="46">
        <f>AQ83-AQ89</f>
        <v>674</v>
      </c>
      <c r="AR99" s="45">
        <f>AR83-AR89</f>
        <v>653</v>
      </c>
      <c r="AS99" s="46">
        <f t="shared" ref="AS99:AT99" si="457">AS83-AS89</f>
        <v>934</v>
      </c>
      <c r="AT99" s="46">
        <f t="shared" si="457"/>
        <v>1080</v>
      </c>
      <c r="AU99" s="46">
        <f>AU83-AU89</f>
        <v>1341</v>
      </c>
      <c r="AV99" s="45">
        <f>AV83-AV89</f>
        <v>1426</v>
      </c>
      <c r="AW99" s="46">
        <f t="shared" ref="AW99:AX99" si="458">AW83-AW89</f>
        <v>1450</v>
      </c>
      <c r="AX99" s="46">
        <f t="shared" si="458"/>
        <v>1620</v>
      </c>
      <c r="AY99" s="46">
        <f>AY83-AY89</f>
        <v>1839</v>
      </c>
      <c r="AZ99" s="45">
        <f>AZ83-AZ89</f>
        <v>2046</v>
      </c>
      <c r="BA99" s="46">
        <f t="shared" si="456"/>
        <v>1896.6153533135807</v>
      </c>
      <c r="BB99" s="46">
        <f t="shared" si="456"/>
        <v>1848.1184917577787</v>
      </c>
      <c r="BC99" s="47">
        <f t="shared" si="456"/>
        <v>2021.786526640991</v>
      </c>
      <c r="BD99" s="45">
        <f t="shared" ref="BD99:BG99" si="459">BD83-BD89</f>
        <v>1913.4942838625732</v>
      </c>
      <c r="BE99" s="46">
        <f t="shared" si="459"/>
        <v>1850.6045130446073</v>
      </c>
      <c r="BF99" s="46">
        <f t="shared" si="459"/>
        <v>2015.1851842406372</v>
      </c>
      <c r="BG99" s="1412">
        <f t="shared" si="459"/>
        <v>2285.2553740406579</v>
      </c>
      <c r="BH99" s="45">
        <f t="shared" ref="BH99:BK99" si="460">BH83-BH89</f>
        <v>2167.5588625385913</v>
      </c>
      <c r="BI99" s="46">
        <f t="shared" si="460"/>
        <v>2023.3260857020966</v>
      </c>
      <c r="BJ99" s="46">
        <f t="shared" si="460"/>
        <v>2135.0214538037349</v>
      </c>
      <c r="BK99" s="1412">
        <f t="shared" si="460"/>
        <v>2304.1772716854175</v>
      </c>
      <c r="BL99" s="232"/>
      <c r="BM99" s="45">
        <f t="shared" ref="BM99:BU99" si="461">BM83-BM89</f>
        <v>-115</v>
      </c>
      <c r="BN99" s="46">
        <f t="shared" si="461"/>
        <v>90</v>
      </c>
      <c r="BO99" s="46">
        <f t="shared" si="461"/>
        <v>164</v>
      </c>
      <c r="BP99" s="46">
        <f t="shared" si="461"/>
        <v>135</v>
      </c>
      <c r="BQ99" s="46">
        <f t="shared" si="461"/>
        <v>522</v>
      </c>
      <c r="BR99" s="46">
        <f t="shared" si="461"/>
        <v>654</v>
      </c>
      <c r="BS99" s="46">
        <f t="shared" si="461"/>
        <v>647</v>
      </c>
      <c r="BT99" s="47">
        <f t="shared" si="461"/>
        <v>654</v>
      </c>
      <c r="BU99" s="45">
        <f t="shared" si="461"/>
        <v>1190</v>
      </c>
      <c r="BV99" s="46">
        <f t="shared" ref="BV99:CA99" si="462">BV83-BV89</f>
        <v>2381</v>
      </c>
      <c r="BW99" s="46">
        <f t="shared" si="462"/>
        <v>4008</v>
      </c>
      <c r="BX99" s="46">
        <f t="shared" si="462"/>
        <v>6335</v>
      </c>
      <c r="BY99" s="46">
        <f t="shared" si="462"/>
        <v>7812.5203717123504</v>
      </c>
      <c r="BZ99" s="46">
        <f t="shared" si="462"/>
        <v>8064.5393551884754</v>
      </c>
      <c r="CA99" s="1412">
        <f t="shared" si="462"/>
        <v>8630.0836737298432</v>
      </c>
      <c r="CB99" s="19"/>
      <c r="CC99" s="45">
        <f t="shared" ref="CC99:CJ99" si="463">CC83-CC89</f>
        <v>-22</v>
      </c>
      <c r="CD99" s="46">
        <f t="shared" si="463"/>
        <v>117</v>
      </c>
      <c r="CE99" s="46">
        <f t="shared" si="463"/>
        <v>172</v>
      </c>
      <c r="CF99" s="46">
        <f t="shared" si="463"/>
        <v>181</v>
      </c>
      <c r="CG99" s="46">
        <f t="shared" si="463"/>
        <v>597</v>
      </c>
      <c r="CH99" s="46">
        <f t="shared" si="463"/>
        <v>641</v>
      </c>
      <c r="CI99" s="45">
        <f t="shared" si="463"/>
        <v>647</v>
      </c>
      <c r="CJ99" s="46">
        <f t="shared" si="463"/>
        <v>702</v>
      </c>
      <c r="CK99" s="46">
        <f t="shared" ref="CK99:CP99" si="464">CK83-CK89</f>
        <v>1544</v>
      </c>
      <c r="CL99" s="46">
        <f t="shared" si="464"/>
        <v>2487</v>
      </c>
      <c r="CM99" s="46">
        <f t="shared" si="464"/>
        <v>4781</v>
      </c>
      <c r="CN99" s="45">
        <f t="shared" si="464"/>
        <v>6955</v>
      </c>
      <c r="CO99" s="46">
        <f t="shared" si="464"/>
        <v>7680.0146555749252</v>
      </c>
      <c r="CP99" s="1412">
        <f t="shared" si="464"/>
        <v>8318.6039338644914</v>
      </c>
      <c r="CQ99" s="7"/>
      <c r="CX99" s="7"/>
    </row>
    <row r="100" spans="1:102" ht="14.25" customHeight="1">
      <c r="A100" s="7"/>
      <c r="B100" s="43"/>
      <c r="C100" s="44"/>
      <c r="D100" s="45"/>
      <c r="E100" s="46"/>
      <c r="F100" s="46"/>
      <c r="G100" s="46"/>
      <c r="H100" s="45"/>
      <c r="I100" s="46"/>
      <c r="J100" s="46"/>
      <c r="K100" s="47"/>
      <c r="L100" s="45"/>
      <c r="M100" s="46"/>
      <c r="N100" s="46"/>
      <c r="O100" s="47"/>
      <c r="P100" s="46"/>
      <c r="Q100" s="46"/>
      <c r="R100" s="46"/>
      <c r="S100" s="948"/>
      <c r="T100" s="45"/>
      <c r="U100" s="46"/>
      <c r="V100" s="46"/>
      <c r="W100" s="47"/>
      <c r="X100" s="46"/>
      <c r="Y100" s="46"/>
      <c r="Z100" s="46"/>
      <c r="AA100" s="46"/>
      <c r="AB100" s="45"/>
      <c r="AC100" s="46"/>
      <c r="AD100" s="46"/>
      <c r="AE100" s="47"/>
      <c r="AF100" s="46"/>
      <c r="AG100" s="46"/>
      <c r="AH100" s="46"/>
      <c r="AI100" s="46"/>
      <c r="AJ100" s="45"/>
      <c r="AK100" s="46"/>
      <c r="AL100" s="46"/>
      <c r="AM100" s="46"/>
      <c r="AN100" s="45"/>
      <c r="AO100" s="46"/>
      <c r="AP100" s="46"/>
      <c r="AQ100" s="46"/>
      <c r="AR100" s="45"/>
      <c r="AS100" s="46"/>
      <c r="AT100" s="46"/>
      <c r="AU100" s="46"/>
      <c r="AV100" s="45"/>
      <c r="AW100" s="46"/>
      <c r="AX100" s="46"/>
      <c r="AY100" s="46"/>
      <c r="AZ100" s="45"/>
      <c r="BA100" s="46"/>
      <c r="BB100" s="46"/>
      <c r="BC100" s="47"/>
      <c r="BD100" s="45"/>
      <c r="BE100" s="46"/>
      <c r="BF100" s="46"/>
      <c r="BG100" s="1412"/>
      <c r="BH100" s="45"/>
      <c r="BI100" s="46"/>
      <c r="BJ100" s="46"/>
      <c r="BK100" s="1412"/>
      <c r="BL100" s="232"/>
      <c r="BM100" s="45"/>
      <c r="BN100" s="46"/>
      <c r="BO100" s="46"/>
      <c r="BP100" s="46"/>
      <c r="BQ100" s="46"/>
      <c r="BR100" s="46"/>
      <c r="BS100" s="46"/>
      <c r="BT100" s="47"/>
      <c r="BU100" s="45"/>
      <c r="BV100" s="46"/>
      <c r="BW100" s="46"/>
      <c r="BX100" s="46"/>
      <c r="BY100" s="46"/>
      <c r="BZ100" s="46"/>
      <c r="CA100" s="1412"/>
      <c r="CB100" s="19"/>
      <c r="CC100" s="45"/>
      <c r="CD100" s="46"/>
      <c r="CE100" s="46"/>
      <c r="CF100" s="46"/>
      <c r="CG100" s="46"/>
      <c r="CH100" s="46"/>
      <c r="CI100" s="45"/>
      <c r="CJ100" s="46"/>
      <c r="CK100" s="46"/>
      <c r="CL100" s="46"/>
      <c r="CM100" s="46"/>
      <c r="CN100" s="45"/>
      <c r="CO100" s="46"/>
      <c r="CP100" s="1412"/>
      <c r="CQ100" s="7"/>
      <c r="CX100" s="7"/>
    </row>
    <row r="101" spans="1:102" s="533" customFormat="1" ht="14.25" hidden="1" customHeight="1" outlineLevel="1">
      <c r="A101" s="525"/>
      <c r="B101" s="764" t="s">
        <v>7</v>
      </c>
      <c r="C101" s="789"/>
      <c r="D101" s="532">
        <f>D128-D129</f>
        <v>1</v>
      </c>
      <c r="E101" s="530">
        <f t="shared" ref="E101:AL101" si="465">E128-E129</f>
        <v>0</v>
      </c>
      <c r="F101" s="530">
        <f t="shared" si="465"/>
        <v>1</v>
      </c>
      <c r="G101" s="530">
        <f t="shared" si="465"/>
        <v>1</v>
      </c>
      <c r="H101" s="532">
        <f t="shared" si="465"/>
        <v>10</v>
      </c>
      <c r="I101" s="530">
        <f t="shared" si="465"/>
        <v>3</v>
      </c>
      <c r="J101" s="530">
        <f t="shared" si="465"/>
        <v>0</v>
      </c>
      <c r="K101" s="531">
        <f t="shared" si="465"/>
        <v>-1</v>
      </c>
      <c r="L101" s="532">
        <f t="shared" si="465"/>
        <v>7</v>
      </c>
      <c r="M101" s="530">
        <f t="shared" si="465"/>
        <v>2</v>
      </c>
      <c r="N101" s="530">
        <f t="shared" si="465"/>
        <v>3</v>
      </c>
      <c r="O101" s="531">
        <f t="shared" si="465"/>
        <v>3</v>
      </c>
      <c r="P101" s="530">
        <f t="shared" si="465"/>
        <v>0</v>
      </c>
      <c r="Q101" s="530">
        <f t="shared" si="465"/>
        <v>4</v>
      </c>
      <c r="R101" s="530">
        <f t="shared" si="465"/>
        <v>3</v>
      </c>
      <c r="S101" s="530">
        <f t="shared" si="465"/>
        <v>5</v>
      </c>
      <c r="T101" s="532">
        <f t="shared" si="465"/>
        <v>5</v>
      </c>
      <c r="U101" s="530">
        <f t="shared" si="465"/>
        <v>6</v>
      </c>
      <c r="V101" s="530">
        <f t="shared" si="465"/>
        <v>7</v>
      </c>
      <c r="W101" s="531">
        <f t="shared" si="465"/>
        <v>7</v>
      </c>
      <c r="X101" s="530">
        <f t="shared" si="465"/>
        <v>7</v>
      </c>
      <c r="Y101" s="530">
        <f t="shared" si="465"/>
        <v>9</v>
      </c>
      <c r="Z101" s="530">
        <f t="shared" si="465"/>
        <v>11</v>
      </c>
      <c r="AA101" s="530">
        <f t="shared" si="465"/>
        <v>11</v>
      </c>
      <c r="AB101" s="532">
        <f t="shared" si="465"/>
        <v>11</v>
      </c>
      <c r="AC101" s="530">
        <f t="shared" si="465"/>
        <v>13</v>
      </c>
      <c r="AD101" s="530">
        <f t="shared" si="465"/>
        <v>15</v>
      </c>
      <c r="AE101" s="531">
        <f t="shared" si="465"/>
        <v>14</v>
      </c>
      <c r="AF101" s="530">
        <f t="shared" si="465"/>
        <v>18</v>
      </c>
      <c r="AG101" s="530">
        <f t="shared" si="465"/>
        <v>17</v>
      </c>
      <c r="AH101" s="530">
        <f t="shared" si="465"/>
        <v>20</v>
      </c>
      <c r="AI101" s="530">
        <f t="shared" si="465"/>
        <v>22</v>
      </c>
      <c r="AJ101" s="532">
        <f t="shared" si="465"/>
        <v>24</v>
      </c>
      <c r="AK101" s="530">
        <f t="shared" si="465"/>
        <v>30</v>
      </c>
      <c r="AL101" s="530">
        <f t="shared" si="465"/>
        <v>50</v>
      </c>
      <c r="AM101" s="530">
        <f>AM128-AM129</f>
        <v>49</v>
      </c>
      <c r="AN101" s="532">
        <f>AN128-AN129</f>
        <v>49</v>
      </c>
      <c r="AO101" s="530">
        <f t="shared" ref="AO101:BC101" si="466">AO128-AO129</f>
        <v>57</v>
      </c>
      <c r="AP101" s="530">
        <f t="shared" si="466"/>
        <v>63</v>
      </c>
      <c r="AQ101" s="530">
        <f>AQ128-AQ129</f>
        <v>63</v>
      </c>
      <c r="AR101" s="532">
        <f>AR128-AR129</f>
        <v>57</v>
      </c>
      <c r="AS101" s="530">
        <f t="shared" ref="AS101:AT101" si="467">AS128-AS129</f>
        <v>186</v>
      </c>
      <c r="AT101" s="530">
        <f t="shared" si="467"/>
        <v>213</v>
      </c>
      <c r="AU101" s="530">
        <f>AU128-AU129</f>
        <v>208</v>
      </c>
      <c r="AV101" s="532">
        <f>AV128-AV129</f>
        <v>201</v>
      </c>
      <c r="AW101" s="530">
        <f t="shared" ref="AW101:AX101" si="468">AW128-AW129</f>
        <v>216</v>
      </c>
      <c r="AX101" s="530">
        <f t="shared" si="468"/>
        <v>251</v>
      </c>
      <c r="AY101" s="530">
        <f>AY128-AY129</f>
        <v>252</v>
      </c>
      <c r="AZ101" s="532">
        <f>AZ128-AZ129</f>
        <v>299</v>
      </c>
      <c r="BA101" s="530">
        <f t="shared" si="466"/>
        <v>305</v>
      </c>
      <c r="BB101" s="530">
        <f t="shared" si="466"/>
        <v>310</v>
      </c>
      <c r="BC101" s="531">
        <f t="shared" si="466"/>
        <v>315</v>
      </c>
      <c r="BD101" s="532">
        <f t="shared" ref="BD101:BG101" si="469">BD128-BD129</f>
        <v>317.75</v>
      </c>
      <c r="BE101" s="530">
        <f t="shared" si="469"/>
        <v>321.25</v>
      </c>
      <c r="BF101" s="530">
        <f t="shared" si="469"/>
        <v>324.75</v>
      </c>
      <c r="BG101" s="1406">
        <f t="shared" si="469"/>
        <v>328.25</v>
      </c>
      <c r="BH101" s="532">
        <f t="shared" ref="BH101:BK101" si="470">BH128-BH129</f>
        <v>331</v>
      </c>
      <c r="BI101" s="530">
        <f t="shared" si="470"/>
        <v>334.5</v>
      </c>
      <c r="BJ101" s="530">
        <f t="shared" si="470"/>
        <v>338</v>
      </c>
      <c r="BK101" s="1406">
        <f t="shared" si="470"/>
        <v>341.5</v>
      </c>
      <c r="BL101" s="796"/>
      <c r="BM101" s="532">
        <f t="shared" ref="BM101:BU101" si="471">BM128-BM129</f>
        <v>3</v>
      </c>
      <c r="BN101" s="530">
        <f t="shared" si="471"/>
        <v>12</v>
      </c>
      <c r="BO101" s="530">
        <f t="shared" si="471"/>
        <v>15</v>
      </c>
      <c r="BP101" s="530">
        <f t="shared" si="471"/>
        <v>12</v>
      </c>
      <c r="BQ101" s="530">
        <f t="shared" si="471"/>
        <v>25</v>
      </c>
      <c r="BR101" s="530">
        <f t="shared" si="471"/>
        <v>38</v>
      </c>
      <c r="BS101" s="530">
        <f t="shared" si="471"/>
        <v>53</v>
      </c>
      <c r="BT101" s="531">
        <f t="shared" si="471"/>
        <v>77</v>
      </c>
      <c r="BU101" s="532">
        <f t="shared" si="471"/>
        <v>153</v>
      </c>
      <c r="BV101" s="530">
        <f t="shared" ref="BV101:CA101" si="472">BV128-BV129</f>
        <v>232</v>
      </c>
      <c r="BW101" s="530">
        <f t="shared" si="472"/>
        <v>664</v>
      </c>
      <c r="BX101" s="530">
        <f t="shared" si="472"/>
        <v>920</v>
      </c>
      <c r="BY101" s="530">
        <f t="shared" si="472"/>
        <v>1229</v>
      </c>
      <c r="BZ101" s="530">
        <f t="shared" si="472"/>
        <v>1292</v>
      </c>
      <c r="CA101" s="1406">
        <f t="shared" si="472"/>
        <v>1345</v>
      </c>
      <c r="CB101" s="529"/>
      <c r="CC101" s="532">
        <f t="shared" ref="CC101:CJ101" si="473">CC128-CC129</f>
        <v>12</v>
      </c>
      <c r="CD101" s="530">
        <f t="shared" si="473"/>
        <v>9</v>
      </c>
      <c r="CE101" s="530">
        <f t="shared" si="473"/>
        <v>8</v>
      </c>
      <c r="CF101" s="530">
        <f t="shared" si="473"/>
        <v>17</v>
      </c>
      <c r="CG101" s="530">
        <f t="shared" si="473"/>
        <v>27</v>
      </c>
      <c r="CH101" s="530">
        <f t="shared" si="473"/>
        <v>42</v>
      </c>
      <c r="CI101" s="532">
        <f t="shared" si="473"/>
        <v>60</v>
      </c>
      <c r="CJ101" s="530">
        <f t="shared" si="473"/>
        <v>83</v>
      </c>
      <c r="CK101" s="530">
        <f t="shared" ref="CK101:CP101" si="474">CK128-CK129</f>
        <v>178</v>
      </c>
      <c r="CL101" s="530">
        <f t="shared" si="474"/>
        <v>240</v>
      </c>
      <c r="CM101" s="530">
        <f t="shared" si="474"/>
        <v>808</v>
      </c>
      <c r="CN101" s="532">
        <f t="shared" si="474"/>
        <v>1018</v>
      </c>
      <c r="CO101" s="530">
        <f t="shared" si="474"/>
        <v>1247.75</v>
      </c>
      <c r="CP101" s="1406">
        <f t="shared" si="474"/>
        <v>1305.25</v>
      </c>
      <c r="CQ101" s="525"/>
      <c r="CR101"/>
      <c r="CS101"/>
      <c r="CT101"/>
      <c r="CU101"/>
      <c r="CV101"/>
      <c r="CW101"/>
      <c r="CX101" s="525"/>
    </row>
    <row r="102" spans="1:102" ht="14.25" hidden="1" customHeight="1" outlineLevel="1">
      <c r="A102" s="7"/>
      <c r="B102" s="43" t="s">
        <v>264</v>
      </c>
      <c r="C102" s="44"/>
      <c r="D102" s="45">
        <f t="shared" ref="D102:AK102" si="475">D99+D101</f>
        <v>-90</v>
      </c>
      <c r="E102" s="46">
        <f t="shared" si="475"/>
        <v>-17</v>
      </c>
      <c r="F102" s="46">
        <f t="shared" si="475"/>
        <v>12</v>
      </c>
      <c r="G102" s="46">
        <f t="shared" si="475"/>
        <v>-17</v>
      </c>
      <c r="H102" s="45">
        <f t="shared" si="475"/>
        <v>12</v>
      </c>
      <c r="I102" s="46">
        <f t="shared" si="475"/>
        <v>33</v>
      </c>
      <c r="J102" s="46">
        <f t="shared" si="475"/>
        <v>26</v>
      </c>
      <c r="K102" s="47">
        <f t="shared" si="475"/>
        <v>31</v>
      </c>
      <c r="L102" s="45">
        <f t="shared" si="475"/>
        <v>36</v>
      </c>
      <c r="M102" s="46">
        <f t="shared" si="475"/>
        <v>43</v>
      </c>
      <c r="N102" s="46">
        <f t="shared" si="475"/>
        <v>48</v>
      </c>
      <c r="O102" s="47">
        <f t="shared" si="475"/>
        <v>52</v>
      </c>
      <c r="P102" s="46">
        <f t="shared" si="475"/>
        <v>37</v>
      </c>
      <c r="Q102" s="46">
        <f t="shared" si="475"/>
        <v>-2</v>
      </c>
      <c r="R102" s="46">
        <f t="shared" si="475"/>
        <v>40</v>
      </c>
      <c r="S102" s="46">
        <f t="shared" si="475"/>
        <v>72</v>
      </c>
      <c r="T102" s="45">
        <f t="shared" si="475"/>
        <v>88</v>
      </c>
      <c r="U102" s="46">
        <f t="shared" si="475"/>
        <v>117</v>
      </c>
      <c r="V102" s="46">
        <f t="shared" si="475"/>
        <v>152</v>
      </c>
      <c r="W102" s="47">
        <f t="shared" si="475"/>
        <v>190</v>
      </c>
      <c r="X102" s="46">
        <f t="shared" si="475"/>
        <v>165</v>
      </c>
      <c r="Y102" s="46">
        <f t="shared" si="475"/>
        <v>165</v>
      </c>
      <c r="Z102" s="46">
        <f t="shared" si="475"/>
        <v>176</v>
      </c>
      <c r="AA102" s="46">
        <f t="shared" si="475"/>
        <v>186</v>
      </c>
      <c r="AB102" s="45">
        <f t="shared" si="475"/>
        <v>156</v>
      </c>
      <c r="AC102" s="46">
        <f t="shared" si="475"/>
        <v>168</v>
      </c>
      <c r="AD102" s="46">
        <f t="shared" si="475"/>
        <v>182</v>
      </c>
      <c r="AE102" s="47">
        <f t="shared" si="475"/>
        <v>194</v>
      </c>
      <c r="AF102" s="46">
        <f t="shared" si="475"/>
        <v>163</v>
      </c>
      <c r="AG102" s="46">
        <f t="shared" si="475"/>
        <v>153</v>
      </c>
      <c r="AH102" s="46">
        <f t="shared" si="475"/>
        <v>188</v>
      </c>
      <c r="AI102" s="46">
        <f t="shared" si="475"/>
        <v>227</v>
      </c>
      <c r="AJ102" s="45">
        <f t="shared" si="475"/>
        <v>217</v>
      </c>
      <c r="AK102" s="46">
        <f t="shared" si="475"/>
        <v>223</v>
      </c>
      <c r="AL102" s="46">
        <f>AL99+AL101</f>
        <v>347</v>
      </c>
      <c r="AM102" s="46">
        <f>AM99+AM101</f>
        <v>556</v>
      </c>
      <c r="AN102" s="45">
        <f>AN99+AN101</f>
        <v>596</v>
      </c>
      <c r="AO102" s="46">
        <f t="shared" ref="AO102:BC102" si="476">AO99+AO101</f>
        <v>620</v>
      </c>
      <c r="AP102" s="46">
        <f t="shared" ref="AP102:AU102" si="477">AP99+AP101</f>
        <v>660</v>
      </c>
      <c r="AQ102" s="46">
        <f t="shared" si="477"/>
        <v>737</v>
      </c>
      <c r="AR102" s="45">
        <f t="shared" si="477"/>
        <v>710</v>
      </c>
      <c r="AS102" s="46">
        <f t="shared" si="477"/>
        <v>1120</v>
      </c>
      <c r="AT102" s="46">
        <f t="shared" si="477"/>
        <v>1293</v>
      </c>
      <c r="AU102" s="46">
        <f t="shared" si="477"/>
        <v>1549</v>
      </c>
      <c r="AV102" s="45">
        <f t="shared" ref="AV102:AY102" si="478">AV99+AV101</f>
        <v>1627</v>
      </c>
      <c r="AW102" s="46">
        <f t="shared" si="478"/>
        <v>1666</v>
      </c>
      <c r="AX102" s="46">
        <f t="shared" si="478"/>
        <v>1871</v>
      </c>
      <c r="AY102" s="46">
        <f t="shared" si="478"/>
        <v>2091</v>
      </c>
      <c r="AZ102" s="45">
        <f t="shared" ref="AZ102" si="479">AZ99+AZ101</f>
        <v>2345</v>
      </c>
      <c r="BA102" s="46">
        <f t="shared" si="476"/>
        <v>2201.6153533135807</v>
      </c>
      <c r="BB102" s="46">
        <f t="shared" si="476"/>
        <v>2158.1184917577784</v>
      </c>
      <c r="BC102" s="47">
        <f t="shared" si="476"/>
        <v>2336.7865266409908</v>
      </c>
      <c r="BD102" s="45">
        <f t="shared" ref="BD102:BG102" si="480">BD99+BD101</f>
        <v>2231.244283862573</v>
      </c>
      <c r="BE102" s="46">
        <f t="shared" si="480"/>
        <v>2171.8545130446073</v>
      </c>
      <c r="BF102" s="46">
        <f t="shared" si="480"/>
        <v>2339.9351842406372</v>
      </c>
      <c r="BG102" s="1412">
        <f t="shared" si="480"/>
        <v>2613.5053740406579</v>
      </c>
      <c r="BH102" s="45">
        <f t="shared" ref="BH102:BK102" si="481">BH99+BH101</f>
        <v>2498.5588625385913</v>
      </c>
      <c r="BI102" s="46">
        <f t="shared" si="481"/>
        <v>2357.8260857020969</v>
      </c>
      <c r="BJ102" s="46">
        <f t="shared" si="481"/>
        <v>2473.0214538037349</v>
      </c>
      <c r="BK102" s="1412">
        <f t="shared" si="481"/>
        <v>2645.6772716854175</v>
      </c>
      <c r="BL102" s="232"/>
      <c r="BM102" s="45">
        <f t="shared" ref="BM102:BV102" si="482">BM99+BM101</f>
        <v>-112</v>
      </c>
      <c r="BN102" s="46">
        <f t="shared" si="482"/>
        <v>102</v>
      </c>
      <c r="BO102" s="46">
        <f t="shared" si="482"/>
        <v>179</v>
      </c>
      <c r="BP102" s="46">
        <f t="shared" si="482"/>
        <v>147</v>
      </c>
      <c r="BQ102" s="46">
        <f t="shared" si="482"/>
        <v>547</v>
      </c>
      <c r="BR102" s="46">
        <f t="shared" si="482"/>
        <v>692</v>
      </c>
      <c r="BS102" s="46">
        <f t="shared" si="482"/>
        <v>700</v>
      </c>
      <c r="BT102" s="47">
        <f t="shared" si="482"/>
        <v>731</v>
      </c>
      <c r="BU102" s="45">
        <f>BU99+BU101</f>
        <v>1343</v>
      </c>
      <c r="BV102" s="46">
        <f t="shared" si="482"/>
        <v>2613</v>
      </c>
      <c r="BW102" s="46">
        <f>BW99+BW101</f>
        <v>4672</v>
      </c>
      <c r="BX102" s="46">
        <f>BX99+BX101</f>
        <v>7255</v>
      </c>
      <c r="BY102" s="46">
        <f>BY99+BY101</f>
        <v>9041.5203717123513</v>
      </c>
      <c r="BZ102" s="46">
        <f>BZ99+BZ101</f>
        <v>9356.5393551884754</v>
      </c>
      <c r="CA102" s="1412">
        <f>CA99+CA101</f>
        <v>9975.0836737298432</v>
      </c>
      <c r="CB102" s="19"/>
      <c r="CC102" s="45">
        <f t="shared" ref="CC102:CJ102" si="483">CC99+CC101</f>
        <v>-10</v>
      </c>
      <c r="CD102" s="46">
        <f t="shared" si="483"/>
        <v>126</v>
      </c>
      <c r="CE102" s="46">
        <f t="shared" si="483"/>
        <v>180</v>
      </c>
      <c r="CF102" s="46">
        <f t="shared" si="483"/>
        <v>198</v>
      </c>
      <c r="CG102" s="46">
        <f t="shared" si="483"/>
        <v>624</v>
      </c>
      <c r="CH102" s="46">
        <f t="shared" si="483"/>
        <v>683</v>
      </c>
      <c r="CI102" s="45">
        <f t="shared" si="483"/>
        <v>707</v>
      </c>
      <c r="CJ102" s="46">
        <f t="shared" si="483"/>
        <v>785</v>
      </c>
      <c r="CK102" s="46">
        <f t="shared" ref="CK102:CP102" si="484">CK99+CK101</f>
        <v>1722</v>
      </c>
      <c r="CL102" s="46">
        <f t="shared" si="484"/>
        <v>2727</v>
      </c>
      <c r="CM102" s="46">
        <f t="shared" si="484"/>
        <v>5589</v>
      </c>
      <c r="CN102" s="45">
        <f t="shared" si="484"/>
        <v>7973</v>
      </c>
      <c r="CO102" s="46">
        <f t="shared" si="484"/>
        <v>8927.7646555749252</v>
      </c>
      <c r="CP102" s="1412">
        <f t="shared" si="484"/>
        <v>9623.8539338644914</v>
      </c>
      <c r="CQ102" s="7"/>
      <c r="CX102" s="7"/>
    </row>
    <row r="103" spans="1:102" ht="14.25" hidden="1" customHeight="1" outlineLevel="1">
      <c r="A103" s="7"/>
      <c r="B103" s="21"/>
      <c r="C103" s="22"/>
      <c r="D103" s="56"/>
      <c r="E103" s="57"/>
      <c r="F103" s="40"/>
      <c r="G103" s="40"/>
      <c r="H103" s="56"/>
      <c r="I103" s="57"/>
      <c r="J103" s="40"/>
      <c r="K103" s="41"/>
      <c r="L103" s="56"/>
      <c r="M103" s="57"/>
      <c r="N103" s="40"/>
      <c r="O103" s="41"/>
      <c r="P103" s="57"/>
      <c r="Q103" s="57"/>
      <c r="R103" s="40"/>
      <c r="S103" s="40"/>
      <c r="T103" s="949"/>
      <c r="U103" s="40"/>
      <c r="V103" s="59"/>
      <c r="W103" s="41"/>
      <c r="X103" s="58"/>
      <c r="Y103" s="40"/>
      <c r="Z103" s="40"/>
      <c r="AA103" s="40"/>
      <c r="AB103" s="949"/>
      <c r="AC103" s="40"/>
      <c r="AD103" s="40"/>
      <c r="AE103" s="41"/>
      <c r="AF103" s="58"/>
      <c r="AG103" s="40"/>
      <c r="AH103" s="40"/>
      <c r="AI103" s="40"/>
      <c r="AJ103" s="764"/>
      <c r="AK103" s="40"/>
      <c r="AL103" s="40"/>
      <c r="AM103" s="40"/>
      <c r="AN103" s="764"/>
      <c r="AO103" s="40"/>
      <c r="AP103" s="40"/>
      <c r="AQ103" s="40"/>
      <c r="AR103" s="764"/>
      <c r="AS103" s="40"/>
      <c r="AT103" s="40"/>
      <c r="AU103" s="40"/>
      <c r="AV103" s="764"/>
      <c r="AW103" s="40"/>
      <c r="AX103" s="40"/>
      <c r="AY103" s="40"/>
      <c r="AZ103" s="769"/>
      <c r="BA103" s="40"/>
      <c r="BB103" s="40"/>
      <c r="BC103" s="41"/>
      <c r="BD103" s="50"/>
      <c r="BE103" s="40"/>
      <c r="BF103" s="40"/>
      <c r="BG103" s="1430"/>
      <c r="BH103" s="50"/>
      <c r="BI103" s="40"/>
      <c r="BJ103" s="40"/>
      <c r="BK103" s="1430"/>
      <c r="BL103" s="232"/>
      <c r="BM103" s="50"/>
      <c r="BN103" s="40"/>
      <c r="BO103" s="40"/>
      <c r="BP103" s="40"/>
      <c r="BQ103" s="40"/>
      <c r="BR103" s="40"/>
      <c r="BS103" s="40"/>
      <c r="BT103" s="41"/>
      <c r="BU103" s="50"/>
      <c r="BV103" s="40"/>
      <c r="BW103" s="40"/>
      <c r="BX103" s="40"/>
      <c r="BY103" s="40"/>
      <c r="BZ103" s="40"/>
      <c r="CA103" s="1430"/>
      <c r="CB103" s="19"/>
      <c r="CC103" s="50"/>
      <c r="CD103" s="40"/>
      <c r="CE103" s="40"/>
      <c r="CF103" s="40"/>
      <c r="CG103" s="40"/>
      <c r="CH103" s="40"/>
      <c r="CI103" s="50"/>
      <c r="CJ103" s="40"/>
      <c r="CK103" s="40"/>
      <c r="CL103" s="40"/>
      <c r="CM103" s="40"/>
      <c r="CN103" s="50"/>
      <c r="CO103" s="40"/>
      <c r="CP103" s="1430"/>
      <c r="CQ103" s="7"/>
      <c r="CX103" s="7"/>
    </row>
    <row r="104" spans="1:102" s="309" customFormat="1" ht="14.25" customHeight="1" collapsed="1">
      <c r="A104" s="307"/>
      <c r="B104" s="537" t="s">
        <v>9</v>
      </c>
      <c r="C104" s="308"/>
      <c r="D104" s="317">
        <f t="shared" ref="D104:BC104" si="485">D92/D114</f>
        <v>-0.47887323943661969</v>
      </c>
      <c r="E104" s="315">
        <f t="shared" si="485"/>
        <v>-0.22535211267605634</v>
      </c>
      <c r="F104" s="315">
        <f t="shared" si="485"/>
        <v>-0.107981220657277</v>
      </c>
      <c r="G104" s="315">
        <f t="shared" si="485"/>
        <v>-0.36619718309859156</v>
      </c>
      <c r="H104" s="317">
        <f t="shared" si="485"/>
        <v>2.8037383177570093E-2</v>
      </c>
      <c r="I104" s="315">
        <f t="shared" si="485"/>
        <v>1.8691588785046728E-2</v>
      </c>
      <c r="J104" s="315">
        <f t="shared" si="485"/>
        <v>-0.78037383177570097</v>
      </c>
      <c r="K104" s="316">
        <f t="shared" si="485"/>
        <v>-9.3457943925233638E-3</v>
      </c>
      <c r="L104" s="317">
        <f t="shared" si="485"/>
        <v>1.8264840182648401E-2</v>
      </c>
      <c r="M104" s="315">
        <f t="shared" si="485"/>
        <v>7.7625570776255703E-2</v>
      </c>
      <c r="N104" s="315">
        <f t="shared" si="485"/>
        <v>0.20091324200913241</v>
      </c>
      <c r="O104" s="316">
        <f t="shared" si="485"/>
        <v>8.2191780821917804E-2</v>
      </c>
      <c r="P104" s="315">
        <f t="shared" si="485"/>
        <v>2.7397260273972601E-2</v>
      </c>
      <c r="Q104" s="315">
        <f t="shared" si="485"/>
        <v>-0.14485981308411214</v>
      </c>
      <c r="R104" s="315">
        <f t="shared" si="485"/>
        <v>9.1743119266055051E-3</v>
      </c>
      <c r="S104" s="315">
        <f t="shared" si="485"/>
        <v>-8.9361702127659579E-2</v>
      </c>
      <c r="T104" s="317">
        <f t="shared" si="485"/>
        <v>0.15573770491803279</v>
      </c>
      <c r="U104" s="315">
        <f t="shared" si="485"/>
        <v>0.36585365853658536</v>
      </c>
      <c r="V104" s="315">
        <f t="shared" si="485"/>
        <v>0.49797570850202427</v>
      </c>
      <c r="W104" s="316">
        <f t="shared" si="485"/>
        <v>0.66129032258064513</v>
      </c>
      <c r="X104" s="315">
        <f t="shared" si="485"/>
        <v>0.47599999999999998</v>
      </c>
      <c r="Y104" s="315">
        <f t="shared" si="485"/>
        <v>0.5357142857142857</v>
      </c>
      <c r="Z104" s="315">
        <f t="shared" si="485"/>
        <v>0.56916996047430835</v>
      </c>
      <c r="AA104" s="315">
        <f t="shared" si="485"/>
        <v>0.61111111111111116</v>
      </c>
      <c r="AB104" s="317">
        <f t="shared" si="485"/>
        <v>0.5</v>
      </c>
      <c r="AC104" s="315">
        <f t="shared" si="485"/>
        <v>0.53600000000000003</v>
      </c>
      <c r="AD104" s="315">
        <f t="shared" si="485"/>
        <v>0.57999999999999996</v>
      </c>
      <c r="AE104" s="316">
        <f t="shared" si="485"/>
        <v>0.63600000000000001</v>
      </c>
      <c r="AF104" s="315">
        <f t="shared" si="485"/>
        <v>0.49800796812749004</v>
      </c>
      <c r="AG104" s="315">
        <f t="shared" si="485"/>
        <v>0.44841269841269843</v>
      </c>
      <c r="AH104" s="315">
        <f t="shared" si="485"/>
        <v>0.56349206349206349</v>
      </c>
      <c r="AI104" s="315">
        <f t="shared" si="485"/>
        <v>0.67984189723320154</v>
      </c>
      <c r="AJ104" s="317">
        <f t="shared" si="485"/>
        <v>0.52549019607843139</v>
      </c>
      <c r="AK104" s="315">
        <f t="shared" si="485"/>
        <v>0.61240310077519378</v>
      </c>
      <c r="AL104" s="315">
        <f t="shared" si="485"/>
        <v>-0.65079365079365081</v>
      </c>
      <c r="AM104" s="315">
        <f>AM92/AM114</f>
        <v>0.49632352941176472</v>
      </c>
      <c r="AN104" s="317">
        <f>AN92/AN114</f>
        <v>1.2625899280575539</v>
      </c>
      <c r="AO104" s="315">
        <f t="shared" si="485"/>
        <v>1.2112676056338028</v>
      </c>
      <c r="AP104" s="315">
        <f t="shared" si="485"/>
        <v>0.83623693379790942</v>
      </c>
      <c r="AQ104" s="315">
        <f>AQ92/AQ114</f>
        <v>1.494773519163763</v>
      </c>
      <c r="AR104" s="317">
        <f>AR92/AR114</f>
        <v>1.3044982698961938</v>
      </c>
      <c r="AS104" s="315">
        <f t="shared" ref="AS104:AT104" si="486">AS92/AS114</f>
        <v>-3.0240963855421685</v>
      </c>
      <c r="AT104" s="315">
        <f t="shared" si="486"/>
        <v>-0.75178997613365151</v>
      </c>
      <c r="AU104" s="315">
        <f>AU92/AU114</f>
        <v>-1.5866983372921615</v>
      </c>
      <c r="AV104" s="317">
        <f>AV92/AV114</f>
        <v>0.57403189066059224</v>
      </c>
      <c r="AW104" s="315">
        <f t="shared" ref="AW104" si="487">AW92/AW114</f>
        <v>1.0497737556561086</v>
      </c>
      <c r="AX104" s="315">
        <f>AX92/AX114</f>
        <v>1.1393258426966293</v>
      </c>
      <c r="AY104" s="315">
        <f>AY92/AY114</f>
        <v>1.5825471698113207</v>
      </c>
      <c r="AZ104" s="317">
        <f>AZ92/AZ114</f>
        <v>15.413145539906104</v>
      </c>
      <c r="BA104" s="315">
        <f t="shared" si="485"/>
        <v>4.4210148095887662</v>
      </c>
      <c r="BB104" s="315">
        <f t="shared" si="485"/>
        <v>4.3029534150355735</v>
      </c>
      <c r="BC104" s="316">
        <f t="shared" si="485"/>
        <v>4.701829131723235</v>
      </c>
      <c r="BD104" s="317">
        <f t="shared" ref="BD104:BG104" si="488">BD92/BD114</f>
        <v>4.4448183132696242</v>
      </c>
      <c r="BE104" s="315">
        <f t="shared" si="488"/>
        <v>4.2937459699410843</v>
      </c>
      <c r="BF104" s="315">
        <f t="shared" si="488"/>
        <v>4.6701858267453931</v>
      </c>
      <c r="BG104" s="1431">
        <f t="shared" si="488"/>
        <v>5.2899429954644859</v>
      </c>
      <c r="BH104" s="317">
        <f t="shared" ref="BH104:BK104" si="489">BH92/BH114</f>
        <v>5.0116967919967426</v>
      </c>
      <c r="BI104" s="315">
        <f t="shared" si="489"/>
        <v>4.6728085120140799</v>
      </c>
      <c r="BJ104" s="315">
        <f t="shared" si="489"/>
        <v>4.92507832480677</v>
      </c>
      <c r="BK104" s="1431">
        <f t="shared" si="489"/>
        <v>5.3091642204733125</v>
      </c>
      <c r="BL104" s="795"/>
      <c r="BM104" s="317">
        <f t="shared" ref="BM104:BY104" si="490">BM92/BM114</f>
        <v>-1.1784037558685445</v>
      </c>
      <c r="BN104" s="315">
        <f t="shared" si="490"/>
        <v>-0.7429906542056075</v>
      </c>
      <c r="BO104" s="315">
        <f t="shared" si="490"/>
        <v>0.37899543378995432</v>
      </c>
      <c r="BP104" s="315">
        <f t="shared" si="490"/>
        <v>-0.19864559819413091</v>
      </c>
      <c r="BQ104" s="315">
        <f t="shared" si="490"/>
        <v>1.6852791878172588</v>
      </c>
      <c r="BR104" s="315">
        <f t="shared" si="490"/>
        <v>2.1926514399205561</v>
      </c>
      <c r="BS104" s="315">
        <f t="shared" si="490"/>
        <v>2.2519999999999998</v>
      </c>
      <c r="BT104" s="316">
        <f t="shared" si="490"/>
        <v>2.1904761904761907</v>
      </c>
      <c r="BU104" s="317">
        <f t="shared" si="490"/>
        <v>1.0144648023143683</v>
      </c>
      <c r="BV104" s="315">
        <f t="shared" si="490"/>
        <v>4.802816901408451</v>
      </c>
      <c r="BW104" s="315">
        <f t="shared" ref="BW104" si="491">BW92/BW114</f>
        <v>-4.8212435233160624</v>
      </c>
      <c r="BX104" s="315">
        <f>BX92/BX114</f>
        <v>4.3291428571428572</v>
      </c>
      <c r="BY104" s="315">
        <f t="shared" si="490"/>
        <v>28.772284331787347</v>
      </c>
      <c r="BZ104" s="315">
        <f t="shared" ref="BZ104:CA104" si="492">BZ92/BZ114</f>
        <v>18.700381113480521</v>
      </c>
      <c r="CA104" s="1431">
        <f t="shared" si="492"/>
        <v>19.919408364061958</v>
      </c>
      <c r="CB104" s="1472"/>
      <c r="CC104" s="317">
        <f t="shared" ref="CC104:CN104" si="493">CC92/CC114</f>
        <v>-0.67057444314185233</v>
      </c>
      <c r="CD104" s="315">
        <f t="shared" si="493"/>
        <v>-0.74796747967479671</v>
      </c>
      <c r="CE104" s="315">
        <f t="shared" si="493"/>
        <v>0.38812785388127852</v>
      </c>
      <c r="CF104" s="315">
        <f t="shared" si="493"/>
        <v>-5.2689352360043906E-2</v>
      </c>
      <c r="CG104" s="315">
        <f t="shared" si="493"/>
        <v>2.0020181634712411</v>
      </c>
      <c r="CH104" s="315">
        <f t="shared" si="493"/>
        <v>2.2164846077457794</v>
      </c>
      <c r="CI104" s="317">
        <f t="shared" si="493"/>
        <v>2.24975024975025</v>
      </c>
      <c r="CJ104" s="315">
        <f t="shared" si="493"/>
        <v>2.2173913043478262</v>
      </c>
      <c r="CK104" s="315">
        <f t="shared" si="493"/>
        <v>1.8113207547169812</v>
      </c>
      <c r="CL104" s="315">
        <f t="shared" si="493"/>
        <v>4.847428073234525</v>
      </c>
      <c r="CM104" s="315">
        <f t="shared" si="493"/>
        <v>-4.6894923258559622</v>
      </c>
      <c r="CN104" s="317">
        <f t="shared" si="493"/>
        <v>18.901554404145077</v>
      </c>
      <c r="CO104" s="315">
        <f t="shared" ref="CO104" si="494">CO92/CO114</f>
        <v>17.870889250901513</v>
      </c>
      <c r="CP104" s="1431">
        <f t="shared" ref="CP104" si="495">CP92/CP114</f>
        <v>19.267177611730148</v>
      </c>
      <c r="CQ104" s="307"/>
      <c r="CR104"/>
      <c r="CS104"/>
      <c r="CT104"/>
      <c r="CU104"/>
      <c r="CV104"/>
      <c r="CW104"/>
      <c r="CX104" s="307"/>
    </row>
    <row r="105" spans="1:102" s="647" customFormat="1" ht="14.25" hidden="1" customHeight="1" outlineLevel="1">
      <c r="A105" s="643"/>
      <c r="B105" s="764" t="s">
        <v>240</v>
      </c>
      <c r="C105" s="787"/>
      <c r="D105" s="644"/>
      <c r="E105" s="645"/>
      <c r="F105" s="645"/>
      <c r="G105" s="645"/>
      <c r="H105" s="644"/>
      <c r="I105" s="645"/>
      <c r="J105" s="645"/>
      <c r="K105" s="646"/>
      <c r="L105" s="644"/>
      <c r="M105" s="645"/>
      <c r="N105" s="645"/>
      <c r="O105" s="646"/>
      <c r="P105" s="645"/>
      <c r="Q105" s="645"/>
      <c r="R105" s="645"/>
      <c r="S105" s="645"/>
      <c r="T105" s="644"/>
      <c r="U105" s="645"/>
      <c r="V105" s="645"/>
      <c r="W105" s="646"/>
      <c r="X105" s="645"/>
      <c r="Y105" s="645"/>
      <c r="Z105" s="645"/>
      <c r="AA105" s="645"/>
      <c r="AB105" s="644">
        <v>0.56000000000000005</v>
      </c>
      <c r="AC105" s="645">
        <v>0.59</v>
      </c>
      <c r="AD105" s="645">
        <v>0.63</v>
      </c>
      <c r="AE105" s="646">
        <v>0.67</v>
      </c>
      <c r="AF105" s="645">
        <v>0.55000000000000004</v>
      </c>
      <c r="AG105" s="645">
        <v>0.52</v>
      </c>
      <c r="AH105" s="645">
        <v>0.61</v>
      </c>
      <c r="AI105" s="645">
        <v>0.82</v>
      </c>
      <c r="AJ105" s="644">
        <v>0.78</v>
      </c>
      <c r="AK105" s="645">
        <v>19.89</v>
      </c>
      <c r="AL105" s="645">
        <v>19.89</v>
      </c>
      <c r="AM105" s="645">
        <v>19.89</v>
      </c>
      <c r="AN105" s="644">
        <v>19.89</v>
      </c>
      <c r="AO105" s="645">
        <v>19.89</v>
      </c>
      <c r="AP105" s="645">
        <v>19.89</v>
      </c>
      <c r="AQ105" s="645">
        <v>19.89</v>
      </c>
      <c r="AR105" s="644">
        <v>19.89</v>
      </c>
      <c r="AS105" s="645">
        <v>19.89</v>
      </c>
      <c r="AT105" s="645">
        <v>19.89</v>
      </c>
      <c r="AU105" s="645">
        <v>19.89</v>
      </c>
      <c r="AV105" s="644">
        <v>19.89</v>
      </c>
      <c r="AW105" s="645">
        <v>19.89</v>
      </c>
      <c r="AX105" s="645">
        <v>19.89</v>
      </c>
      <c r="AY105" s="645">
        <v>19.89</v>
      </c>
      <c r="AZ105" s="644">
        <v>19.89</v>
      </c>
      <c r="BA105" s="645">
        <v>19.89</v>
      </c>
      <c r="BB105" s="645">
        <v>19.89</v>
      </c>
      <c r="BC105" s="646">
        <v>19.89</v>
      </c>
      <c r="BD105" s="644">
        <v>19.89</v>
      </c>
      <c r="BE105" s="645">
        <v>19.89</v>
      </c>
      <c r="BF105" s="645">
        <v>19.89</v>
      </c>
      <c r="BG105" s="1432">
        <v>19.89</v>
      </c>
      <c r="BH105" s="644">
        <v>19.89</v>
      </c>
      <c r="BI105" s="645">
        <v>19.89</v>
      </c>
      <c r="BJ105" s="645">
        <v>19.89</v>
      </c>
      <c r="BK105" s="1432">
        <v>19.89</v>
      </c>
      <c r="BL105" s="794"/>
      <c r="BM105" s="644"/>
      <c r="BN105" s="645"/>
      <c r="BO105" s="645"/>
      <c r="BP105" s="645"/>
      <c r="BQ105" s="645"/>
      <c r="BR105" s="645"/>
      <c r="BS105" s="645" t="s">
        <v>430</v>
      </c>
      <c r="BT105" s="646" t="s">
        <v>430</v>
      </c>
      <c r="BU105" s="644">
        <v>19.89</v>
      </c>
      <c r="BV105" s="645">
        <v>19.89</v>
      </c>
      <c r="BW105" s="645">
        <v>19.89</v>
      </c>
      <c r="BX105" s="645"/>
      <c r="BY105" s="645"/>
      <c r="BZ105" s="645"/>
      <c r="CA105" s="1432"/>
      <c r="CB105" s="1473"/>
      <c r="CC105" s="644"/>
      <c r="CD105" s="645"/>
      <c r="CE105" s="645"/>
      <c r="CF105" s="645"/>
      <c r="CG105" s="645"/>
      <c r="CH105" s="645"/>
      <c r="CI105" s="644"/>
      <c r="CJ105" s="645"/>
      <c r="CK105" s="645"/>
      <c r="CL105" s="645"/>
      <c r="CM105" s="645"/>
      <c r="CN105" s="644"/>
      <c r="CO105" s="645"/>
      <c r="CP105" s="1432"/>
      <c r="CQ105" s="643"/>
      <c r="CR105"/>
      <c r="CS105"/>
      <c r="CT105"/>
      <c r="CU105"/>
      <c r="CV105"/>
      <c r="CW105"/>
      <c r="CX105" s="643"/>
    </row>
    <row r="106" spans="1:102" s="695" customFormat="1" ht="14.25" customHeight="1" collapsed="1">
      <c r="A106" s="691"/>
      <c r="B106" s="764" t="s">
        <v>10</v>
      </c>
      <c r="C106" s="786"/>
      <c r="D106" s="692">
        <f>D167</f>
        <v>-0.42253521126760563</v>
      </c>
      <c r="E106" s="693">
        <f t="shared" ref="E106:BC106" si="496">E167</f>
        <v>-7.9812206572769953E-2</v>
      </c>
      <c r="F106" s="693">
        <f t="shared" si="496"/>
        <v>5.6338028169014086E-2</v>
      </c>
      <c r="G106" s="693">
        <f t="shared" si="496"/>
        <v>-7.9812206572769953E-2</v>
      </c>
      <c r="H106" s="692">
        <f>H167</f>
        <v>5.6074766355140186E-2</v>
      </c>
      <c r="I106" s="693">
        <f t="shared" si="496"/>
        <v>0.1542056074766355</v>
      </c>
      <c r="J106" s="693">
        <f t="shared" si="496"/>
        <v>0.12149532710280374</v>
      </c>
      <c r="K106" s="694">
        <f t="shared" si="496"/>
        <v>0.14485981308411214</v>
      </c>
      <c r="L106" s="692">
        <f>L167</f>
        <v>0.16438356164383561</v>
      </c>
      <c r="M106" s="693">
        <f t="shared" si="496"/>
        <v>0.19634703196347031</v>
      </c>
      <c r="N106" s="693">
        <f t="shared" si="496"/>
        <v>0.21917808219178081</v>
      </c>
      <c r="O106" s="694">
        <f t="shared" si="496"/>
        <v>0.23744292237442921</v>
      </c>
      <c r="P106" s="693">
        <f>P167</f>
        <v>0.16894977168949771</v>
      </c>
      <c r="Q106" s="693">
        <f t="shared" si="496"/>
        <v>-9.3457943925233638E-3</v>
      </c>
      <c r="R106" s="693">
        <f t="shared" si="496"/>
        <v>0.1834862385321101</v>
      </c>
      <c r="S106" s="693">
        <f t="shared" si="496"/>
        <v>0.30638297872340425</v>
      </c>
      <c r="T106" s="692">
        <f>T167</f>
        <v>0.36065573770491804</v>
      </c>
      <c r="U106" s="693">
        <f t="shared" si="496"/>
        <v>0.47560975609756095</v>
      </c>
      <c r="V106" s="693">
        <f t="shared" si="496"/>
        <v>0.61538461538461542</v>
      </c>
      <c r="W106" s="694">
        <f t="shared" si="496"/>
        <v>0.7661290322580645</v>
      </c>
      <c r="X106" s="693">
        <f>X167</f>
        <v>0.66</v>
      </c>
      <c r="Y106" s="693">
        <f t="shared" si="496"/>
        <v>0.65476190476190477</v>
      </c>
      <c r="Z106" s="693">
        <f t="shared" si="496"/>
        <v>0.69565217391304346</v>
      </c>
      <c r="AA106" s="693">
        <f t="shared" si="496"/>
        <v>0.73809523809523814</v>
      </c>
      <c r="AB106" s="692">
        <f>AB167</f>
        <v>0.624</v>
      </c>
      <c r="AC106" s="693">
        <f t="shared" si="496"/>
        <v>0.67200000000000004</v>
      </c>
      <c r="AD106" s="693">
        <f t="shared" si="496"/>
        <v>0.72799999999999998</v>
      </c>
      <c r="AE106" s="694">
        <f t="shared" si="496"/>
        <v>0.77600000000000002</v>
      </c>
      <c r="AF106" s="693">
        <f>AF167</f>
        <v>0.64940239043824699</v>
      </c>
      <c r="AG106" s="693">
        <f t="shared" si="496"/>
        <v>0.6071428571428571</v>
      </c>
      <c r="AH106" s="693">
        <f t="shared" si="496"/>
        <v>0.74603174603174605</v>
      </c>
      <c r="AI106" s="693">
        <f t="shared" si="496"/>
        <v>0.8901960784313725</v>
      </c>
      <c r="AJ106" s="692">
        <f>AJ167</f>
        <v>0.84108527131782951</v>
      </c>
      <c r="AK106" s="693">
        <f>AK167</f>
        <v>0.84790874524714832</v>
      </c>
      <c r="AL106" s="693">
        <f>AL167</f>
        <v>1.2572463768115942</v>
      </c>
      <c r="AM106" s="693">
        <f>AM167</f>
        <v>1.9857142857142858</v>
      </c>
      <c r="AN106" s="692">
        <f>AN167</f>
        <v>2.0912280701754384</v>
      </c>
      <c r="AO106" s="693">
        <f t="shared" si="496"/>
        <v>2.1305841924398625</v>
      </c>
      <c r="AP106" s="693">
        <f>AP167</f>
        <v>2.2448979591836733</v>
      </c>
      <c r="AQ106" s="693">
        <f>AQ167</f>
        <v>2.5068027210884352</v>
      </c>
      <c r="AR106" s="692">
        <f>AR167</f>
        <v>2.406779661016949</v>
      </c>
      <c r="AS106" s="693">
        <f t="shared" ref="AS106" si="497">AS167</f>
        <v>2.5339366515837103</v>
      </c>
      <c r="AT106" s="693">
        <f>AT167</f>
        <v>2.8926174496644297</v>
      </c>
      <c r="AU106" s="693">
        <f>AU167</f>
        <v>3.465324384787472</v>
      </c>
      <c r="AV106" s="692">
        <f>AV167</f>
        <v>3.6316964285714284</v>
      </c>
      <c r="AW106" s="693">
        <f t="shared" ref="AW106" si="498">AW167</f>
        <v>3.6940133037694012</v>
      </c>
      <c r="AX106" s="693">
        <f>AX167</f>
        <v>4.1030701754385968</v>
      </c>
      <c r="AY106" s="693">
        <f>AY167</f>
        <v>4.5855263157894735</v>
      </c>
      <c r="AZ106" s="692">
        <f>AZ167</f>
        <v>5.1200873362445414</v>
      </c>
      <c r="BA106" s="693">
        <f t="shared" si="496"/>
        <v>4.7757382935218669</v>
      </c>
      <c r="BB106" s="693">
        <f t="shared" si="496"/>
        <v>4.6763130915661506</v>
      </c>
      <c r="BC106" s="694">
        <f t="shared" si="496"/>
        <v>5.0579794948939192</v>
      </c>
      <c r="BD106" s="692">
        <f t="shared" ref="BD106:BG106" si="499">BD167</f>
        <v>4.8243119651082669</v>
      </c>
      <c r="BE106" s="693">
        <f t="shared" si="499"/>
        <v>4.6908304817378124</v>
      </c>
      <c r="BF106" s="693">
        <f t="shared" si="499"/>
        <v>5.0484038494943633</v>
      </c>
      <c r="BG106" s="1433">
        <f t="shared" si="499"/>
        <v>5.632554685432452</v>
      </c>
      <c r="BH106" s="692">
        <f t="shared" ref="BH106:BK106" si="500">BH167</f>
        <v>5.3790287675750079</v>
      </c>
      <c r="BI106" s="693">
        <f t="shared" si="500"/>
        <v>5.0705937326926804</v>
      </c>
      <c r="BJ106" s="693">
        <f t="shared" si="500"/>
        <v>5.312613219771718</v>
      </c>
      <c r="BK106" s="1433">
        <f t="shared" si="500"/>
        <v>5.6774190379515401</v>
      </c>
      <c r="BL106" s="793"/>
      <c r="BM106" s="692">
        <f t="shared" ref="BM106:BY106" si="501">(BM102)/BM115</f>
        <v>-0.5258215962441315</v>
      </c>
      <c r="BN106" s="693">
        <f t="shared" si="501"/>
        <v>0.47663551401869159</v>
      </c>
      <c r="BO106" s="693">
        <f t="shared" si="501"/>
        <v>0.81735159817351599</v>
      </c>
      <c r="BP106" s="693">
        <f t="shared" si="501"/>
        <v>0.66365688487584651</v>
      </c>
      <c r="BQ106" s="693">
        <f t="shared" si="501"/>
        <v>2.2213197969543148</v>
      </c>
      <c r="BR106" s="693">
        <f t="shared" si="501"/>
        <v>2.7487586891757698</v>
      </c>
      <c r="BS106" s="693">
        <f t="shared" si="501"/>
        <v>2.8</v>
      </c>
      <c r="BT106" s="694">
        <f t="shared" si="501"/>
        <v>2.895049504950495</v>
      </c>
      <c r="BU106" s="692">
        <f t="shared" si="501"/>
        <v>4.9879294336118845</v>
      </c>
      <c r="BV106" s="693">
        <f>(BV102)/BV115</f>
        <v>8.9793814432989691</v>
      </c>
      <c r="BW106" s="693">
        <f t="shared" ref="BW106" si="502">(BW102)/BW115</f>
        <v>11.458001226241569</v>
      </c>
      <c r="BX106" s="693">
        <f t="shared" si="501"/>
        <v>16.024295969077858</v>
      </c>
      <c r="BY106" s="693">
        <f t="shared" si="501"/>
        <v>19.628809490827358</v>
      </c>
      <c r="BZ106" s="693">
        <f t="shared" ref="BZ106:CA106" si="503">(BZ102)/BZ115</f>
        <v>20.197602493661037</v>
      </c>
      <c r="CA106" s="1433">
        <f t="shared" si="503"/>
        <v>21.440265822095309</v>
      </c>
      <c r="CB106" s="1474"/>
      <c r="CC106" s="692">
        <f t="shared" ref="CC106:CN106" si="504">(CC102)/CC115</f>
        <v>-4.6893317702227433E-2</v>
      </c>
      <c r="CD106" s="693">
        <f t="shared" si="504"/>
        <v>0.58536585365853655</v>
      </c>
      <c r="CE106" s="693">
        <f t="shared" si="504"/>
        <v>0.82191780821917804</v>
      </c>
      <c r="CF106" s="693">
        <f t="shared" si="504"/>
        <v>0.86937431394072451</v>
      </c>
      <c r="CG106" s="693">
        <f t="shared" si="504"/>
        <v>2.5186680121089808</v>
      </c>
      <c r="CH106" s="693">
        <f t="shared" si="504"/>
        <v>2.7130089374379343</v>
      </c>
      <c r="CI106" s="692">
        <f t="shared" si="504"/>
        <v>2.825174825174825</v>
      </c>
      <c r="CJ106" s="693">
        <f t="shared" si="504"/>
        <v>3.0875122910521142</v>
      </c>
      <c r="CK106" s="693">
        <f t="shared" si="504"/>
        <v>6.2391304347826084</v>
      </c>
      <c r="CL106" s="693">
        <f t="shared" si="504"/>
        <v>9.2913117546848376</v>
      </c>
      <c r="CM106" s="693">
        <f t="shared" si="504"/>
        <v>12.531390134529149</v>
      </c>
      <c r="CN106" s="692">
        <f t="shared" si="504"/>
        <v>17.513454146073585</v>
      </c>
      <c r="CO106" s="693">
        <f t="shared" ref="CO106" si="505">(CO102)/CO115</f>
        <v>19.334628382403736</v>
      </c>
      <c r="CP106" s="1433">
        <f t="shared" ref="CP106" si="506">(CP102)/CP115</f>
        <v>20.752245679492166</v>
      </c>
      <c r="CQ106" s="691"/>
      <c r="CR106"/>
      <c r="CS106"/>
      <c r="CT106"/>
      <c r="CU106"/>
      <c r="CV106"/>
      <c r="CW106"/>
      <c r="CX106" s="691"/>
    </row>
    <row r="107" spans="1:102" s="700" customFormat="1" ht="14.25" customHeight="1">
      <c r="A107" s="696"/>
      <c r="B107" s="613" t="s">
        <v>11</v>
      </c>
      <c r="C107" s="785"/>
      <c r="D107" s="697">
        <f t="shared" ref="D107:BC107" si="507">D99/D114</f>
        <v>-0.42723004694835681</v>
      </c>
      <c r="E107" s="698">
        <f t="shared" si="507"/>
        <v>-7.9812206572769953E-2</v>
      </c>
      <c r="F107" s="698">
        <f t="shared" si="507"/>
        <v>5.1643192488262914E-2</v>
      </c>
      <c r="G107" s="698">
        <f t="shared" si="507"/>
        <v>-8.4507042253521125E-2</v>
      </c>
      <c r="H107" s="697">
        <f t="shared" si="507"/>
        <v>9.3457943925233638E-3</v>
      </c>
      <c r="I107" s="698">
        <f t="shared" si="507"/>
        <v>0.14018691588785046</v>
      </c>
      <c r="J107" s="698">
        <f t="shared" si="507"/>
        <v>0.12149532710280374</v>
      </c>
      <c r="K107" s="699">
        <f t="shared" si="507"/>
        <v>0.14953271028037382</v>
      </c>
      <c r="L107" s="697">
        <f t="shared" si="507"/>
        <v>0.13242009132420091</v>
      </c>
      <c r="M107" s="698">
        <f t="shared" si="507"/>
        <v>0.18721461187214611</v>
      </c>
      <c r="N107" s="698">
        <f t="shared" si="507"/>
        <v>0.20547945205479451</v>
      </c>
      <c r="O107" s="699">
        <f t="shared" si="507"/>
        <v>0.22374429223744291</v>
      </c>
      <c r="P107" s="698">
        <f t="shared" si="507"/>
        <v>0.16894977168949771</v>
      </c>
      <c r="Q107" s="698">
        <f t="shared" si="507"/>
        <v>-2.8037383177570093E-2</v>
      </c>
      <c r="R107" s="698">
        <f t="shared" si="507"/>
        <v>0.16972477064220184</v>
      </c>
      <c r="S107" s="698">
        <f t="shared" si="507"/>
        <v>0.28510638297872343</v>
      </c>
      <c r="T107" s="697">
        <f t="shared" si="507"/>
        <v>0.3401639344262295</v>
      </c>
      <c r="U107" s="698">
        <f t="shared" si="507"/>
        <v>0.45121951219512196</v>
      </c>
      <c r="V107" s="698">
        <f t="shared" si="507"/>
        <v>0.58704453441295545</v>
      </c>
      <c r="W107" s="699">
        <f t="shared" si="507"/>
        <v>0.73790322580645162</v>
      </c>
      <c r="X107" s="698">
        <f t="shared" si="507"/>
        <v>0.63200000000000001</v>
      </c>
      <c r="Y107" s="698">
        <f t="shared" si="507"/>
        <v>0.61904761904761907</v>
      </c>
      <c r="Z107" s="698">
        <f t="shared" si="507"/>
        <v>0.65217391304347827</v>
      </c>
      <c r="AA107" s="698">
        <f t="shared" si="507"/>
        <v>0.69444444444444442</v>
      </c>
      <c r="AB107" s="697">
        <f t="shared" si="507"/>
        <v>0.57999999999999996</v>
      </c>
      <c r="AC107" s="698">
        <f t="shared" si="507"/>
        <v>0.62</v>
      </c>
      <c r="AD107" s="698">
        <f t="shared" si="507"/>
        <v>0.66800000000000004</v>
      </c>
      <c r="AE107" s="699">
        <f t="shared" si="507"/>
        <v>0.72</v>
      </c>
      <c r="AF107" s="698">
        <f t="shared" si="507"/>
        <v>0.57768924302788849</v>
      </c>
      <c r="AG107" s="698">
        <f t="shared" si="507"/>
        <v>0.53968253968253965</v>
      </c>
      <c r="AH107" s="698">
        <f t="shared" si="507"/>
        <v>0.66666666666666663</v>
      </c>
      <c r="AI107" s="698">
        <f t="shared" si="507"/>
        <v>0.81027667984189722</v>
      </c>
      <c r="AJ107" s="697">
        <f t="shared" si="507"/>
        <v>0.75686274509803919</v>
      </c>
      <c r="AK107" s="698">
        <f t="shared" si="507"/>
        <v>0.74806201550387597</v>
      </c>
      <c r="AL107" s="698">
        <f t="shared" si="507"/>
        <v>1.1785714285714286</v>
      </c>
      <c r="AM107" s="698">
        <f>AM99/AM114</f>
        <v>1.8639705882352942</v>
      </c>
      <c r="AN107" s="697">
        <f>AN99/AN114</f>
        <v>1.9676258992805755</v>
      </c>
      <c r="AO107" s="698">
        <f t="shared" si="507"/>
        <v>1.982394366197183</v>
      </c>
      <c r="AP107" s="698">
        <f t="shared" si="507"/>
        <v>2.0801393728222997</v>
      </c>
      <c r="AQ107" s="698">
        <f>AQ99/AQ114</f>
        <v>2.3484320557491287</v>
      </c>
      <c r="AR107" s="697">
        <f>AR99/AR114</f>
        <v>2.2595155709342563</v>
      </c>
      <c r="AS107" s="698">
        <f t="shared" ref="AS107:AT107" si="508">AS99/AS114</f>
        <v>2.2506024096385544</v>
      </c>
      <c r="AT107" s="698">
        <f t="shared" si="508"/>
        <v>2.5775656324582337</v>
      </c>
      <c r="AU107" s="698">
        <f>AU99/AU114</f>
        <v>3.1852731591448933</v>
      </c>
      <c r="AV107" s="697">
        <f>AV99/AV114</f>
        <v>3.2482915717539864</v>
      </c>
      <c r="AW107" s="698">
        <f t="shared" ref="AW107:AX107" si="509">AW99/AW114</f>
        <v>3.2805429864253393</v>
      </c>
      <c r="AX107" s="698">
        <f t="shared" si="509"/>
        <v>3.6404494382022472</v>
      </c>
      <c r="AY107" s="698">
        <f>AY99/AY114</f>
        <v>4.3372641509433958</v>
      </c>
      <c r="AZ107" s="697">
        <f>AZ99/AZ114</f>
        <v>4.802816901408451</v>
      </c>
      <c r="BA107" s="698">
        <f t="shared" si="507"/>
        <v>4.4210148095887662</v>
      </c>
      <c r="BB107" s="698">
        <f t="shared" si="507"/>
        <v>4.3029534150355735</v>
      </c>
      <c r="BC107" s="699">
        <f t="shared" si="507"/>
        <v>4.701829131723235</v>
      </c>
      <c r="BD107" s="697">
        <f t="shared" ref="BD107:BG107" si="510">BD99/BD114</f>
        <v>4.4448183132696242</v>
      </c>
      <c r="BE107" s="698">
        <f t="shared" si="510"/>
        <v>4.2937459699410843</v>
      </c>
      <c r="BF107" s="698">
        <f t="shared" si="510"/>
        <v>4.6701858267453931</v>
      </c>
      <c r="BG107" s="699">
        <f t="shared" si="510"/>
        <v>5.2899429954644859</v>
      </c>
      <c r="BH107" s="697">
        <f t="shared" ref="BH107:BK107" si="511">BH99/BH114</f>
        <v>5.0116967919967426</v>
      </c>
      <c r="BI107" s="698">
        <f t="shared" si="511"/>
        <v>4.6728085120140799</v>
      </c>
      <c r="BJ107" s="698">
        <f t="shared" si="511"/>
        <v>4.92507832480677</v>
      </c>
      <c r="BK107" s="699">
        <f t="shared" si="511"/>
        <v>5.3091642204733125</v>
      </c>
      <c r="BL107" s="792"/>
      <c r="BM107" s="1184">
        <f t="shared" ref="BM107:BY107" si="512">BM99/BM114</f>
        <v>-0.539906103286385</v>
      </c>
      <c r="BN107" s="993">
        <f t="shared" si="512"/>
        <v>0.42056074766355139</v>
      </c>
      <c r="BO107" s="993">
        <f t="shared" si="512"/>
        <v>0.74885844748858443</v>
      </c>
      <c r="BP107" s="993">
        <f t="shared" si="512"/>
        <v>0.60948081264108356</v>
      </c>
      <c r="BQ107" s="993">
        <f t="shared" si="512"/>
        <v>2.1197969543147206</v>
      </c>
      <c r="BR107" s="993">
        <f t="shared" si="512"/>
        <v>2.5978152929493543</v>
      </c>
      <c r="BS107" s="993">
        <f t="shared" si="512"/>
        <v>2.5880000000000001</v>
      </c>
      <c r="BT107" s="1185">
        <f t="shared" si="512"/>
        <v>2.5952380952380953</v>
      </c>
      <c r="BU107" s="697">
        <f t="shared" si="512"/>
        <v>4.5901639344262293</v>
      </c>
      <c r="BV107" s="698">
        <f>BV99/BV114</f>
        <v>8.3838028169014081</v>
      </c>
      <c r="BW107" s="698">
        <f t="shared" ref="BW107" si="513">BW99/BW114</f>
        <v>10.383419689119171</v>
      </c>
      <c r="BX107" s="698">
        <f t="shared" si="512"/>
        <v>14.48</v>
      </c>
      <c r="BY107" s="698">
        <f t="shared" si="512"/>
        <v>18.226935833682941</v>
      </c>
      <c r="BZ107" s="698">
        <f t="shared" ref="BZ107:CA107" si="514">BZ99/BZ114</f>
        <v>18.700381113480521</v>
      </c>
      <c r="CA107" s="699">
        <f t="shared" si="514"/>
        <v>19.919408364061958</v>
      </c>
      <c r="CB107" s="1475"/>
      <c r="CC107" s="697">
        <f t="shared" ref="CC107:CN107" si="515">CC99/CC114</f>
        <v>-0.10316529894490035</v>
      </c>
      <c r="CD107" s="698">
        <f t="shared" si="515"/>
        <v>0.54355400696864109</v>
      </c>
      <c r="CE107" s="698">
        <f t="shared" si="515"/>
        <v>0.78538812785388123</v>
      </c>
      <c r="CF107" s="698">
        <f t="shared" si="515"/>
        <v>0.79473106476399558</v>
      </c>
      <c r="CG107" s="698">
        <f t="shared" si="515"/>
        <v>2.4096871846619576</v>
      </c>
      <c r="CH107" s="699">
        <f t="shared" si="515"/>
        <v>2.5461767626613705</v>
      </c>
      <c r="CI107" s="697">
        <f t="shared" si="515"/>
        <v>2.5854145854145854</v>
      </c>
      <c r="CJ107" s="698">
        <f t="shared" si="515"/>
        <v>2.7747035573122529</v>
      </c>
      <c r="CK107" s="698">
        <f t="shared" si="515"/>
        <v>5.8264150943396222</v>
      </c>
      <c r="CL107" s="698">
        <f t="shared" si="515"/>
        <v>8.6730601569311254</v>
      </c>
      <c r="CM107" s="698">
        <f t="shared" si="515"/>
        <v>11.289256198347108</v>
      </c>
      <c r="CN107" s="697">
        <f t="shared" si="515"/>
        <v>16.016119746689697</v>
      </c>
      <c r="CO107" s="698">
        <f t="shared" ref="CO107" si="516">CO99/CO114</f>
        <v>17.870889250901513</v>
      </c>
      <c r="CP107" s="699">
        <f t="shared" ref="CP107" si="517">CP99/CP114</f>
        <v>19.267177611730148</v>
      </c>
      <c r="CQ107" s="1181"/>
      <c r="CR107"/>
      <c r="CS107"/>
      <c r="CT107"/>
      <c r="CU107"/>
      <c r="CV107"/>
      <c r="CW107"/>
      <c r="CX107" s="696"/>
    </row>
    <row r="108" spans="1:102" s="700" customFormat="1" ht="14.25" customHeight="1">
      <c r="A108" s="696"/>
      <c r="B108" s="983"/>
      <c r="C108" s="984"/>
      <c r="D108" s="993"/>
      <c r="E108" s="993"/>
      <c r="F108" s="993"/>
      <c r="G108" s="993"/>
      <c r="H108" s="993"/>
      <c r="I108" s="993"/>
      <c r="J108" s="993"/>
      <c r="K108" s="993"/>
      <c r="L108" s="993"/>
      <c r="M108" s="993"/>
      <c r="N108" s="993"/>
      <c r="O108" s="993"/>
      <c r="P108" s="993"/>
      <c r="Q108" s="993"/>
      <c r="R108" s="993"/>
      <c r="S108" s="993"/>
      <c r="T108" s="993"/>
      <c r="U108" s="993"/>
      <c r="V108" s="993"/>
      <c r="W108" s="993"/>
      <c r="X108" s="993"/>
      <c r="Y108" s="993"/>
      <c r="Z108" s="993"/>
      <c r="AA108" s="993"/>
      <c r="AB108" s="993"/>
      <c r="AC108" s="993"/>
      <c r="AD108" s="993"/>
      <c r="AE108" s="993"/>
      <c r="AF108" s="993"/>
      <c r="AG108" s="993"/>
      <c r="AH108" s="993"/>
      <c r="AI108" s="993"/>
      <c r="AJ108" s="993"/>
      <c r="AK108" s="993"/>
      <c r="AL108" s="993"/>
      <c r="AM108" s="993"/>
      <c r="AN108" s="993"/>
      <c r="AO108" s="993"/>
      <c r="AP108" s="993"/>
      <c r="AQ108" s="993"/>
      <c r="AR108" s="993"/>
      <c r="AS108" s="993"/>
      <c r="AT108" s="993"/>
      <c r="AU108" s="993"/>
      <c r="AV108" s="993"/>
      <c r="AW108" s="993"/>
      <c r="AX108" s="1153"/>
      <c r="AY108" s="1153"/>
      <c r="AZ108" s="1153"/>
      <c r="BA108" s="1153"/>
      <c r="BB108" s="1153"/>
      <c r="BC108" s="1153"/>
      <c r="BD108" s="1271"/>
      <c r="BE108" s="1271"/>
      <c r="BF108" s="1271"/>
      <c r="BG108" s="1271"/>
      <c r="BH108" s="1333"/>
      <c r="BI108" s="1333"/>
      <c r="BJ108" s="1333"/>
      <c r="BK108" s="1333"/>
      <c r="BL108" s="985"/>
      <c r="BM108" s="993"/>
      <c r="BN108" s="993"/>
      <c r="BO108" s="993"/>
      <c r="BP108" s="993"/>
      <c r="BQ108" s="993"/>
      <c r="BR108" s="993"/>
      <c r="BS108" s="993"/>
      <c r="BT108" s="993"/>
      <c r="BU108" s="993"/>
      <c r="BV108" s="993"/>
      <c r="BW108" s="1175"/>
      <c r="BX108" s="1279"/>
      <c r="BY108" s="1279"/>
      <c r="BZ108" s="1279"/>
      <c r="CA108" s="1279"/>
      <c r="CB108" s="1279"/>
      <c r="CC108" s="1279"/>
      <c r="CD108" s="1279"/>
      <c r="CE108" s="1279"/>
      <c r="CF108" s="1279"/>
      <c r="CG108" s="1279"/>
      <c r="CH108" s="1279"/>
      <c r="CI108" s="1279"/>
      <c r="CJ108" s="1279"/>
      <c r="CK108" s="1279"/>
      <c r="CL108" s="1279"/>
      <c r="CM108" s="1279"/>
      <c r="CN108" s="1279"/>
      <c r="CO108" s="1279"/>
      <c r="CP108" s="1279"/>
      <c r="CQ108" s="696"/>
      <c r="CR108"/>
      <c r="CS108"/>
      <c r="CT108"/>
      <c r="CU108"/>
      <c r="CV108"/>
      <c r="CW108"/>
      <c r="CX108" s="696"/>
    </row>
    <row r="109" spans="1:102" s="700" customFormat="1" ht="14.25" customHeight="1">
      <c r="A109" s="696"/>
      <c r="B109" s="983"/>
      <c r="C109" s="984"/>
      <c r="D109" s="993"/>
      <c r="E109" s="993"/>
      <c r="F109" s="993"/>
      <c r="G109" s="993"/>
      <c r="H109" s="993"/>
      <c r="I109" s="993"/>
      <c r="J109" s="993"/>
      <c r="K109" s="993"/>
      <c r="L109" s="993"/>
      <c r="M109" s="993"/>
      <c r="N109" s="993"/>
      <c r="O109" s="993"/>
      <c r="P109" s="993"/>
      <c r="Q109" s="993"/>
      <c r="R109" s="993"/>
      <c r="S109" s="993"/>
      <c r="T109" s="993"/>
      <c r="U109" s="993"/>
      <c r="V109" s="993"/>
      <c r="W109" s="993"/>
      <c r="X109" s="993"/>
      <c r="Y109" s="993"/>
      <c r="Z109" s="993"/>
      <c r="AA109" s="993"/>
      <c r="AB109" s="993"/>
      <c r="AC109" s="993"/>
      <c r="AD109" s="993"/>
      <c r="AE109" s="993"/>
      <c r="AF109" s="993"/>
      <c r="AG109" s="993"/>
      <c r="AH109" s="993"/>
      <c r="AI109" s="993"/>
      <c r="AJ109" s="993"/>
      <c r="AK109" s="993"/>
      <c r="AL109" s="993"/>
      <c r="AM109" s="993"/>
      <c r="AN109" s="993"/>
      <c r="AO109" s="993"/>
      <c r="AP109" s="993"/>
      <c r="AQ109" s="993"/>
      <c r="AR109" s="993"/>
      <c r="AS109" s="1153"/>
      <c r="AT109" s="993"/>
      <c r="AU109" s="993"/>
      <c r="AV109" s="993"/>
      <c r="AW109" s="1271"/>
      <c r="AX109" s="993"/>
      <c r="AY109" s="993"/>
      <c r="AZ109" s="1479"/>
      <c r="BA109" s="993"/>
      <c r="BB109" s="993"/>
      <c r="BC109" s="993"/>
      <c r="BD109" s="993"/>
      <c r="BE109" s="993"/>
      <c r="BF109" s="993"/>
      <c r="BG109" s="993"/>
      <c r="BH109" s="993"/>
      <c r="BI109" s="993"/>
      <c r="BJ109" s="993"/>
      <c r="BK109" s="993"/>
      <c r="BL109" s="993"/>
      <c r="BM109" s="993"/>
      <c r="BN109" s="993"/>
      <c r="BO109" s="993"/>
      <c r="BP109" s="993"/>
      <c r="BQ109" s="993"/>
      <c r="BR109" s="993"/>
      <c r="BS109" s="993"/>
      <c r="BT109" s="993"/>
      <c r="BU109" s="993"/>
      <c r="BV109" s="993"/>
      <c r="BW109" s="993"/>
      <c r="BX109" s="993"/>
      <c r="BY109" s="993"/>
      <c r="BZ109" s="993"/>
      <c r="CA109" s="993"/>
      <c r="CB109" s="993"/>
      <c r="CC109" s="993"/>
      <c r="CD109" s="993"/>
      <c r="CE109" s="993"/>
      <c r="CF109" s="993"/>
      <c r="CG109" s="993"/>
      <c r="CH109" s="993"/>
      <c r="CI109" s="993"/>
      <c r="CJ109" s="993"/>
      <c r="CK109" s="993"/>
      <c r="CL109" s="993"/>
      <c r="CM109" s="993"/>
      <c r="CN109" s="993"/>
      <c r="CO109" s="993"/>
      <c r="CP109" s="993"/>
      <c r="CQ109" s="696"/>
      <c r="CR109"/>
      <c r="CS109"/>
      <c r="CT109"/>
      <c r="CU109"/>
      <c r="CV109"/>
      <c r="CW109"/>
      <c r="CX109" s="696"/>
    </row>
    <row r="110" spans="1:102" ht="14.25" customHeight="1">
      <c r="A110" s="7"/>
      <c r="B110" s="63"/>
      <c r="C110" s="63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1084"/>
      <c r="AK110" s="1084"/>
      <c r="AL110" s="57"/>
      <c r="AM110" s="1084"/>
      <c r="AN110" s="1084"/>
      <c r="AO110" s="1084"/>
      <c r="AP110" s="57"/>
      <c r="AQ110" s="1084"/>
      <c r="AR110" s="1084"/>
      <c r="AS110" s="1087"/>
      <c r="AT110" s="57"/>
      <c r="AU110" s="1084"/>
      <c r="AV110" s="1084"/>
      <c r="AW110" s="1264"/>
      <c r="AX110" s="979"/>
      <c r="AY110" s="1321"/>
      <c r="AZ110" s="1321"/>
      <c r="BA110" s="1321"/>
      <c r="BB110" s="1321"/>
      <c r="BC110" s="1321"/>
      <c r="BD110" s="1321"/>
      <c r="BE110" s="1321"/>
      <c r="BF110" s="1321"/>
      <c r="BG110" s="1321"/>
      <c r="BH110" s="1321"/>
      <c r="BI110" s="1321"/>
      <c r="BJ110" s="1321"/>
      <c r="BK110" s="1321"/>
      <c r="BL110" s="1321"/>
      <c r="BM110" s="1321"/>
      <c r="BN110" s="1321"/>
      <c r="BO110" s="1321"/>
      <c r="BP110" s="1321"/>
      <c r="BQ110" s="1321"/>
      <c r="BR110" s="1321"/>
      <c r="BS110" s="1321"/>
      <c r="BT110" s="1321"/>
      <c r="BU110" s="1321"/>
      <c r="BV110" s="1321"/>
      <c r="BW110" s="1321"/>
      <c r="BX110" s="1321"/>
      <c r="BY110" s="1321"/>
      <c r="BZ110" s="1321"/>
      <c r="CA110" s="1321"/>
      <c r="CB110" s="1321"/>
      <c r="CC110" s="1321"/>
      <c r="CD110" s="1321"/>
      <c r="CE110" s="1321"/>
      <c r="CF110" s="1321"/>
      <c r="CG110" s="1321"/>
      <c r="CH110" s="1321"/>
      <c r="CI110" s="1321"/>
      <c r="CJ110" s="1321"/>
      <c r="CK110" s="1321"/>
      <c r="CL110" s="1321"/>
      <c r="CM110" s="1321"/>
      <c r="CN110" s="1321"/>
      <c r="CO110" s="1321"/>
      <c r="CP110" s="1321"/>
      <c r="CQ110" s="1112"/>
      <c r="CX110" s="7"/>
    </row>
    <row r="111" spans="1:102" ht="11.25" customHeight="1">
      <c r="A111" s="7"/>
      <c r="B111" s="63"/>
      <c r="C111" s="63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18"/>
      <c r="BV111" s="657"/>
      <c r="BW111" s="1115"/>
      <c r="BX111" s="1333"/>
      <c r="BY111" s="1333"/>
      <c r="BZ111" s="1333"/>
      <c r="CA111" s="1333"/>
      <c r="CB111" s="518"/>
      <c r="CC111" s="57"/>
      <c r="CD111" s="57"/>
      <c r="CE111" s="57"/>
      <c r="CF111" s="57"/>
      <c r="CG111" s="57"/>
      <c r="CH111" s="57"/>
      <c r="CI111" s="57"/>
      <c r="CJ111" s="57"/>
      <c r="CK111" s="57"/>
      <c r="CL111" s="660"/>
      <c r="CM111" s="1157"/>
      <c r="CN111" s="1157"/>
      <c r="CO111" s="1157"/>
      <c r="CP111" s="1157"/>
      <c r="CQ111" s="313"/>
      <c r="CX111" s="7"/>
    </row>
    <row r="112" spans="1:102" ht="14.25" customHeight="1">
      <c r="A112" s="7"/>
      <c r="B112" s="538" t="s">
        <v>241</v>
      </c>
      <c r="C112" s="539"/>
      <c r="D112" s="540" t="str">
        <f>+D$7</f>
        <v>F1Q06</v>
      </c>
      <c r="E112" s="541" t="str">
        <f t="shared" ref="E112:BK112" si="518">+E$7</f>
        <v>F2Q06</v>
      </c>
      <c r="F112" s="541" t="str">
        <f t="shared" si="518"/>
        <v>F3Q06</v>
      </c>
      <c r="G112" s="542" t="str">
        <f t="shared" si="518"/>
        <v>F4Q06</v>
      </c>
      <c r="H112" s="540" t="str">
        <f t="shared" si="518"/>
        <v>F1Q07</v>
      </c>
      <c r="I112" s="541" t="str">
        <f t="shared" si="518"/>
        <v>F2Q07</v>
      </c>
      <c r="J112" s="541" t="str">
        <f t="shared" si="518"/>
        <v>F3Q07</v>
      </c>
      <c r="K112" s="542" t="str">
        <f t="shared" si="518"/>
        <v>F4Q07</v>
      </c>
      <c r="L112" s="541" t="str">
        <f t="shared" si="518"/>
        <v>F1Q08</v>
      </c>
      <c r="M112" s="541" t="str">
        <f t="shared" si="518"/>
        <v>F2Q08</v>
      </c>
      <c r="N112" s="541" t="str">
        <f t="shared" si="518"/>
        <v>F3Q08</v>
      </c>
      <c r="O112" s="541" t="str">
        <f t="shared" si="518"/>
        <v>F4Q08</v>
      </c>
      <c r="P112" s="540" t="str">
        <f t="shared" si="518"/>
        <v>F1Q09</v>
      </c>
      <c r="Q112" s="541" t="str">
        <f t="shared" si="518"/>
        <v>F2Q09</v>
      </c>
      <c r="R112" s="541" t="str">
        <f t="shared" si="518"/>
        <v>F3Q09</v>
      </c>
      <c r="S112" s="542" t="str">
        <f t="shared" si="518"/>
        <v>F4Q09</v>
      </c>
      <c r="T112" s="541" t="str">
        <f t="shared" si="518"/>
        <v>F1Q10</v>
      </c>
      <c r="U112" s="541" t="str">
        <f t="shared" si="518"/>
        <v>F2Q10</v>
      </c>
      <c r="V112" s="541" t="str">
        <f t="shared" si="518"/>
        <v>F3Q10</v>
      </c>
      <c r="W112" s="541" t="str">
        <f t="shared" si="518"/>
        <v>F4Q10</v>
      </c>
      <c r="X112" s="540" t="str">
        <f t="shared" si="518"/>
        <v>F1Q11</v>
      </c>
      <c r="Y112" s="541" t="str">
        <f t="shared" si="518"/>
        <v>F2Q11</v>
      </c>
      <c r="Z112" s="541" t="str">
        <f t="shared" si="518"/>
        <v>F3Q11</v>
      </c>
      <c r="AA112" s="542" t="str">
        <f t="shared" si="518"/>
        <v>F4Q11</v>
      </c>
      <c r="AB112" s="540" t="str">
        <f t="shared" si="518"/>
        <v>F1Q12</v>
      </c>
      <c r="AC112" s="541" t="str">
        <f t="shared" si="518"/>
        <v>F2Q12</v>
      </c>
      <c r="AD112" s="541" t="str">
        <f t="shared" si="518"/>
        <v>F3Q12</v>
      </c>
      <c r="AE112" s="542" t="str">
        <f t="shared" si="518"/>
        <v>F4Q12</v>
      </c>
      <c r="AF112" s="541" t="str">
        <f t="shared" si="518"/>
        <v>F1Q13</v>
      </c>
      <c r="AG112" s="541" t="str">
        <f t="shared" si="518"/>
        <v>F2Q13</v>
      </c>
      <c r="AH112" s="541" t="str">
        <f t="shared" si="518"/>
        <v>F3Q13</v>
      </c>
      <c r="AI112" s="542" t="str">
        <f t="shared" si="518"/>
        <v>F4Q13</v>
      </c>
      <c r="AJ112" s="540" t="str">
        <f t="shared" si="518"/>
        <v>F1Q14</v>
      </c>
      <c r="AK112" s="541" t="str">
        <f t="shared" si="518"/>
        <v>F2Q14A</v>
      </c>
      <c r="AL112" s="541" t="str">
        <f t="shared" si="518"/>
        <v>F3Q14A</v>
      </c>
      <c r="AM112" s="541" t="str">
        <f t="shared" si="518"/>
        <v>F4Q14A</v>
      </c>
      <c r="AN112" s="540" t="str">
        <f t="shared" si="518"/>
        <v>F1Q15A</v>
      </c>
      <c r="AO112" s="541" t="str">
        <f t="shared" si="518"/>
        <v>F2Q15A</v>
      </c>
      <c r="AP112" s="541" t="str">
        <f t="shared" si="518"/>
        <v>F3Q15A</v>
      </c>
      <c r="AQ112" s="541" t="str">
        <f t="shared" si="518"/>
        <v>F4Q15A</v>
      </c>
      <c r="AR112" s="540" t="str">
        <f t="shared" si="518"/>
        <v>F1Q16A</v>
      </c>
      <c r="AS112" s="541" t="str">
        <f t="shared" si="518"/>
        <v>F2Q16A</v>
      </c>
      <c r="AT112" s="541" t="str">
        <f t="shared" si="518"/>
        <v>F3Q16A</v>
      </c>
      <c r="AU112" s="541" t="str">
        <f t="shared" si="518"/>
        <v>F4Q16A</v>
      </c>
      <c r="AV112" s="540" t="str">
        <f t="shared" si="518"/>
        <v>F1Q17A</v>
      </c>
      <c r="AW112" s="541" t="str">
        <f t="shared" si="518"/>
        <v>F2Q17A</v>
      </c>
      <c r="AX112" s="541" t="str">
        <f t="shared" si="518"/>
        <v>F3Q17A</v>
      </c>
      <c r="AY112" s="541" t="str">
        <f t="shared" si="518"/>
        <v>F4Q17A</v>
      </c>
      <c r="AZ112" s="540" t="str">
        <f t="shared" si="518"/>
        <v>F1Q18A</v>
      </c>
      <c r="BA112" s="541" t="str">
        <f t="shared" si="518"/>
        <v>F2Q18E</v>
      </c>
      <c r="BB112" s="541" t="str">
        <f t="shared" si="518"/>
        <v>F3Q18E</v>
      </c>
      <c r="BC112" s="542" t="str">
        <f t="shared" si="518"/>
        <v>F4Q18E</v>
      </c>
      <c r="BD112" s="540" t="str">
        <f t="shared" si="518"/>
        <v>F1Q19E</v>
      </c>
      <c r="BE112" s="541" t="str">
        <f t="shared" si="518"/>
        <v>F2Q19E</v>
      </c>
      <c r="BF112" s="541" t="str">
        <f t="shared" si="518"/>
        <v>F3Q19E</v>
      </c>
      <c r="BG112" s="542" t="str">
        <f t="shared" si="518"/>
        <v>F4Q19E</v>
      </c>
      <c r="BH112" s="541" t="str">
        <f t="shared" si="518"/>
        <v>F1Q20E</v>
      </c>
      <c r="BI112" s="541" t="str">
        <f t="shared" si="518"/>
        <v>F2Q20E</v>
      </c>
      <c r="BJ112" s="541" t="str">
        <f t="shared" si="518"/>
        <v>F3Q20E</v>
      </c>
      <c r="BK112" s="542" t="str">
        <f t="shared" si="518"/>
        <v>F4Q20E</v>
      </c>
      <c r="BL112" s="19"/>
      <c r="BM112" s="1006" t="str">
        <f t="shared" ref="BM112:CA112" si="519">+BM$7</f>
        <v>FY2006</v>
      </c>
      <c r="BN112" s="1007" t="str">
        <f t="shared" si="519"/>
        <v>FY2007</v>
      </c>
      <c r="BO112" s="1007" t="str">
        <f t="shared" si="519"/>
        <v>FY2008</v>
      </c>
      <c r="BP112" s="1007" t="str">
        <f t="shared" si="519"/>
        <v>FY2009</v>
      </c>
      <c r="BQ112" s="1007" t="str">
        <f t="shared" si="519"/>
        <v>FY2010</v>
      </c>
      <c r="BR112" s="1007" t="str">
        <f t="shared" si="519"/>
        <v>FY2011</v>
      </c>
      <c r="BS112" s="1007" t="str">
        <f t="shared" si="519"/>
        <v>FY2012</v>
      </c>
      <c r="BT112" s="1008" t="str">
        <f t="shared" si="519"/>
        <v>FY2013</v>
      </c>
      <c r="BU112" s="1006" t="str">
        <f t="shared" si="519"/>
        <v>FY2014A</v>
      </c>
      <c r="BV112" s="1007" t="str">
        <f t="shared" si="519"/>
        <v>FY2015A</v>
      </c>
      <c r="BW112" s="1007" t="str">
        <f t="shared" si="519"/>
        <v>FY2016A</v>
      </c>
      <c r="BX112" s="1007" t="str">
        <f t="shared" si="519"/>
        <v>FY2017A</v>
      </c>
      <c r="BY112" s="1225" t="str">
        <f t="shared" si="519"/>
        <v>FY2018E</v>
      </c>
      <c r="BZ112" s="1362" t="str">
        <f t="shared" si="519"/>
        <v>FY2019E</v>
      </c>
      <c r="CA112" s="1363" t="str">
        <f t="shared" si="519"/>
        <v>FY2020E</v>
      </c>
      <c r="CB112" s="19"/>
      <c r="CC112" s="1006" t="str">
        <f t="shared" ref="CC112:CP112" si="520">+CC$7</f>
        <v>CY2006</v>
      </c>
      <c r="CD112" s="1007" t="str">
        <f t="shared" si="520"/>
        <v>CY2007</v>
      </c>
      <c r="CE112" s="1007" t="str">
        <f t="shared" si="520"/>
        <v>CY2008</v>
      </c>
      <c r="CF112" s="1007" t="str">
        <f t="shared" si="520"/>
        <v>CY2009</v>
      </c>
      <c r="CG112" s="1007" t="str">
        <f t="shared" si="520"/>
        <v>CY2010</v>
      </c>
      <c r="CH112" s="1008" t="str">
        <f t="shared" si="520"/>
        <v>CY2011</v>
      </c>
      <c r="CI112" s="1007" t="str">
        <f t="shared" si="520"/>
        <v>CY2012</v>
      </c>
      <c r="CJ112" s="1007" t="str">
        <f t="shared" si="520"/>
        <v>CY2013</v>
      </c>
      <c r="CK112" s="1007" t="str">
        <f t="shared" si="520"/>
        <v>CY2014A</v>
      </c>
      <c r="CL112" s="1007" t="str">
        <f t="shared" si="520"/>
        <v>CY2015A</v>
      </c>
      <c r="CM112" s="1007" t="str">
        <f t="shared" si="520"/>
        <v>CY2016A</v>
      </c>
      <c r="CN112" s="1362" t="str">
        <f t="shared" si="520"/>
        <v>CY2017A</v>
      </c>
      <c r="CO112" s="1362" t="str">
        <f t="shared" si="520"/>
        <v>CY2018E</v>
      </c>
      <c r="CP112" s="1363" t="str">
        <f t="shared" si="520"/>
        <v>CY2019E</v>
      </c>
      <c r="CQ112" s="313"/>
      <c r="CX112" s="7"/>
    </row>
    <row r="113" spans="1:102" ht="14.25" customHeight="1">
      <c r="A113" s="7"/>
      <c r="B113" s="67" t="s">
        <v>12</v>
      </c>
      <c r="C113" s="68"/>
      <c r="D113" s="153">
        <f t="shared" ref="D113:M113" si="521">D114</f>
        <v>213</v>
      </c>
      <c r="E113" s="148">
        <f t="shared" si="521"/>
        <v>213</v>
      </c>
      <c r="F113" s="148">
        <f t="shared" si="521"/>
        <v>213</v>
      </c>
      <c r="G113" s="152">
        <f t="shared" si="521"/>
        <v>213</v>
      </c>
      <c r="H113" s="153">
        <f t="shared" si="521"/>
        <v>214</v>
      </c>
      <c r="I113" s="148">
        <f t="shared" si="521"/>
        <v>214</v>
      </c>
      <c r="J113" s="148">
        <f t="shared" si="521"/>
        <v>214</v>
      </c>
      <c r="K113" s="152">
        <f t="shared" si="521"/>
        <v>214</v>
      </c>
      <c r="L113" s="153">
        <f t="shared" si="521"/>
        <v>219</v>
      </c>
      <c r="M113" s="148">
        <f t="shared" si="521"/>
        <v>219</v>
      </c>
      <c r="N113" s="70">
        <v>214</v>
      </c>
      <c r="O113" s="152">
        <f>O114</f>
        <v>219</v>
      </c>
      <c r="P113" s="69">
        <v>214</v>
      </c>
      <c r="Q113" s="70">
        <v>214</v>
      </c>
      <c r="R113" s="70">
        <v>213</v>
      </c>
      <c r="S113" s="71">
        <v>235</v>
      </c>
      <c r="T113" s="70">
        <v>236</v>
      </c>
      <c r="U113" s="70">
        <v>238</v>
      </c>
      <c r="V113" s="70">
        <v>239</v>
      </c>
      <c r="W113" s="71">
        <v>242</v>
      </c>
      <c r="X113" s="70">
        <v>242</v>
      </c>
      <c r="Y113" s="70">
        <v>245</v>
      </c>
      <c r="Z113" s="70">
        <v>246</v>
      </c>
      <c r="AA113" s="71">
        <v>246</v>
      </c>
      <c r="AB113" s="69">
        <v>245</v>
      </c>
      <c r="AC113" s="70">
        <v>244</v>
      </c>
      <c r="AD113" s="70">
        <v>245</v>
      </c>
      <c r="AE113" s="71">
        <v>245</v>
      </c>
      <c r="AF113" s="70">
        <v>246</v>
      </c>
      <c r="AG113" s="70">
        <v>246</v>
      </c>
      <c r="AH113" s="70">
        <v>248</v>
      </c>
      <c r="AI113" s="71">
        <v>248</v>
      </c>
      <c r="AJ113" s="69">
        <v>249</v>
      </c>
      <c r="AK113" s="70">
        <v>251</v>
      </c>
      <c r="AL113" s="70">
        <v>252</v>
      </c>
      <c r="AM113" s="71">
        <v>254</v>
      </c>
      <c r="AN113" s="69">
        <v>255</v>
      </c>
      <c r="AO113" s="70">
        <v>258</v>
      </c>
      <c r="AP113" s="70">
        <v>265</v>
      </c>
      <c r="AQ113" s="71">
        <v>276</v>
      </c>
      <c r="AR113" s="69">
        <v>277</v>
      </c>
      <c r="AS113" s="70">
        <v>392</v>
      </c>
      <c r="AT113" s="70">
        <v>396</v>
      </c>
      <c r="AU113" s="71">
        <v>398</v>
      </c>
      <c r="AV113" s="69">
        <v>399</v>
      </c>
      <c r="AW113" s="70">
        <v>403</v>
      </c>
      <c r="AX113" s="70">
        <v>407</v>
      </c>
      <c r="AY113" s="71">
        <v>408</v>
      </c>
      <c r="AZ113" s="69">
        <v>410</v>
      </c>
      <c r="BA113" s="80">
        <f t="shared" ref="BA113:BC113" si="522">AZ113+(BA114-AZ114)</f>
        <v>413</v>
      </c>
      <c r="BB113" s="80">
        <f t="shared" si="522"/>
        <v>413.5</v>
      </c>
      <c r="BC113" s="81">
        <f t="shared" si="522"/>
        <v>414</v>
      </c>
      <c r="BD113" s="544">
        <f t="shared" ref="BD113:BD114" si="523">BC113+(BD114-BC114)</f>
        <v>414.5</v>
      </c>
      <c r="BE113" s="80">
        <f t="shared" ref="BE113:BE114" si="524">BD113+(BE114-BD114)</f>
        <v>415</v>
      </c>
      <c r="BF113" s="80">
        <f t="shared" ref="BF113:BF114" si="525">BE113+(BF114-BE114)</f>
        <v>415.5</v>
      </c>
      <c r="BG113" s="1486">
        <f t="shared" ref="BG113:BG114" si="526">BF113+(BG114-BF114)</f>
        <v>416</v>
      </c>
      <c r="BH113" s="80">
        <f t="shared" ref="BH113:BH114" si="527">BG113+(BH114-BG114)</f>
        <v>416.5</v>
      </c>
      <c r="BI113" s="80">
        <f t="shared" ref="BI113:BI114" si="528">BH113+(BI114-BH114)</f>
        <v>417</v>
      </c>
      <c r="BJ113" s="80">
        <f t="shared" ref="BJ113:BJ114" si="529">BI113+(BJ114-BI114)</f>
        <v>417.5</v>
      </c>
      <c r="BK113" s="81">
        <f t="shared" ref="BK113:BK114" si="530">BJ113+(BK114-BJ114)</f>
        <v>418</v>
      </c>
      <c r="BL113" s="19"/>
      <c r="BM113" s="544">
        <f>AVERAGE(D113:G113)</f>
        <v>213</v>
      </c>
      <c r="BN113" s="80">
        <f>AVERAGE(H113:K113)</f>
        <v>214</v>
      </c>
      <c r="BO113" s="80">
        <f>AVERAGE(L113:O113)</f>
        <v>217.75</v>
      </c>
      <c r="BP113" s="80">
        <f>AVERAGE(P113:S113)</f>
        <v>219</v>
      </c>
      <c r="BQ113" s="80">
        <f>AVERAGE(T113:W113)</f>
        <v>238.75</v>
      </c>
      <c r="BR113" s="80">
        <f>AVERAGE(X113:AA113)</f>
        <v>244.75</v>
      </c>
      <c r="BS113" s="80">
        <f>AVERAGE(AB113:AE113)</f>
        <v>244.75</v>
      </c>
      <c r="BT113" s="81">
        <f>AVERAGE(AF113:AI113)</f>
        <v>247</v>
      </c>
      <c r="BU113" s="543">
        <f>AVERAGE(AJ113:AM113)</f>
        <v>251.5</v>
      </c>
      <c r="BV113" s="72">
        <f>AVERAGE(AN113:AQ113)</f>
        <v>263.5</v>
      </c>
      <c r="BW113" s="72">
        <f>AVERAGE(AR113:AU113)</f>
        <v>365.75</v>
      </c>
      <c r="BX113" s="72">
        <f t="shared" ref="BX113:BX115" si="531">AVERAGE(AV113:AY113)</f>
        <v>404.25</v>
      </c>
      <c r="BY113" s="72">
        <f>AVERAGE(AZ113:BC113)</f>
        <v>412.625</v>
      </c>
      <c r="BZ113" s="72">
        <f>AVERAGE(BD113:BG113)</f>
        <v>415.25</v>
      </c>
      <c r="CA113" s="73">
        <f>AVERAGE(BH113:BK113)</f>
        <v>417.25</v>
      </c>
      <c r="CB113" s="19"/>
      <c r="CC113" s="544">
        <f>AVERAGE(E113:H113)</f>
        <v>213.25</v>
      </c>
      <c r="CD113" s="80">
        <f>AVERAGE(I113:L113)</f>
        <v>215.25</v>
      </c>
      <c r="CE113" s="80">
        <f>AVERAGE(M113:P113)</f>
        <v>216.5</v>
      </c>
      <c r="CF113" s="80">
        <f>AVERAGE(Q113:T113)</f>
        <v>224.5</v>
      </c>
      <c r="CG113" s="80">
        <f>AVERAGE(U113:X113)</f>
        <v>240.25</v>
      </c>
      <c r="CH113" s="81">
        <f>AVERAGE(Y113:AB113)</f>
        <v>245.5</v>
      </c>
      <c r="CI113" s="80">
        <f>AVERAGE(AC113:AF113)</f>
        <v>245</v>
      </c>
      <c r="CJ113" s="72">
        <f>AVERAGE(AG113:AJ113)</f>
        <v>247.75</v>
      </c>
      <c r="CK113" s="72">
        <f>AVERAGE(AK113:AN113)</f>
        <v>253</v>
      </c>
      <c r="CL113" s="72">
        <f>AVERAGE(AO113:AR113)</f>
        <v>269</v>
      </c>
      <c r="CM113" s="80">
        <f>AVERAGE(AS113:AV113)</f>
        <v>396.25</v>
      </c>
      <c r="CN113" s="80">
        <f>AVERAGE(AW113:AZ113)</f>
        <v>407</v>
      </c>
      <c r="CO113" s="80">
        <f>AVERAGE(BA113:BD113)</f>
        <v>413.75</v>
      </c>
      <c r="CP113" s="81">
        <f>AVERAGE(BE113:BH113)</f>
        <v>415.75</v>
      </c>
      <c r="CQ113" s="7"/>
      <c r="CX113" s="7"/>
    </row>
    <row r="114" spans="1:102" ht="14.25" customHeight="1">
      <c r="A114" s="7"/>
      <c r="B114" s="21" t="s">
        <v>353</v>
      </c>
      <c r="C114" s="22"/>
      <c r="D114" s="77">
        <v>213</v>
      </c>
      <c r="E114" s="78">
        <v>213</v>
      </c>
      <c r="F114" s="78">
        <v>213</v>
      </c>
      <c r="G114" s="79">
        <v>213</v>
      </c>
      <c r="H114" s="77">
        <v>214</v>
      </c>
      <c r="I114" s="78">
        <v>214</v>
      </c>
      <c r="J114" s="78">
        <v>214</v>
      </c>
      <c r="K114" s="79">
        <v>214</v>
      </c>
      <c r="L114" s="77">
        <v>219</v>
      </c>
      <c r="M114" s="78">
        <v>219</v>
      </c>
      <c r="N114" s="78">
        <v>219</v>
      </c>
      <c r="O114" s="79">
        <v>219</v>
      </c>
      <c r="P114" s="77">
        <v>219</v>
      </c>
      <c r="Q114" s="78">
        <v>214</v>
      </c>
      <c r="R114" s="78">
        <v>218</v>
      </c>
      <c r="S114" s="79">
        <v>235</v>
      </c>
      <c r="T114" s="78">
        <v>244</v>
      </c>
      <c r="U114" s="78">
        <v>246</v>
      </c>
      <c r="V114" s="78">
        <v>247</v>
      </c>
      <c r="W114" s="31">
        <v>248</v>
      </c>
      <c r="X114" s="78">
        <v>250</v>
      </c>
      <c r="Y114" s="78">
        <v>252</v>
      </c>
      <c r="Z114" s="78">
        <v>253</v>
      </c>
      <c r="AA114" s="31">
        <v>252</v>
      </c>
      <c r="AB114" s="77">
        <v>250</v>
      </c>
      <c r="AC114" s="78">
        <v>250</v>
      </c>
      <c r="AD114" s="78">
        <v>250</v>
      </c>
      <c r="AE114" s="1415">
        <v>250</v>
      </c>
      <c r="AF114" s="78">
        <v>251</v>
      </c>
      <c r="AG114" s="78">
        <v>252</v>
      </c>
      <c r="AH114" s="78">
        <v>252</v>
      </c>
      <c r="AI114" s="31">
        <v>253</v>
      </c>
      <c r="AJ114" s="77">
        <v>255</v>
      </c>
      <c r="AK114" s="78">
        <v>258</v>
      </c>
      <c r="AL114" s="78">
        <v>252</v>
      </c>
      <c r="AM114" s="31">
        <v>272</v>
      </c>
      <c r="AN114" s="77">
        <v>278</v>
      </c>
      <c r="AO114" s="78">
        <v>284</v>
      </c>
      <c r="AP114" s="78">
        <v>287</v>
      </c>
      <c r="AQ114" s="31">
        <v>287</v>
      </c>
      <c r="AR114" s="77">
        <v>289</v>
      </c>
      <c r="AS114" s="78">
        <v>415</v>
      </c>
      <c r="AT114" s="78">
        <v>419</v>
      </c>
      <c r="AU114" s="31">
        <v>421</v>
      </c>
      <c r="AV114" s="77">
        <v>439</v>
      </c>
      <c r="AW114" s="78">
        <v>442</v>
      </c>
      <c r="AX114" s="78">
        <v>445</v>
      </c>
      <c r="AY114" s="31">
        <v>424</v>
      </c>
      <c r="AZ114" s="77">
        <v>426</v>
      </c>
      <c r="BA114" s="80">
        <f t="shared" ref="BA114:BC114" si="532">AZ114+(BA115-AZ115)</f>
        <v>429</v>
      </c>
      <c r="BB114" s="80">
        <f t="shared" si="532"/>
        <v>429.5</v>
      </c>
      <c r="BC114" s="81">
        <f t="shared" si="532"/>
        <v>430</v>
      </c>
      <c r="BD114" s="544">
        <f t="shared" si="523"/>
        <v>430.5</v>
      </c>
      <c r="BE114" s="80">
        <f t="shared" si="524"/>
        <v>431</v>
      </c>
      <c r="BF114" s="80">
        <f t="shared" si="525"/>
        <v>431.5</v>
      </c>
      <c r="BG114" s="1486">
        <f t="shared" si="526"/>
        <v>432</v>
      </c>
      <c r="BH114" s="80">
        <f t="shared" si="527"/>
        <v>432.5</v>
      </c>
      <c r="BI114" s="80">
        <f t="shared" si="528"/>
        <v>433</v>
      </c>
      <c r="BJ114" s="80">
        <f t="shared" si="529"/>
        <v>433.5</v>
      </c>
      <c r="BK114" s="81">
        <f t="shared" si="530"/>
        <v>434</v>
      </c>
      <c r="BL114" s="19"/>
      <c r="BM114" s="544">
        <f>AVERAGE(D114:G114)</f>
        <v>213</v>
      </c>
      <c r="BN114" s="80">
        <f>AVERAGE(H114:K114)</f>
        <v>214</v>
      </c>
      <c r="BO114" s="80">
        <f>AVERAGE(L114:O114)</f>
        <v>219</v>
      </c>
      <c r="BP114" s="80">
        <f>AVERAGE(P114:S114)</f>
        <v>221.5</v>
      </c>
      <c r="BQ114" s="80">
        <f>AVERAGE(T114:W114)</f>
        <v>246.25</v>
      </c>
      <c r="BR114" s="80">
        <f>AVERAGE(X114:AA114)</f>
        <v>251.75</v>
      </c>
      <c r="BS114" s="80">
        <f>AVERAGE(AB114:AE114)</f>
        <v>250</v>
      </c>
      <c r="BT114" s="81">
        <f>AVERAGE(AF114:AI114)</f>
        <v>252</v>
      </c>
      <c r="BU114" s="544">
        <f>AVERAGE(AJ114:AM114)</f>
        <v>259.25</v>
      </c>
      <c r="BV114" s="80">
        <f>AVERAGE(AN114:AQ114)</f>
        <v>284</v>
      </c>
      <c r="BW114" s="80">
        <f>AVERAGE(AR114:AU114)</f>
        <v>386</v>
      </c>
      <c r="BX114" s="80">
        <f>AVERAGE(AV114:AY114)</f>
        <v>437.5</v>
      </c>
      <c r="BY114" s="80">
        <f t="shared" ref="BY114:BY115" si="533">AVERAGE(AZ114:BC114)</f>
        <v>428.625</v>
      </c>
      <c r="BZ114" s="80">
        <f>AVERAGE(BD114:BG114)</f>
        <v>431.25</v>
      </c>
      <c r="CA114" s="81">
        <f>AVERAGE(BH114:BK114)</f>
        <v>433.25</v>
      </c>
      <c r="CB114" s="19"/>
      <c r="CC114" s="544">
        <f>AVERAGE(E114:H114)</f>
        <v>213.25</v>
      </c>
      <c r="CD114" s="80">
        <f>AVERAGE(I114:L114)</f>
        <v>215.25</v>
      </c>
      <c r="CE114" s="80">
        <f>AVERAGE(M114:P114)</f>
        <v>219</v>
      </c>
      <c r="CF114" s="80">
        <f>AVERAGE(Q114:T114)</f>
        <v>227.75</v>
      </c>
      <c r="CG114" s="80">
        <f>AVERAGE(U114:X114)</f>
        <v>247.75</v>
      </c>
      <c r="CH114" s="81">
        <f>AVERAGE(Y114:AB114)</f>
        <v>251.75</v>
      </c>
      <c r="CI114" s="80">
        <f>AVERAGE(AC114:AF114)</f>
        <v>250.25</v>
      </c>
      <c r="CJ114" s="80">
        <f>AVERAGE(AG114:AJ114)</f>
        <v>253</v>
      </c>
      <c r="CK114" s="80">
        <f>AVERAGE(AK114:AN114)</f>
        <v>265</v>
      </c>
      <c r="CL114" s="80">
        <f>AVERAGE(AO114:AR114)</f>
        <v>286.75</v>
      </c>
      <c r="CM114" s="80">
        <f>AVERAGE(AS114:AV114)</f>
        <v>423.5</v>
      </c>
      <c r="CN114" s="80">
        <f>AVERAGE(AW114:AZ114)</f>
        <v>434.25</v>
      </c>
      <c r="CO114" s="80">
        <f>AVERAGE(BA114:BD114)</f>
        <v>429.75</v>
      </c>
      <c r="CP114" s="81">
        <f>AVERAGE(BE114:BH114)</f>
        <v>431.75</v>
      </c>
      <c r="CQ114" s="7"/>
      <c r="CX114" s="7"/>
    </row>
    <row r="115" spans="1:102" ht="14.25" customHeight="1" outlineLevel="1">
      <c r="A115" s="7"/>
      <c r="B115" s="21" t="s">
        <v>348</v>
      </c>
      <c r="C115" s="22"/>
      <c r="D115" s="77">
        <v>213</v>
      </c>
      <c r="E115" s="78">
        <v>213</v>
      </c>
      <c r="F115" s="78">
        <v>213</v>
      </c>
      <c r="G115" s="79">
        <v>213</v>
      </c>
      <c r="H115" s="77">
        <v>214</v>
      </c>
      <c r="I115" s="78">
        <v>214</v>
      </c>
      <c r="J115" s="78">
        <v>214</v>
      </c>
      <c r="K115" s="79">
        <v>214</v>
      </c>
      <c r="L115" s="77">
        <v>219</v>
      </c>
      <c r="M115" s="78">
        <v>219</v>
      </c>
      <c r="N115" s="78">
        <v>219</v>
      </c>
      <c r="O115" s="79">
        <v>219</v>
      </c>
      <c r="P115" s="77">
        <v>219</v>
      </c>
      <c r="Q115" s="78">
        <v>214</v>
      </c>
      <c r="R115" s="78">
        <v>218</v>
      </c>
      <c r="S115" s="79">
        <v>235</v>
      </c>
      <c r="T115" s="78">
        <v>244</v>
      </c>
      <c r="U115" s="78">
        <v>246</v>
      </c>
      <c r="V115" s="78">
        <v>247</v>
      </c>
      <c r="W115" s="31">
        <v>248</v>
      </c>
      <c r="X115" s="78">
        <v>250</v>
      </c>
      <c r="Y115" s="78">
        <v>252</v>
      </c>
      <c r="Z115" s="78">
        <v>253</v>
      </c>
      <c r="AA115" s="31">
        <v>252</v>
      </c>
      <c r="AB115" s="77">
        <v>250</v>
      </c>
      <c r="AC115" s="78">
        <v>250</v>
      </c>
      <c r="AD115" s="78">
        <v>250</v>
      </c>
      <c r="AE115" s="1415">
        <v>250</v>
      </c>
      <c r="AF115" s="78">
        <v>251</v>
      </c>
      <c r="AG115" s="78">
        <v>252</v>
      </c>
      <c r="AH115" s="78">
        <v>252</v>
      </c>
      <c r="AI115" s="31">
        <v>255</v>
      </c>
      <c r="AJ115" s="77">
        <v>258</v>
      </c>
      <c r="AK115" s="78">
        <v>263</v>
      </c>
      <c r="AL115" s="78">
        <v>276</v>
      </c>
      <c r="AM115" s="31">
        <v>280</v>
      </c>
      <c r="AN115" s="77">
        <v>285</v>
      </c>
      <c r="AO115" s="78">
        <v>291</v>
      </c>
      <c r="AP115" s="78">
        <v>294</v>
      </c>
      <c r="AQ115" s="31">
        <v>294</v>
      </c>
      <c r="AR115" s="77">
        <v>295</v>
      </c>
      <c r="AS115" s="78">
        <v>442</v>
      </c>
      <c r="AT115" s="78">
        <v>447</v>
      </c>
      <c r="AU115" s="31">
        <v>447</v>
      </c>
      <c r="AV115" s="77">
        <v>448</v>
      </c>
      <c r="AW115" s="78">
        <v>451</v>
      </c>
      <c r="AX115" s="78">
        <v>456</v>
      </c>
      <c r="AY115" s="31">
        <v>456</v>
      </c>
      <c r="AZ115" s="77">
        <v>458</v>
      </c>
      <c r="BA115" s="80">
        <v>461</v>
      </c>
      <c r="BB115" s="80">
        <f t="shared" ref="BB115:BG115" si="534">BA115+0.5</f>
        <v>461.5</v>
      </c>
      <c r="BC115" s="81">
        <f t="shared" si="534"/>
        <v>462</v>
      </c>
      <c r="BD115" s="544">
        <f t="shared" si="534"/>
        <v>462.5</v>
      </c>
      <c r="BE115" s="80">
        <f t="shared" si="534"/>
        <v>463</v>
      </c>
      <c r="BF115" s="80">
        <f t="shared" si="534"/>
        <v>463.5</v>
      </c>
      <c r="BG115" s="1486">
        <f t="shared" si="534"/>
        <v>464</v>
      </c>
      <c r="BH115" s="80">
        <f t="shared" ref="BH115" si="535">BG115+0.5</f>
        <v>464.5</v>
      </c>
      <c r="BI115" s="80">
        <f t="shared" ref="BI115" si="536">BH115+0.5</f>
        <v>465</v>
      </c>
      <c r="BJ115" s="80">
        <f t="shared" ref="BJ115" si="537">BI115+0.5</f>
        <v>465.5</v>
      </c>
      <c r="BK115" s="80">
        <f t="shared" ref="BK115" si="538">BJ115+0.5</f>
        <v>466</v>
      </c>
      <c r="BL115" s="19"/>
      <c r="BM115" s="544">
        <f>AVERAGE(D115:G115)</f>
        <v>213</v>
      </c>
      <c r="BN115" s="80">
        <f>AVERAGE(H115:K115)</f>
        <v>214</v>
      </c>
      <c r="BO115" s="80">
        <f>AVERAGE(L115:O115)</f>
        <v>219</v>
      </c>
      <c r="BP115" s="80">
        <f>AVERAGE(P115:S115)</f>
        <v>221.5</v>
      </c>
      <c r="BQ115" s="80">
        <f>AVERAGE(T115:W115)</f>
        <v>246.25</v>
      </c>
      <c r="BR115" s="80">
        <f>AVERAGE(X115:AA115)</f>
        <v>251.75</v>
      </c>
      <c r="BS115" s="80">
        <f>AVERAGE(AB115:AE115)</f>
        <v>250</v>
      </c>
      <c r="BT115" s="81">
        <f>AVERAGE(AF115:AI115)</f>
        <v>252.5</v>
      </c>
      <c r="BU115" s="544">
        <f>AVERAGE(AJ115:AM115)</f>
        <v>269.25</v>
      </c>
      <c r="BV115" s="80">
        <f>AVERAGE(AN115:AQ115)</f>
        <v>291</v>
      </c>
      <c r="BW115" s="80">
        <f>AVERAGE(AR115:AU115)</f>
        <v>407.75</v>
      </c>
      <c r="BX115" s="80">
        <f t="shared" si="531"/>
        <v>452.75</v>
      </c>
      <c r="BY115" s="80">
        <f t="shared" si="533"/>
        <v>460.625</v>
      </c>
      <c r="BZ115" s="80">
        <f>AVERAGE(BD115:BG115)</f>
        <v>463.25</v>
      </c>
      <c r="CA115" s="81">
        <f>AVERAGE(BH115:BK115)</f>
        <v>465.25</v>
      </c>
      <c r="CB115" s="19"/>
      <c r="CC115" s="544">
        <f>AVERAGE(E115:H115)</f>
        <v>213.25</v>
      </c>
      <c r="CD115" s="80">
        <f>AVERAGE(I115:L115)</f>
        <v>215.25</v>
      </c>
      <c r="CE115" s="80">
        <f>AVERAGE(M115:P115)</f>
        <v>219</v>
      </c>
      <c r="CF115" s="80">
        <f>AVERAGE(Q115:T115)</f>
        <v>227.75</v>
      </c>
      <c r="CG115" s="80">
        <f>AVERAGE(U115:X115)</f>
        <v>247.75</v>
      </c>
      <c r="CH115" s="81">
        <f>AVERAGE(Y115:AB115)</f>
        <v>251.75</v>
      </c>
      <c r="CI115" s="80">
        <f>AVERAGE(AC115:AF115)</f>
        <v>250.25</v>
      </c>
      <c r="CJ115" s="80">
        <f>AVERAGE(AG115:AJ115)</f>
        <v>254.25</v>
      </c>
      <c r="CK115" s="80">
        <f>AVERAGE(AK115:AN115)</f>
        <v>276</v>
      </c>
      <c r="CL115" s="80">
        <f>AVERAGE(AO115:AR115)</f>
        <v>293.5</v>
      </c>
      <c r="CM115" s="80">
        <f>AVERAGE(AS115:AV115)</f>
        <v>446</v>
      </c>
      <c r="CN115" s="80">
        <f>AVERAGE(AW115:AZ115)</f>
        <v>455.25</v>
      </c>
      <c r="CO115" s="80">
        <f>AVERAGE(BA115:BD115)</f>
        <v>461.75</v>
      </c>
      <c r="CP115" s="81">
        <f>AVERAGE(BE115:BH115)</f>
        <v>463.75</v>
      </c>
      <c r="CQ115" s="7"/>
      <c r="CX115" s="7"/>
    </row>
    <row r="116" spans="1:102" ht="14.25" customHeight="1">
      <c r="A116" s="7"/>
      <c r="B116" s="35" t="s">
        <v>13</v>
      </c>
      <c r="C116" s="36"/>
      <c r="D116" s="82">
        <f t="shared" ref="D116:AO116" si="539">D114/D113</f>
        <v>1</v>
      </c>
      <c r="E116" s="83">
        <f t="shared" si="539"/>
        <v>1</v>
      </c>
      <c r="F116" s="83">
        <f t="shared" si="539"/>
        <v>1</v>
      </c>
      <c r="G116" s="84">
        <f t="shared" si="539"/>
        <v>1</v>
      </c>
      <c r="H116" s="82">
        <f t="shared" si="539"/>
        <v>1</v>
      </c>
      <c r="I116" s="83">
        <f t="shared" si="539"/>
        <v>1</v>
      </c>
      <c r="J116" s="83">
        <f t="shared" si="539"/>
        <v>1</v>
      </c>
      <c r="K116" s="84">
        <f t="shared" si="539"/>
        <v>1</v>
      </c>
      <c r="L116" s="82">
        <f t="shared" si="539"/>
        <v>1</v>
      </c>
      <c r="M116" s="83">
        <f t="shared" si="539"/>
        <v>1</v>
      </c>
      <c r="N116" s="83">
        <f t="shared" si="539"/>
        <v>1.0233644859813085</v>
      </c>
      <c r="O116" s="84">
        <f t="shared" si="539"/>
        <v>1</v>
      </c>
      <c r="P116" s="82">
        <f t="shared" si="539"/>
        <v>1.0233644859813085</v>
      </c>
      <c r="Q116" s="83">
        <f t="shared" si="539"/>
        <v>1</v>
      </c>
      <c r="R116" s="83">
        <f t="shared" si="539"/>
        <v>1.0234741784037558</v>
      </c>
      <c r="S116" s="84">
        <f t="shared" si="539"/>
        <v>1</v>
      </c>
      <c r="T116" s="83">
        <f t="shared" si="539"/>
        <v>1.0338983050847457</v>
      </c>
      <c r="U116" s="83">
        <f t="shared" si="539"/>
        <v>1.0336134453781514</v>
      </c>
      <c r="V116" s="83">
        <f t="shared" si="539"/>
        <v>1.0334728033472804</v>
      </c>
      <c r="W116" s="84">
        <f t="shared" si="539"/>
        <v>1.024793388429752</v>
      </c>
      <c r="X116" s="83">
        <f t="shared" si="539"/>
        <v>1.0330578512396693</v>
      </c>
      <c r="Y116" s="83">
        <f t="shared" si="539"/>
        <v>1.0285714285714285</v>
      </c>
      <c r="Z116" s="83">
        <f t="shared" si="539"/>
        <v>1.0284552845528456</v>
      </c>
      <c r="AA116" s="84">
        <f t="shared" si="539"/>
        <v>1.024390243902439</v>
      </c>
      <c r="AB116" s="82">
        <f t="shared" si="539"/>
        <v>1.0204081632653061</v>
      </c>
      <c r="AC116" s="83">
        <f t="shared" si="539"/>
        <v>1.0245901639344261</v>
      </c>
      <c r="AD116" s="83">
        <f t="shared" si="539"/>
        <v>1.0204081632653061</v>
      </c>
      <c r="AE116" s="1483">
        <f t="shared" si="539"/>
        <v>1.0204081632653061</v>
      </c>
      <c r="AF116" s="83">
        <f t="shared" si="539"/>
        <v>1.0203252032520325</v>
      </c>
      <c r="AG116" s="83">
        <f t="shared" si="539"/>
        <v>1.024390243902439</v>
      </c>
      <c r="AH116" s="83">
        <f t="shared" si="539"/>
        <v>1.0161290322580645</v>
      </c>
      <c r="AI116" s="84">
        <f t="shared" si="539"/>
        <v>1.0201612903225807</v>
      </c>
      <c r="AJ116" s="82">
        <f>AJ114/AJ113</f>
        <v>1.0240963855421688</v>
      </c>
      <c r="AK116" s="83">
        <f>AK114/AK113</f>
        <v>1.0278884462151394</v>
      </c>
      <c r="AL116" s="83">
        <f>AL114/AL113</f>
        <v>1</v>
      </c>
      <c r="AM116" s="84">
        <f>AM114/AM113</f>
        <v>1.0708661417322836</v>
      </c>
      <c r="AN116" s="82">
        <f>AN114/AN113</f>
        <v>1.0901960784313725</v>
      </c>
      <c r="AO116" s="83">
        <f t="shared" si="539"/>
        <v>1.1007751937984496</v>
      </c>
      <c r="AP116" s="83">
        <f>AP114/AP113</f>
        <v>1.0830188679245283</v>
      </c>
      <c r="AQ116" s="84">
        <f>AQ114/AQ113</f>
        <v>1.0398550724637681</v>
      </c>
      <c r="AR116" s="82">
        <f>AR114/AR113</f>
        <v>1.0433212996389891</v>
      </c>
      <c r="AS116" s="83">
        <f t="shared" ref="AS116" si="540">AS114/AS113</f>
        <v>1.0586734693877551</v>
      </c>
      <c r="AT116" s="83">
        <f>AT114/AT113</f>
        <v>1.0580808080808082</v>
      </c>
      <c r="AU116" s="84">
        <f>AU114/AU113</f>
        <v>1.0577889447236182</v>
      </c>
      <c r="AV116" s="82">
        <f>AV114/AV113</f>
        <v>1.100250626566416</v>
      </c>
      <c r="AW116" s="83">
        <f t="shared" ref="AW116:BC116" si="541">AW114/AW113</f>
        <v>1.096774193548387</v>
      </c>
      <c r="AX116" s="83">
        <f t="shared" si="541"/>
        <v>1.0933660933660934</v>
      </c>
      <c r="AY116" s="83">
        <f t="shared" si="541"/>
        <v>1.0392156862745099</v>
      </c>
      <c r="AZ116" s="82">
        <f>AZ114/AZ113</f>
        <v>1.0390243902439025</v>
      </c>
      <c r="BA116" s="83">
        <f t="shared" si="541"/>
        <v>1.0387409200968523</v>
      </c>
      <c r="BB116" s="83">
        <f t="shared" si="541"/>
        <v>1.0386940749697702</v>
      </c>
      <c r="BC116" s="84">
        <f t="shared" si="541"/>
        <v>1.038647342995169</v>
      </c>
      <c r="BD116" s="82">
        <f t="shared" ref="BD116:BG116" si="542">BD114/BD113</f>
        <v>1.0386007237635706</v>
      </c>
      <c r="BE116" s="83">
        <f t="shared" si="542"/>
        <v>1.03855421686747</v>
      </c>
      <c r="BF116" s="83">
        <f t="shared" si="542"/>
        <v>1.0385078219013237</v>
      </c>
      <c r="BG116" s="1483">
        <f t="shared" si="542"/>
        <v>1.0384615384615385</v>
      </c>
      <c r="BH116" s="83">
        <f t="shared" ref="BH116:BK116" si="543">BH114/BH113</f>
        <v>1.0384153661464586</v>
      </c>
      <c r="BI116" s="83">
        <f t="shared" si="543"/>
        <v>1.0383693045563549</v>
      </c>
      <c r="BJ116" s="83">
        <f t="shared" si="543"/>
        <v>1.0383233532934131</v>
      </c>
      <c r="BK116" s="84">
        <f t="shared" si="543"/>
        <v>1.0382775119617225</v>
      </c>
      <c r="BL116" s="19"/>
      <c r="BM116" s="82">
        <f t="shared" ref="BM116:BV116" si="544">BM114/BM113</f>
        <v>1</v>
      </c>
      <c r="BN116" s="83">
        <f t="shared" si="544"/>
        <v>1</v>
      </c>
      <c r="BO116" s="83">
        <f t="shared" si="544"/>
        <v>1.0057405281285878</v>
      </c>
      <c r="BP116" s="83">
        <f t="shared" si="544"/>
        <v>1.0114155251141552</v>
      </c>
      <c r="BQ116" s="83">
        <f t="shared" si="544"/>
        <v>1.0314136125654449</v>
      </c>
      <c r="BR116" s="83">
        <f t="shared" si="544"/>
        <v>1.0286006128702758</v>
      </c>
      <c r="BS116" s="83">
        <f t="shared" si="544"/>
        <v>1.0214504596527068</v>
      </c>
      <c r="BT116" s="84">
        <f t="shared" si="544"/>
        <v>1.0202429149797572</v>
      </c>
      <c r="BU116" s="82">
        <f t="shared" si="544"/>
        <v>1.0308151093439364</v>
      </c>
      <c r="BV116" s="83">
        <f t="shared" si="544"/>
        <v>1.077798861480076</v>
      </c>
      <c r="BW116" s="83">
        <f>BW114/BW113</f>
        <v>1.0553656869446344</v>
      </c>
      <c r="BX116" s="83">
        <f>BX114/BX113</f>
        <v>1.0822510822510822</v>
      </c>
      <c r="BY116" s="83">
        <f>BY114/BY113</f>
        <v>1.0387761284459254</v>
      </c>
      <c r="BZ116" s="83">
        <f>BZ114/BZ113</f>
        <v>1.0385310054184227</v>
      </c>
      <c r="CA116" s="84">
        <f>CA114/CA113</f>
        <v>1.0383463151587777</v>
      </c>
      <c r="CB116" s="19"/>
      <c r="CC116" s="82">
        <f t="shared" ref="CC116:CJ116" si="545">CC114/CC113</f>
        <v>1</v>
      </c>
      <c r="CD116" s="83">
        <f t="shared" si="545"/>
        <v>1</v>
      </c>
      <c r="CE116" s="83">
        <f t="shared" si="545"/>
        <v>1.0115473441108545</v>
      </c>
      <c r="CF116" s="83">
        <f t="shared" si="545"/>
        <v>1.0144766146993318</v>
      </c>
      <c r="CG116" s="83">
        <f t="shared" si="545"/>
        <v>1.0312174817898023</v>
      </c>
      <c r="CH116" s="84">
        <f t="shared" si="545"/>
        <v>1.025458248472505</v>
      </c>
      <c r="CI116" s="83">
        <f t="shared" si="545"/>
        <v>1.0214285714285714</v>
      </c>
      <c r="CJ116" s="83">
        <f t="shared" si="545"/>
        <v>1.0211907164480323</v>
      </c>
      <c r="CK116" s="83">
        <f t="shared" ref="CK116:CP116" si="546">CK114/CK113</f>
        <v>1.0474308300395256</v>
      </c>
      <c r="CL116" s="83">
        <f t="shared" si="546"/>
        <v>1.0659851301115242</v>
      </c>
      <c r="CM116" s="83">
        <f t="shared" si="546"/>
        <v>1.068769716088328</v>
      </c>
      <c r="CN116" s="83">
        <f t="shared" si="546"/>
        <v>1.066953316953317</v>
      </c>
      <c r="CO116" s="83">
        <f t="shared" si="546"/>
        <v>1.0386706948640483</v>
      </c>
      <c r="CP116" s="84">
        <f t="shared" si="546"/>
        <v>1.0384846662657847</v>
      </c>
      <c r="CQ116" s="7"/>
      <c r="CX116" s="7"/>
    </row>
    <row r="117" spans="1:102" ht="14.25" customHeight="1">
      <c r="A117" s="7"/>
      <c r="B117" s="21"/>
      <c r="C117" s="22"/>
      <c r="D117" s="50"/>
      <c r="E117" s="40"/>
      <c r="F117" s="40"/>
      <c r="G117" s="41"/>
      <c r="H117" s="50"/>
      <c r="I117" s="40"/>
      <c r="J117" s="40"/>
      <c r="K117" s="41"/>
      <c r="L117" s="50"/>
      <c r="M117" s="40"/>
      <c r="N117" s="40"/>
      <c r="O117" s="41"/>
      <c r="P117" s="50"/>
      <c r="Q117" s="40"/>
      <c r="R117" s="40"/>
      <c r="S117" s="41"/>
      <c r="T117" s="40"/>
      <c r="U117" s="40"/>
      <c r="V117" s="40"/>
      <c r="W117" s="41"/>
      <c r="X117" s="40"/>
      <c r="Y117" s="40"/>
      <c r="Z117" s="40"/>
      <c r="AA117" s="41"/>
      <c r="AB117" s="50"/>
      <c r="AC117" s="40"/>
      <c r="AD117" s="40"/>
      <c r="AE117" s="1430"/>
      <c r="AF117" s="40"/>
      <c r="AG117" s="40"/>
      <c r="AH117" s="40"/>
      <c r="AI117" s="41"/>
      <c r="AJ117" s="50"/>
      <c r="AK117" s="40"/>
      <c r="AL117" s="40"/>
      <c r="AM117" s="41"/>
      <c r="AN117" s="50"/>
      <c r="AO117" s="40"/>
      <c r="AP117" s="40"/>
      <c r="AQ117" s="41"/>
      <c r="AR117" s="50"/>
      <c r="AS117" s="40"/>
      <c r="AT117" s="40"/>
      <c r="AU117" s="41"/>
      <c r="AV117" s="50"/>
      <c r="AW117" s="40"/>
      <c r="AX117" s="40"/>
      <c r="AY117" s="40"/>
      <c r="AZ117" s="50"/>
      <c r="BA117" s="40"/>
      <c r="BB117" s="40"/>
      <c r="BC117" s="41"/>
      <c r="BD117" s="50"/>
      <c r="BE117" s="40"/>
      <c r="BF117" s="40"/>
      <c r="BG117" s="1430"/>
      <c r="BH117" s="40"/>
      <c r="BI117" s="40"/>
      <c r="BJ117" s="40"/>
      <c r="BK117" s="41"/>
      <c r="BL117" s="19"/>
      <c r="BM117" s="50"/>
      <c r="BN117" s="40"/>
      <c r="BO117" s="40"/>
      <c r="BP117" s="40"/>
      <c r="BQ117" s="40"/>
      <c r="BR117" s="40"/>
      <c r="BS117" s="40"/>
      <c r="BT117" s="41"/>
      <c r="BU117" s="50"/>
      <c r="BV117" s="40"/>
      <c r="BW117" s="40"/>
      <c r="BX117" s="40"/>
      <c r="BY117" s="40"/>
      <c r="BZ117" s="40"/>
      <c r="CA117" s="41"/>
      <c r="CB117" s="19"/>
      <c r="CC117" s="50"/>
      <c r="CD117" s="40"/>
      <c r="CE117" s="40"/>
      <c r="CF117" s="40"/>
      <c r="CG117" s="40"/>
      <c r="CH117" s="41"/>
      <c r="CI117" s="40"/>
      <c r="CJ117" s="40"/>
      <c r="CK117" s="40"/>
      <c r="CL117" s="40"/>
      <c r="CM117" s="40"/>
      <c r="CN117" s="40"/>
      <c r="CO117" s="40"/>
      <c r="CP117" s="41"/>
      <c r="CQ117" s="7"/>
      <c r="CX117" s="7"/>
    </row>
    <row r="118" spans="1:102" ht="14.25" customHeight="1">
      <c r="A118" s="7"/>
      <c r="B118" s="21" t="s">
        <v>246</v>
      </c>
      <c r="C118" s="22"/>
      <c r="D118" s="74">
        <f>D114</f>
        <v>213</v>
      </c>
      <c r="E118" s="75">
        <f t="shared" ref="E118:N118" si="547">E114</f>
        <v>213</v>
      </c>
      <c r="F118" s="75">
        <f t="shared" si="547"/>
        <v>213</v>
      </c>
      <c r="G118" s="76">
        <f t="shared" si="547"/>
        <v>213</v>
      </c>
      <c r="H118" s="74">
        <f t="shared" si="547"/>
        <v>214</v>
      </c>
      <c r="I118" s="75">
        <f t="shared" si="547"/>
        <v>214</v>
      </c>
      <c r="J118" s="75">
        <f t="shared" si="547"/>
        <v>214</v>
      </c>
      <c r="K118" s="76">
        <f t="shared" si="547"/>
        <v>214</v>
      </c>
      <c r="L118" s="74">
        <f t="shared" si="547"/>
        <v>219</v>
      </c>
      <c r="M118" s="75">
        <f t="shared" si="547"/>
        <v>219</v>
      </c>
      <c r="N118" s="75">
        <f t="shared" si="547"/>
        <v>219</v>
      </c>
      <c r="O118" s="79">
        <v>213.517292</v>
      </c>
      <c r="P118" s="74">
        <f>P114</f>
        <v>219</v>
      </c>
      <c r="Q118" s="75">
        <f>Q114</f>
        <v>214</v>
      </c>
      <c r="R118" s="78">
        <v>213.283874</v>
      </c>
      <c r="S118" s="79">
        <v>235.392897</v>
      </c>
      <c r="T118" s="78">
        <v>236.05496600000001</v>
      </c>
      <c r="U118" s="78">
        <v>238.58638999999999</v>
      </c>
      <c r="V118" s="78">
        <v>239.08446900000001</v>
      </c>
      <c r="W118" s="31">
        <v>239.88823099999999</v>
      </c>
      <c r="X118" s="78">
        <v>243.427133</v>
      </c>
      <c r="Y118" s="78">
        <v>239.88823099999999</v>
      </c>
      <c r="Z118" s="78">
        <v>245.50456600000001</v>
      </c>
      <c r="AA118" s="31">
        <v>245.96232000000001</v>
      </c>
      <c r="AB118" s="74">
        <f>AB113</f>
        <v>245</v>
      </c>
      <c r="AC118" s="75">
        <f t="shared" ref="AC118:BK118" si="548">AC113</f>
        <v>244</v>
      </c>
      <c r="AD118" s="75">
        <f t="shared" si="548"/>
        <v>245</v>
      </c>
      <c r="AE118" s="1388">
        <f t="shared" si="548"/>
        <v>245</v>
      </c>
      <c r="AF118" s="74">
        <f>AF113</f>
        <v>246</v>
      </c>
      <c r="AG118" s="75">
        <f t="shared" si="548"/>
        <v>246</v>
      </c>
      <c r="AH118" s="75">
        <f t="shared" si="548"/>
        <v>248</v>
      </c>
      <c r="AI118" s="1388">
        <f t="shared" si="548"/>
        <v>248</v>
      </c>
      <c r="AJ118" s="74">
        <f>AJ113</f>
        <v>249</v>
      </c>
      <c r="AK118" s="75">
        <f t="shared" si="548"/>
        <v>251</v>
      </c>
      <c r="AL118" s="75">
        <f t="shared" si="548"/>
        <v>252</v>
      </c>
      <c r="AM118" s="1388">
        <f t="shared" si="548"/>
        <v>254</v>
      </c>
      <c r="AN118" s="74">
        <f>AN113</f>
        <v>255</v>
      </c>
      <c r="AO118" s="75">
        <f t="shared" si="548"/>
        <v>258</v>
      </c>
      <c r="AP118" s="75">
        <f t="shared" si="548"/>
        <v>265</v>
      </c>
      <c r="AQ118" s="1388">
        <f t="shared" si="548"/>
        <v>276</v>
      </c>
      <c r="AR118" s="74">
        <f>AR113</f>
        <v>277</v>
      </c>
      <c r="AS118" s="75">
        <f t="shared" si="548"/>
        <v>392</v>
      </c>
      <c r="AT118" s="75">
        <f t="shared" si="548"/>
        <v>396</v>
      </c>
      <c r="AU118" s="1388">
        <f t="shared" si="548"/>
        <v>398</v>
      </c>
      <c r="AV118" s="74">
        <f>AV113</f>
        <v>399</v>
      </c>
      <c r="AW118" s="75">
        <f t="shared" si="548"/>
        <v>403</v>
      </c>
      <c r="AX118" s="75">
        <f t="shared" si="548"/>
        <v>407</v>
      </c>
      <c r="AY118" s="1388">
        <f t="shared" si="548"/>
        <v>408</v>
      </c>
      <c r="AZ118" s="74">
        <f>AZ113</f>
        <v>410</v>
      </c>
      <c r="BA118" s="75">
        <f t="shared" si="548"/>
        <v>413</v>
      </c>
      <c r="BB118" s="75">
        <f t="shared" si="548"/>
        <v>413.5</v>
      </c>
      <c r="BC118" s="1388">
        <f t="shared" si="548"/>
        <v>414</v>
      </c>
      <c r="BD118" s="74">
        <f>BD113</f>
        <v>414.5</v>
      </c>
      <c r="BE118" s="75">
        <f t="shared" si="548"/>
        <v>415</v>
      </c>
      <c r="BF118" s="75">
        <f t="shared" si="548"/>
        <v>415.5</v>
      </c>
      <c r="BG118" s="1388">
        <f t="shared" si="548"/>
        <v>416</v>
      </c>
      <c r="BH118" s="75">
        <f>BH113</f>
        <v>416.5</v>
      </c>
      <c r="BI118" s="75">
        <f t="shared" si="548"/>
        <v>417</v>
      </c>
      <c r="BJ118" s="75">
        <f t="shared" si="548"/>
        <v>417.5</v>
      </c>
      <c r="BK118" s="1388">
        <f t="shared" si="548"/>
        <v>418</v>
      </c>
      <c r="BL118" s="19"/>
      <c r="BM118" s="544">
        <f>AVERAGE(D118:G118)</f>
        <v>213</v>
      </c>
      <c r="BN118" s="80">
        <f>AVERAGE(H118:K118)</f>
        <v>214</v>
      </c>
      <c r="BO118" s="80">
        <f>AVERAGE(L118:O118)</f>
        <v>217.629323</v>
      </c>
      <c r="BP118" s="80">
        <f>AVERAGE(P118:S118)</f>
        <v>220.41919274999998</v>
      </c>
      <c r="BQ118" s="80">
        <f>AVERAGE(T118:W118)</f>
        <v>238.403514</v>
      </c>
      <c r="BR118" s="80">
        <f>AVERAGE(X118:AA118)</f>
        <v>243.69556249999999</v>
      </c>
      <c r="BS118" s="80">
        <f>AVERAGE(AB118:AE118)</f>
        <v>244.75</v>
      </c>
      <c r="BT118" s="81">
        <f>AVERAGE(AF118:AI118)</f>
        <v>247</v>
      </c>
      <c r="BU118" s="544">
        <f>AVERAGE(AJ118:AM118)</f>
        <v>251.5</v>
      </c>
      <c r="BV118" s="80">
        <f>AVERAGE(AN118:AQ118)</f>
        <v>263.5</v>
      </c>
      <c r="BW118" s="80">
        <f>AVERAGE(AR118:AU118)</f>
        <v>365.75</v>
      </c>
      <c r="BX118" s="80">
        <f t="shared" ref="BX118" si="549">AVERAGE(AV118:AY118)</f>
        <v>404.25</v>
      </c>
      <c r="BY118" s="80">
        <f t="shared" ref="BY118" si="550">AVERAGE(AZ118:BC118)</f>
        <v>412.625</v>
      </c>
      <c r="BZ118" s="80">
        <f>AVERAGE(BD118:BG118)</f>
        <v>415.25</v>
      </c>
      <c r="CA118" s="81">
        <f>AVERAGE(BH118:BK118)</f>
        <v>417.25</v>
      </c>
      <c r="CB118" s="19"/>
      <c r="CC118" s="544">
        <f>H118</f>
        <v>214</v>
      </c>
      <c r="CD118" s="80">
        <f>L118</f>
        <v>219</v>
      </c>
      <c r="CE118" s="80">
        <f>P118</f>
        <v>219</v>
      </c>
      <c r="CF118" s="80">
        <f>T118</f>
        <v>236.05496600000001</v>
      </c>
      <c r="CG118" s="80">
        <f>X118</f>
        <v>243.427133</v>
      </c>
      <c r="CH118" s="81">
        <f>AB118</f>
        <v>245</v>
      </c>
      <c r="CI118" s="80">
        <f>AF118</f>
        <v>246</v>
      </c>
      <c r="CJ118" s="80">
        <f>AJ118</f>
        <v>249</v>
      </c>
      <c r="CK118" s="80">
        <f>AN118</f>
        <v>255</v>
      </c>
      <c r="CL118" s="80">
        <f>AR118</f>
        <v>277</v>
      </c>
      <c r="CM118" s="80">
        <f>AV118</f>
        <v>399</v>
      </c>
      <c r="CN118" s="80">
        <f>AVERAGE(AW118:AZ118)</f>
        <v>407</v>
      </c>
      <c r="CO118" s="80">
        <f>AVERAGE(BA118:BD118)</f>
        <v>413.75</v>
      </c>
      <c r="CP118" s="81">
        <f>AVERAGE(BE118:BH118)</f>
        <v>415.75</v>
      </c>
      <c r="CQ118" s="7"/>
      <c r="CX118" s="7"/>
    </row>
    <row r="119" spans="1:102" ht="14.25" customHeight="1">
      <c r="A119" s="7"/>
      <c r="B119" s="21"/>
      <c r="C119" s="22"/>
      <c r="D119" s="77"/>
      <c r="E119" s="78"/>
      <c r="F119" s="78"/>
      <c r="G119" s="79"/>
      <c r="H119" s="77"/>
      <c r="I119" s="78"/>
      <c r="J119" s="78"/>
      <c r="K119" s="79"/>
      <c r="L119" s="77"/>
      <c r="M119" s="78"/>
      <c r="N119" s="78"/>
      <c r="O119" s="79"/>
      <c r="P119" s="77"/>
      <c r="Q119" s="78"/>
      <c r="R119" s="78"/>
      <c r="S119" s="79"/>
      <c r="T119" s="78"/>
      <c r="U119" s="85"/>
      <c r="V119" s="85"/>
      <c r="W119" s="86"/>
      <c r="X119" s="78"/>
      <c r="Y119" s="85"/>
      <c r="Z119" s="85"/>
      <c r="AA119" s="86"/>
      <c r="AB119" s="77"/>
      <c r="AC119" s="85"/>
      <c r="AD119" s="85"/>
      <c r="AE119" s="1484"/>
      <c r="AF119" s="78"/>
      <c r="AG119" s="85"/>
      <c r="AH119" s="85"/>
      <c r="AI119" s="86"/>
      <c r="AJ119" s="77"/>
      <c r="AK119" s="85"/>
      <c r="AL119" s="85"/>
      <c r="AM119" s="86"/>
      <c r="AN119" s="77"/>
      <c r="AO119" s="85"/>
      <c r="AP119" s="85"/>
      <c r="AQ119" s="86"/>
      <c r="AR119" s="77"/>
      <c r="AS119" s="85"/>
      <c r="AT119" s="85"/>
      <c r="AU119" s="86"/>
      <c r="AV119" s="77"/>
      <c r="AW119" s="85"/>
      <c r="AX119" s="85"/>
      <c r="AY119" s="85"/>
      <c r="AZ119" s="77"/>
      <c r="BA119" s="85"/>
      <c r="BB119" s="85"/>
      <c r="BC119" s="86"/>
      <c r="BD119" s="1487"/>
      <c r="BE119" s="85"/>
      <c r="BF119" s="85"/>
      <c r="BG119" s="1484"/>
      <c r="BH119" s="85"/>
      <c r="BI119" s="85"/>
      <c r="BJ119" s="85"/>
      <c r="BK119" s="86"/>
      <c r="BL119" s="19"/>
      <c r="BM119" s="50"/>
      <c r="BN119" s="40"/>
      <c r="BO119" s="40"/>
      <c r="BP119" s="40"/>
      <c r="BQ119" s="40"/>
      <c r="BR119" s="40"/>
      <c r="BS119" s="40"/>
      <c r="BT119" s="41"/>
      <c r="BU119" s="50"/>
      <c r="BV119" s="40"/>
      <c r="BW119" s="40"/>
      <c r="BX119" s="40"/>
      <c r="BY119" s="40"/>
      <c r="BZ119" s="40"/>
      <c r="CA119" s="41"/>
      <c r="CB119" s="19"/>
      <c r="CC119" s="50"/>
      <c r="CD119" s="40"/>
      <c r="CE119" s="40"/>
      <c r="CF119" s="40"/>
      <c r="CG119" s="40"/>
      <c r="CH119" s="41"/>
      <c r="CI119" s="40"/>
      <c r="CJ119" s="40"/>
      <c r="CK119" s="40"/>
      <c r="CL119" s="40"/>
      <c r="CM119" s="40"/>
      <c r="CN119" s="40"/>
      <c r="CO119" s="40"/>
      <c r="CP119" s="41"/>
      <c r="CQ119" s="7"/>
      <c r="CX119" s="7"/>
    </row>
    <row r="120" spans="1:102" ht="14.25" customHeight="1">
      <c r="A120" s="7"/>
      <c r="B120" s="21" t="s">
        <v>22</v>
      </c>
      <c r="C120" s="22"/>
      <c r="D120" s="77">
        <f>-'CFS '!D41/'AVGO IS'!D118</f>
        <v>0</v>
      </c>
      <c r="E120" s="78">
        <f>-'CFS '!E41/'AVGO IS'!E118</f>
        <v>0</v>
      </c>
      <c r="F120" s="78">
        <f>-'CFS '!F41/'AVGO IS'!F118</f>
        <v>0</v>
      </c>
      <c r="G120" s="79">
        <f>-'CFS '!G41/'AVGO IS'!G118</f>
        <v>0</v>
      </c>
      <c r="H120" s="77">
        <f>-'CFS '!H41/'AVGO IS'!H118</f>
        <v>0</v>
      </c>
      <c r="I120" s="78">
        <f>-'CFS '!I41/'AVGO IS'!I118</f>
        <v>0</v>
      </c>
      <c r="J120" s="78">
        <f>-'CFS '!J41/'AVGO IS'!J118</f>
        <v>0</v>
      </c>
      <c r="K120" s="79">
        <f>-'CFS '!K41/'AVGO IS'!K118</f>
        <v>0</v>
      </c>
      <c r="L120" s="77">
        <f>-'CFS '!L41/'AVGO IS'!L118</f>
        <v>0</v>
      </c>
      <c r="M120" s="78">
        <f>-'CFS '!M41/'AVGO IS'!M118</f>
        <v>0</v>
      </c>
      <c r="N120" s="78">
        <f>-'CFS '!N41/'AVGO IS'!N118</f>
        <v>0</v>
      </c>
      <c r="O120" s="79">
        <f>-'CFS '!O41/'AVGO IS'!O118</f>
        <v>0</v>
      </c>
      <c r="P120" s="77">
        <f>-'CFS '!P41/'AVGO IS'!P118</f>
        <v>0</v>
      </c>
      <c r="Q120" s="318">
        <f>-'CFS '!Q41/'AVGO IS'!Q118</f>
        <v>0</v>
      </c>
      <c r="R120" s="318">
        <f>-'CFS '!R41/'AVGO IS'!R118</f>
        <v>0</v>
      </c>
      <c r="S120" s="319">
        <f>-'CFS '!S41/'AVGO IS'!S118</f>
        <v>0</v>
      </c>
      <c r="T120" s="318">
        <f>-'CFS '!T41/'AVGO IS'!T118</f>
        <v>0</v>
      </c>
      <c r="U120" s="318">
        <f>-'CFS '!U41/'AVGO IS'!U118</f>
        <v>0</v>
      </c>
      <c r="V120" s="318">
        <f>-'CFS '!V41/'AVGO IS'!V118</f>
        <v>0</v>
      </c>
      <c r="W120" s="319">
        <f>-'CFS '!W41/'AVGO IS'!W118</f>
        <v>0</v>
      </c>
      <c r="X120" s="322">
        <f>-'CFS '!X41/'AVGO IS'!X118</f>
        <v>6.9836093415272651E-2</v>
      </c>
      <c r="Y120" s="322">
        <f>-'CFS '!Y41/'AVGO IS'!Y118</f>
        <v>8.3372160095673886E-2</v>
      </c>
      <c r="Z120" s="322">
        <f>-'CFS '!Z41/'AVGO IS'!Z118</f>
        <v>8.9611367961278568E-2</v>
      </c>
      <c r="AA120" s="321">
        <f>-'CFS '!AA41/'AVGO IS'!AA118</f>
        <v>0.10977291155816062</v>
      </c>
      <c r="AB120" s="328">
        <f>-'CFS '!AB41/'AVGO IS'!AB118</f>
        <v>0.11836734693877551</v>
      </c>
      <c r="AC120" s="322">
        <f>-'CFS '!AC41/'AVGO IS'!AC118</f>
        <v>0.13114754098360656</v>
      </c>
      <c r="AD120" s="322">
        <f>-'CFS '!AD41/'AVGO IS'!AD118</f>
        <v>0.15102040816326531</v>
      </c>
      <c r="AE120" s="1485">
        <f>-'CFS '!AE41/'AVGO IS'!AE118</f>
        <v>0.15918367346938775</v>
      </c>
      <c r="AF120" s="322">
        <f>-'CFS '!AF41/'AVGO IS'!AF118</f>
        <v>0.17073170731707318</v>
      </c>
      <c r="AG120" s="322">
        <f>-'CFS '!AG41/'AVGO IS'!AG118</f>
        <v>0.1910569105691057</v>
      </c>
      <c r="AH120" s="322">
        <f>+AG120</f>
        <v>0.1910569105691057</v>
      </c>
      <c r="AI120" s="321">
        <f>-'CFS '!AI41/'AVGO IS'!AI118</f>
        <v>0.22983870967741934</v>
      </c>
      <c r="AJ120" s="328">
        <f>-'CFS '!AJ41/'AVGO IS'!AJ118</f>
        <v>0.24899598393574296</v>
      </c>
      <c r="AK120" s="322">
        <f>-'CFS '!AK41/'AVGO IS'!AK118</f>
        <v>0.27091633466135456</v>
      </c>
      <c r="AL120" s="322">
        <f t="shared" ref="AL120:AP120" si="551">+AK120</f>
        <v>0.27091633466135456</v>
      </c>
      <c r="AM120" s="321">
        <f>-'CFS '!AM41/'AVGO IS'!AM118</f>
        <v>0.31889763779527558</v>
      </c>
      <c r="AN120" s="328">
        <f>-'CFS '!AN41/'AVGO IS'!AN118</f>
        <v>0.34901960784313724</v>
      </c>
      <c r="AO120" s="322">
        <f t="shared" si="551"/>
        <v>0.34901960784313724</v>
      </c>
      <c r="AP120" s="322">
        <f t="shared" si="551"/>
        <v>0.34901960784313724</v>
      </c>
      <c r="AQ120" s="321">
        <f>-'CFS '!AQ41/'AVGO IS'!AQ118</f>
        <v>0.42028985507246375</v>
      </c>
      <c r="AR120" s="328">
        <f>-'CFS '!AR41/'AVGO IS'!AR118</f>
        <v>0.44043321299638988</v>
      </c>
      <c r="AS120" s="322">
        <f t="shared" ref="AS120:AT120" si="552">+AR120</f>
        <v>0.44043321299638988</v>
      </c>
      <c r="AT120" s="322">
        <f t="shared" si="552"/>
        <v>0.44043321299638988</v>
      </c>
      <c r="AU120" s="321">
        <f>-'CFS '!AU41/'AVGO IS'!AU118</f>
        <v>0.53517587939698497</v>
      </c>
      <c r="AV120" s="328">
        <f>-'CFS '!AV41/'AVGO IS'!AV118</f>
        <v>1.0802005012531328</v>
      </c>
      <c r="AW120" s="322">
        <f>-'CFS '!AW41/'AVGO IS'!AW118</f>
        <v>1.0843672456575681</v>
      </c>
      <c r="AX120" s="322">
        <f t="shared" ref="AX120" si="553">+AW120</f>
        <v>1.0843672456575681</v>
      </c>
      <c r="AY120" s="322">
        <f t="shared" ref="AY120:BC120" si="554">+AX120</f>
        <v>1.0843672456575681</v>
      </c>
      <c r="AZ120" s="328">
        <f>AY120</f>
        <v>1.0843672456575681</v>
      </c>
      <c r="BA120" s="322">
        <f t="shared" si="554"/>
        <v>1.0843672456575681</v>
      </c>
      <c r="BB120" s="322">
        <f t="shared" si="554"/>
        <v>1.0843672456575681</v>
      </c>
      <c r="BC120" s="321">
        <f t="shared" si="554"/>
        <v>1.0843672456575681</v>
      </c>
      <c r="BD120" s="328">
        <f t="shared" ref="BD120" si="555">+BC120</f>
        <v>1.0843672456575681</v>
      </c>
      <c r="BE120" s="322">
        <f t="shared" ref="BE120" si="556">+BD120</f>
        <v>1.0843672456575681</v>
      </c>
      <c r="BF120" s="322">
        <f t="shared" ref="BF120" si="557">+BE120</f>
        <v>1.0843672456575681</v>
      </c>
      <c r="BG120" s="1485">
        <f t="shared" ref="BG120" si="558">+BF120</f>
        <v>1.0843672456575681</v>
      </c>
      <c r="BH120" s="322">
        <f t="shared" ref="BH120" si="559">+BG120</f>
        <v>1.0843672456575681</v>
      </c>
      <c r="BI120" s="322">
        <f t="shared" ref="BI120" si="560">+BH120</f>
        <v>1.0843672456575681</v>
      </c>
      <c r="BJ120" s="322">
        <f t="shared" ref="BJ120" si="561">+BI120</f>
        <v>1.0843672456575681</v>
      </c>
      <c r="BK120" s="321">
        <f t="shared" ref="BK120" si="562">+BJ120</f>
        <v>1.0843672456575681</v>
      </c>
      <c r="BL120" s="19"/>
      <c r="BM120" s="1082">
        <f>SUM(D120:G120)</f>
        <v>0</v>
      </c>
      <c r="BN120" s="1083">
        <f>SUM(H120:K120)</f>
        <v>0</v>
      </c>
      <c r="BO120" s="1083">
        <f>SUM(L120:O120)</f>
        <v>0</v>
      </c>
      <c r="BP120" s="1083">
        <f>SUM(P120:S120)</f>
        <v>0</v>
      </c>
      <c r="BQ120" s="1083">
        <f>SUM(T120:W120)</f>
        <v>0</v>
      </c>
      <c r="BR120" s="1083">
        <f>SUM(X120:AA120)</f>
        <v>0.35259253303038568</v>
      </c>
      <c r="BS120" s="1083">
        <f>SUM(AB120:AE120)</f>
        <v>0.5597189695550352</v>
      </c>
      <c r="BT120" s="1093">
        <f>SUM(AF120:AI120)</f>
        <v>0.78268423813270394</v>
      </c>
      <c r="BU120" s="1082">
        <f>SUM(AJ120:AM120)</f>
        <v>1.1097262910537276</v>
      </c>
      <c r="BV120" s="1083">
        <f>SUM(AN120:AQ120)</f>
        <v>1.4673486786018755</v>
      </c>
      <c r="BW120" s="1180">
        <f>SUM(AR120:AU120)</f>
        <v>1.8564755183861545</v>
      </c>
      <c r="BX120" s="1083">
        <f>SUM(AV120:AY120)</f>
        <v>4.3333022382258379</v>
      </c>
      <c r="BY120" s="1083">
        <f>SUM(AZ120:BC120)</f>
        <v>4.3374689826302726</v>
      </c>
      <c r="BZ120" s="1083">
        <f>SUM(BD120:BG120)</f>
        <v>4.3374689826302726</v>
      </c>
      <c r="CA120" s="1282">
        <f>SUM(BH120:BK120)</f>
        <v>4.3374689826302726</v>
      </c>
      <c r="CB120" s="19"/>
      <c r="CC120" s="34">
        <f>SUM(E120:H120)</f>
        <v>0</v>
      </c>
      <c r="CD120" s="32">
        <f>SUM(I120:L120)</f>
        <v>0</v>
      </c>
      <c r="CE120" s="32">
        <f>SUM(M120:P120)</f>
        <v>0</v>
      </c>
      <c r="CF120" s="32">
        <f>SUM(Q120:T120)</f>
        <v>0</v>
      </c>
      <c r="CG120" s="32">
        <f>SUM(U120:X120)</f>
        <v>6.9836093415272651E-2</v>
      </c>
      <c r="CH120" s="33">
        <f>SUM(Y120:AB120)</f>
        <v>0.40112378655388858</v>
      </c>
      <c r="CI120" s="32">
        <f>SUM(AC120:AF120)</f>
        <v>0.61208332993333281</v>
      </c>
      <c r="CJ120" s="32">
        <f>SUM(AG120:AJ120)</f>
        <v>0.86094851475137368</v>
      </c>
      <c r="CK120" s="32">
        <f>SUM(AK120:AN120)</f>
        <v>1.2097499149611219</v>
      </c>
      <c r="CL120" s="32">
        <f>SUM(AO120:AR120)</f>
        <v>1.558762283755128</v>
      </c>
      <c r="CM120" s="32">
        <f>SUM(AP120:AS120)</f>
        <v>1.6501758889083809</v>
      </c>
      <c r="CN120" s="32">
        <f>SUM(AW120:AZ120)</f>
        <v>4.3374689826302726</v>
      </c>
      <c r="CO120" s="32">
        <f>SUM(BA120:BD120)</f>
        <v>4.3374689826302726</v>
      </c>
      <c r="CP120" s="33">
        <f>SUM(BE120:BH120)</f>
        <v>4.3374689826302726</v>
      </c>
      <c r="CQ120" s="7"/>
      <c r="CX120" s="7"/>
    </row>
    <row r="121" spans="1:102" ht="14.25" customHeight="1">
      <c r="A121" s="7"/>
      <c r="B121" s="60" t="s">
        <v>23</v>
      </c>
      <c r="C121" s="61"/>
      <c r="D121" s="1037">
        <v>0.17</v>
      </c>
      <c r="E121" s="1036">
        <v>0.17</v>
      </c>
      <c r="F121" s="1036">
        <v>0.17</v>
      </c>
      <c r="G121" s="1035">
        <v>0.17</v>
      </c>
      <c r="H121" s="1037">
        <v>0.17</v>
      </c>
      <c r="I121" s="1036">
        <v>0.17</v>
      </c>
      <c r="J121" s="1036">
        <v>0.17</v>
      </c>
      <c r="K121" s="1035">
        <v>0.17</v>
      </c>
      <c r="L121" s="1037">
        <v>0.17</v>
      </c>
      <c r="M121" s="1036">
        <v>0.17</v>
      </c>
      <c r="N121" s="1036">
        <v>0.17</v>
      </c>
      <c r="O121" s="1035">
        <v>0.17</v>
      </c>
      <c r="P121" s="1037">
        <v>0.17</v>
      </c>
      <c r="Q121" s="1036">
        <v>0.17</v>
      </c>
      <c r="R121" s="1036">
        <v>0.17</v>
      </c>
      <c r="S121" s="1035">
        <v>0.17</v>
      </c>
      <c r="T121" s="1036">
        <v>0.17</v>
      </c>
      <c r="U121" s="1036">
        <v>0.17</v>
      </c>
      <c r="V121" s="1036">
        <v>0.17</v>
      </c>
      <c r="W121" s="1035">
        <v>0.17</v>
      </c>
      <c r="X121" s="1036">
        <v>0.17</v>
      </c>
      <c r="Y121" s="1036">
        <v>0.17</v>
      </c>
      <c r="Z121" s="1036">
        <v>0.17</v>
      </c>
      <c r="AA121" s="1035">
        <v>0.17</v>
      </c>
      <c r="AB121" s="1251">
        <v>0.17</v>
      </c>
      <c r="AC121" s="1250">
        <v>0.17</v>
      </c>
      <c r="AD121" s="1250">
        <v>0.17</v>
      </c>
      <c r="AE121" s="1249">
        <v>0.17</v>
      </c>
      <c r="AF121" s="1250">
        <v>0.17</v>
      </c>
      <c r="AG121" s="1036">
        <v>0.17</v>
      </c>
      <c r="AH121" s="1036">
        <v>0.17</v>
      </c>
      <c r="AI121" s="1035">
        <v>0.17</v>
      </c>
      <c r="AJ121" s="1037">
        <v>0.17</v>
      </c>
      <c r="AK121" s="1036">
        <v>0.17</v>
      </c>
      <c r="AL121" s="1036">
        <v>0.17</v>
      </c>
      <c r="AM121" s="1035">
        <v>0.17</v>
      </c>
      <c r="AN121" s="1037">
        <v>0.17</v>
      </c>
      <c r="AO121" s="1036">
        <v>0.17</v>
      </c>
      <c r="AP121" s="1036">
        <v>0.17</v>
      </c>
      <c r="AQ121" s="1035">
        <v>0.17</v>
      </c>
      <c r="AR121" s="1037">
        <v>0.17</v>
      </c>
      <c r="AS121" s="1036">
        <v>0.17</v>
      </c>
      <c r="AT121" s="1036">
        <v>0.17</v>
      </c>
      <c r="AU121" s="1035">
        <v>0.17</v>
      </c>
      <c r="AV121" s="1251">
        <v>0.17</v>
      </c>
      <c r="AW121" s="1250">
        <v>0.17</v>
      </c>
      <c r="AX121" s="1250">
        <v>0.17</v>
      </c>
      <c r="AY121" s="1267">
        <v>0.17</v>
      </c>
      <c r="AZ121" s="1251">
        <v>0.17</v>
      </c>
      <c r="BA121" s="1267">
        <v>0.17</v>
      </c>
      <c r="BB121" s="1267">
        <v>0.17</v>
      </c>
      <c r="BC121" s="1268">
        <v>0.17</v>
      </c>
      <c r="BD121" s="1100">
        <v>0.17</v>
      </c>
      <c r="BE121" s="1267">
        <v>0.17</v>
      </c>
      <c r="BF121" s="1267">
        <v>0.17</v>
      </c>
      <c r="BG121" s="1268">
        <v>0.17</v>
      </c>
      <c r="BH121" s="1267">
        <v>0.17</v>
      </c>
      <c r="BI121" s="1267">
        <v>0.17</v>
      </c>
      <c r="BJ121" s="1267">
        <v>0.17</v>
      </c>
      <c r="BK121" s="1268">
        <v>0.17</v>
      </c>
      <c r="BL121" s="19"/>
      <c r="BM121" s="682">
        <v>0.17</v>
      </c>
      <c r="BN121" s="683">
        <v>0.17</v>
      </c>
      <c r="BO121" s="683">
        <v>0.17</v>
      </c>
      <c r="BP121" s="683">
        <v>0.17</v>
      </c>
      <c r="BQ121" s="683">
        <v>0.17</v>
      </c>
      <c r="BR121" s="683">
        <v>0.17</v>
      </c>
      <c r="BS121" s="683">
        <v>0.17</v>
      </c>
      <c r="BT121" s="684">
        <v>0.17</v>
      </c>
      <c r="BU121" s="682">
        <v>0.17</v>
      </c>
      <c r="BV121" s="683">
        <v>0.17</v>
      </c>
      <c r="BW121" s="683">
        <v>0.17</v>
      </c>
      <c r="BX121" s="683">
        <v>0.17</v>
      </c>
      <c r="BY121" s="683">
        <v>0.17</v>
      </c>
      <c r="BZ121" s="683">
        <v>0.17</v>
      </c>
      <c r="CA121" s="684">
        <v>0.17</v>
      </c>
      <c r="CB121" s="19"/>
      <c r="CC121" s="1037">
        <v>0.17</v>
      </c>
      <c r="CD121" s="1036">
        <v>0.17</v>
      </c>
      <c r="CE121" s="1036">
        <v>0.17</v>
      </c>
      <c r="CF121" s="1036">
        <v>0.17</v>
      </c>
      <c r="CG121" s="1036">
        <v>0.17</v>
      </c>
      <c r="CH121" s="1035">
        <v>0.17</v>
      </c>
      <c r="CI121" s="1036">
        <v>0.17</v>
      </c>
      <c r="CJ121" s="1036">
        <v>0.17</v>
      </c>
      <c r="CK121" s="1036">
        <v>0.17</v>
      </c>
      <c r="CL121" s="1099">
        <v>0.17</v>
      </c>
      <c r="CM121" s="1099">
        <v>0.17</v>
      </c>
      <c r="CN121" s="1267">
        <v>0.17</v>
      </c>
      <c r="CO121" s="1267">
        <v>0.17</v>
      </c>
      <c r="CP121" s="1268">
        <v>0.17</v>
      </c>
      <c r="CQ121" s="7"/>
      <c r="CX121" s="7"/>
    </row>
    <row r="122" spans="1:102" ht="14.25" customHeight="1">
      <c r="A122" s="7"/>
      <c r="B122" s="7"/>
      <c r="C122" s="7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7"/>
      <c r="Y122" s="10"/>
      <c r="Z122" s="7"/>
      <c r="AA122" s="7"/>
      <c r="AB122" s="7"/>
      <c r="AC122" s="7"/>
      <c r="AD122" s="7"/>
      <c r="AE122" s="7"/>
      <c r="AF122" s="7"/>
      <c r="AG122" s="10"/>
      <c r="AH122" s="10"/>
      <c r="AI122" s="10"/>
      <c r="AJ122" s="7"/>
      <c r="AK122" s="10"/>
      <c r="AL122" s="10"/>
      <c r="AM122" s="10"/>
      <c r="AN122" s="7"/>
      <c r="AO122" s="10"/>
      <c r="AP122" s="10"/>
      <c r="AQ122" s="10"/>
      <c r="AR122" s="7"/>
      <c r="AS122" s="10"/>
      <c r="AT122" s="10"/>
      <c r="AU122" s="10"/>
      <c r="AV122" s="7"/>
      <c r="AW122" s="10"/>
      <c r="AX122" s="1357"/>
      <c r="AY122" s="1357"/>
      <c r="AZ122" s="1357"/>
      <c r="BA122" s="1357"/>
      <c r="BB122" s="1357"/>
      <c r="BC122" s="1357"/>
      <c r="BD122" s="1357"/>
      <c r="BE122" s="1357"/>
      <c r="BF122" s="1357"/>
      <c r="BG122" s="1357"/>
      <c r="BH122" s="1357"/>
      <c r="BI122" s="1357"/>
      <c r="BJ122" s="1357"/>
      <c r="BK122" s="1357"/>
      <c r="BL122" s="1370"/>
      <c r="BM122" s="7"/>
      <c r="BN122" s="7"/>
      <c r="BO122" s="10"/>
      <c r="BP122" s="7"/>
      <c r="BQ122" s="63"/>
      <c r="BR122" s="7"/>
      <c r="BS122" s="7"/>
      <c r="BT122" s="7"/>
      <c r="BU122" s="7"/>
      <c r="BV122" s="7"/>
      <c r="BW122" s="7"/>
      <c r="BX122" s="13"/>
      <c r="BY122" s="13"/>
      <c r="BZ122" s="13"/>
      <c r="CA122" s="7"/>
      <c r="CB122" s="7"/>
      <c r="CC122" s="7"/>
      <c r="CD122" s="7"/>
      <c r="CE122" s="7"/>
      <c r="CF122" s="13"/>
      <c r="CG122" s="7"/>
      <c r="CH122" s="7"/>
      <c r="CI122" s="7"/>
      <c r="CJ122" s="7"/>
      <c r="CK122" s="7"/>
      <c r="CL122" s="7"/>
      <c r="CM122" s="13"/>
      <c r="CN122" s="13"/>
      <c r="CO122" s="13"/>
      <c r="CP122" s="7"/>
      <c r="CQ122" s="7"/>
      <c r="CX122" s="7"/>
    </row>
    <row r="123" spans="1:102" ht="14.25" customHeight="1">
      <c r="A123" s="7"/>
      <c r="B123" s="7"/>
      <c r="C123" s="7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7"/>
      <c r="Y123" s="10"/>
      <c r="Z123" s="7"/>
      <c r="AA123" s="7"/>
      <c r="AB123" s="7"/>
      <c r="AC123" s="7"/>
      <c r="AD123" s="7"/>
      <c r="AE123" s="7"/>
      <c r="AF123" s="7"/>
      <c r="AG123" s="10"/>
      <c r="AH123" s="10"/>
      <c r="AI123" s="10"/>
      <c r="AJ123" s="7"/>
      <c r="AK123" s="10"/>
      <c r="AL123" s="10"/>
      <c r="AM123" s="10"/>
      <c r="AN123" s="7"/>
      <c r="AO123" s="10"/>
      <c r="AP123" s="10"/>
      <c r="AQ123" s="10"/>
      <c r="AR123" s="7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7"/>
      <c r="BM123" s="7"/>
      <c r="BN123" s="7"/>
      <c r="BO123" s="10"/>
      <c r="BP123" s="7"/>
      <c r="BQ123" s="63"/>
      <c r="BR123" s="7"/>
      <c r="BS123" s="7"/>
      <c r="BT123" s="7"/>
      <c r="BU123" s="7"/>
      <c r="BV123" s="7"/>
      <c r="BW123" s="7"/>
      <c r="BX123" s="13"/>
      <c r="BY123" s="13"/>
      <c r="BZ123" s="13"/>
      <c r="CA123" s="7"/>
      <c r="CB123" s="7"/>
      <c r="CC123" s="7"/>
      <c r="CD123" s="7"/>
      <c r="CE123" s="7"/>
      <c r="CF123" s="13"/>
      <c r="CG123" s="7"/>
      <c r="CH123" s="7"/>
      <c r="CI123" s="7"/>
      <c r="CJ123" s="7"/>
      <c r="CK123" s="7"/>
      <c r="CL123" s="7"/>
      <c r="CM123" s="13"/>
      <c r="CN123" s="13"/>
      <c r="CO123" s="13"/>
      <c r="CP123" s="7"/>
      <c r="CQ123" s="7"/>
      <c r="CX123" s="7"/>
    </row>
    <row r="124" spans="1:102" ht="14.25" customHeight="1">
      <c r="A124" s="7"/>
      <c r="B124" s="538" t="s">
        <v>247</v>
      </c>
      <c r="C124" s="539"/>
      <c r="D124" s="540" t="str">
        <f>+D$7</f>
        <v>F1Q06</v>
      </c>
      <c r="E124" s="541" t="str">
        <f t="shared" ref="E124:BK124" si="563">+E$7</f>
        <v>F2Q06</v>
      </c>
      <c r="F124" s="541" t="str">
        <f t="shared" si="563"/>
        <v>F3Q06</v>
      </c>
      <c r="G124" s="542" t="str">
        <f t="shared" si="563"/>
        <v>F4Q06</v>
      </c>
      <c r="H124" s="540" t="str">
        <f t="shared" si="563"/>
        <v>F1Q07</v>
      </c>
      <c r="I124" s="541" t="str">
        <f t="shared" si="563"/>
        <v>F2Q07</v>
      </c>
      <c r="J124" s="541" t="str">
        <f t="shared" si="563"/>
        <v>F3Q07</v>
      </c>
      <c r="K124" s="542" t="str">
        <f t="shared" si="563"/>
        <v>F4Q07</v>
      </c>
      <c r="L124" s="541" t="str">
        <f t="shared" si="563"/>
        <v>F1Q08</v>
      </c>
      <c r="M124" s="541" t="str">
        <f t="shared" si="563"/>
        <v>F2Q08</v>
      </c>
      <c r="N124" s="541" t="str">
        <f t="shared" si="563"/>
        <v>F3Q08</v>
      </c>
      <c r="O124" s="541" t="str">
        <f t="shared" si="563"/>
        <v>F4Q08</v>
      </c>
      <c r="P124" s="540" t="str">
        <f t="shared" si="563"/>
        <v>F1Q09</v>
      </c>
      <c r="Q124" s="541" t="str">
        <f t="shared" si="563"/>
        <v>F2Q09</v>
      </c>
      <c r="R124" s="541" t="str">
        <f t="shared" si="563"/>
        <v>F3Q09</v>
      </c>
      <c r="S124" s="542" t="str">
        <f t="shared" si="563"/>
        <v>F4Q09</v>
      </c>
      <c r="T124" s="541" t="str">
        <f t="shared" si="563"/>
        <v>F1Q10</v>
      </c>
      <c r="U124" s="541" t="str">
        <f t="shared" si="563"/>
        <v>F2Q10</v>
      </c>
      <c r="V124" s="541" t="str">
        <f t="shared" si="563"/>
        <v>F3Q10</v>
      </c>
      <c r="W124" s="541" t="str">
        <f t="shared" si="563"/>
        <v>F4Q10</v>
      </c>
      <c r="X124" s="540" t="str">
        <f t="shared" si="563"/>
        <v>F1Q11</v>
      </c>
      <c r="Y124" s="541" t="str">
        <f t="shared" si="563"/>
        <v>F2Q11</v>
      </c>
      <c r="Z124" s="541" t="str">
        <f t="shared" si="563"/>
        <v>F3Q11</v>
      </c>
      <c r="AA124" s="541" t="str">
        <f t="shared" si="563"/>
        <v>F4Q11</v>
      </c>
      <c r="AB124" s="540" t="str">
        <f t="shared" si="563"/>
        <v>F1Q12</v>
      </c>
      <c r="AC124" s="541" t="str">
        <f t="shared" si="563"/>
        <v>F2Q12</v>
      </c>
      <c r="AD124" s="541" t="str">
        <f t="shared" si="563"/>
        <v>F3Q12</v>
      </c>
      <c r="AE124" s="542" t="str">
        <f t="shared" si="563"/>
        <v>F4Q12</v>
      </c>
      <c r="AF124" s="541" t="str">
        <f t="shared" si="563"/>
        <v>F1Q13</v>
      </c>
      <c r="AG124" s="541" t="str">
        <f t="shared" si="563"/>
        <v>F2Q13</v>
      </c>
      <c r="AH124" s="541" t="str">
        <f t="shared" si="563"/>
        <v>F3Q13</v>
      </c>
      <c r="AI124" s="542" t="str">
        <f t="shared" si="563"/>
        <v>F4Q13</v>
      </c>
      <c r="AJ124" s="540" t="str">
        <f t="shared" si="563"/>
        <v>F1Q14</v>
      </c>
      <c r="AK124" s="541" t="str">
        <f t="shared" si="563"/>
        <v>F2Q14A</v>
      </c>
      <c r="AL124" s="541" t="str">
        <f t="shared" si="563"/>
        <v>F3Q14A</v>
      </c>
      <c r="AM124" s="541" t="str">
        <f t="shared" si="563"/>
        <v>F4Q14A</v>
      </c>
      <c r="AN124" s="540" t="str">
        <f t="shared" si="563"/>
        <v>F1Q15A</v>
      </c>
      <c r="AO124" s="541" t="str">
        <f t="shared" si="563"/>
        <v>F2Q15A</v>
      </c>
      <c r="AP124" s="541" t="str">
        <f t="shared" si="563"/>
        <v>F3Q15A</v>
      </c>
      <c r="AQ124" s="541" t="str">
        <f t="shared" si="563"/>
        <v>F4Q15A</v>
      </c>
      <c r="AR124" s="540" t="str">
        <f t="shared" si="563"/>
        <v>F1Q16A</v>
      </c>
      <c r="AS124" s="541" t="str">
        <f t="shared" si="563"/>
        <v>F2Q16A</v>
      </c>
      <c r="AT124" s="541" t="str">
        <f t="shared" si="563"/>
        <v>F3Q16A</v>
      </c>
      <c r="AU124" s="541" t="str">
        <f t="shared" si="563"/>
        <v>F4Q16A</v>
      </c>
      <c r="AV124" s="540" t="str">
        <f t="shared" si="563"/>
        <v>F1Q17A</v>
      </c>
      <c r="AW124" s="541" t="str">
        <f t="shared" si="563"/>
        <v>F2Q17A</v>
      </c>
      <c r="AX124" s="541" t="str">
        <f t="shared" si="563"/>
        <v>F3Q17A</v>
      </c>
      <c r="AY124" s="541" t="str">
        <f t="shared" si="563"/>
        <v>F4Q17A</v>
      </c>
      <c r="AZ124" s="540" t="str">
        <f t="shared" si="563"/>
        <v>F1Q18A</v>
      </c>
      <c r="BA124" s="541" t="str">
        <f t="shared" si="563"/>
        <v>F2Q18E</v>
      </c>
      <c r="BB124" s="541" t="str">
        <f t="shared" si="563"/>
        <v>F3Q18E</v>
      </c>
      <c r="BC124" s="541" t="str">
        <f t="shared" si="563"/>
        <v>F4Q18E</v>
      </c>
      <c r="BD124" s="540" t="str">
        <f t="shared" si="563"/>
        <v>F1Q19E</v>
      </c>
      <c r="BE124" s="541" t="str">
        <f t="shared" si="563"/>
        <v>F2Q19E</v>
      </c>
      <c r="BF124" s="541" t="str">
        <f t="shared" si="563"/>
        <v>F3Q19E</v>
      </c>
      <c r="BG124" s="542" t="str">
        <f t="shared" si="563"/>
        <v>F4Q19E</v>
      </c>
      <c r="BH124" s="541" t="str">
        <f t="shared" si="563"/>
        <v>F1Q20E</v>
      </c>
      <c r="BI124" s="541" t="str">
        <f t="shared" si="563"/>
        <v>F2Q20E</v>
      </c>
      <c r="BJ124" s="541" t="str">
        <f t="shared" si="563"/>
        <v>F3Q20E</v>
      </c>
      <c r="BK124" s="542" t="str">
        <f t="shared" si="563"/>
        <v>F4Q20E</v>
      </c>
      <c r="BL124" s="19"/>
      <c r="BM124" s="1006" t="str">
        <f t="shared" ref="BM124:CA124" si="564">+BM$7</f>
        <v>FY2006</v>
      </c>
      <c r="BN124" s="1007" t="str">
        <f t="shared" si="564"/>
        <v>FY2007</v>
      </c>
      <c r="BO124" s="1007" t="str">
        <f t="shared" si="564"/>
        <v>FY2008</v>
      </c>
      <c r="BP124" s="1007" t="str">
        <f t="shared" si="564"/>
        <v>FY2009</v>
      </c>
      <c r="BQ124" s="1007" t="str">
        <f t="shared" si="564"/>
        <v>FY2010</v>
      </c>
      <c r="BR124" s="1007" t="str">
        <f t="shared" si="564"/>
        <v>FY2011</v>
      </c>
      <c r="BS124" s="1007" t="str">
        <f t="shared" si="564"/>
        <v>FY2012</v>
      </c>
      <c r="BT124" s="1008" t="str">
        <f t="shared" si="564"/>
        <v>FY2013</v>
      </c>
      <c r="BU124" s="1007" t="str">
        <f t="shared" si="564"/>
        <v>FY2014A</v>
      </c>
      <c r="BV124" s="1007" t="str">
        <f t="shared" si="564"/>
        <v>FY2015A</v>
      </c>
      <c r="BW124" s="1007" t="str">
        <f t="shared" si="564"/>
        <v>FY2016A</v>
      </c>
      <c r="BX124" s="1007" t="str">
        <f t="shared" si="564"/>
        <v>FY2017A</v>
      </c>
      <c r="BY124" s="1225" t="str">
        <f t="shared" si="564"/>
        <v>FY2018E</v>
      </c>
      <c r="BZ124" s="1362" t="str">
        <f t="shared" si="564"/>
        <v>FY2019E</v>
      </c>
      <c r="CA124" s="1363" t="str">
        <f t="shared" si="564"/>
        <v>FY2020E</v>
      </c>
      <c r="CB124" s="19"/>
      <c r="CC124" s="1006" t="str">
        <f t="shared" ref="CC124:CP124" si="565">+CC$7</f>
        <v>CY2006</v>
      </c>
      <c r="CD124" s="1007" t="str">
        <f t="shared" si="565"/>
        <v>CY2007</v>
      </c>
      <c r="CE124" s="1007" t="str">
        <f t="shared" si="565"/>
        <v>CY2008</v>
      </c>
      <c r="CF124" s="1007" t="str">
        <f t="shared" si="565"/>
        <v>CY2009</v>
      </c>
      <c r="CG124" s="1007" t="str">
        <f t="shared" si="565"/>
        <v>CY2010</v>
      </c>
      <c r="CH124" s="1007" t="str">
        <f t="shared" si="565"/>
        <v>CY2011</v>
      </c>
      <c r="CI124" s="1006" t="str">
        <f t="shared" si="565"/>
        <v>CY2012</v>
      </c>
      <c r="CJ124" s="1007" t="str">
        <f t="shared" si="565"/>
        <v>CY2013</v>
      </c>
      <c r="CK124" s="1007" t="str">
        <f t="shared" si="565"/>
        <v>CY2014A</v>
      </c>
      <c r="CL124" s="1007" t="str">
        <f t="shared" si="565"/>
        <v>CY2015A</v>
      </c>
      <c r="CM124" s="1007" t="str">
        <f t="shared" si="565"/>
        <v>CY2016A</v>
      </c>
      <c r="CN124" s="1362" t="str">
        <f t="shared" si="565"/>
        <v>CY2017A</v>
      </c>
      <c r="CO124" s="1362" t="str">
        <f t="shared" si="565"/>
        <v>CY2018E</v>
      </c>
      <c r="CP124" s="1363" t="str">
        <f t="shared" si="565"/>
        <v>CY2019E</v>
      </c>
      <c r="CQ124" s="7"/>
      <c r="CX124" s="7"/>
    </row>
    <row r="125" spans="1:102" ht="14.25" customHeight="1">
      <c r="A125" s="7"/>
      <c r="B125" s="764" t="s">
        <v>248</v>
      </c>
      <c r="C125" s="1020"/>
      <c r="D125" s="1068">
        <v>0</v>
      </c>
      <c r="E125" s="1069">
        <v>0</v>
      </c>
      <c r="F125" s="1069">
        <v>0</v>
      </c>
      <c r="G125" s="1070">
        <v>0</v>
      </c>
      <c r="H125" s="1068">
        <v>1</v>
      </c>
      <c r="I125" s="1069">
        <v>0</v>
      </c>
      <c r="J125" s="1069">
        <v>0</v>
      </c>
      <c r="K125" s="1070">
        <v>0</v>
      </c>
      <c r="L125" s="29">
        <v>0</v>
      </c>
      <c r="M125" s="30">
        <v>0</v>
      </c>
      <c r="N125" s="30">
        <v>0</v>
      </c>
      <c r="O125" s="31">
        <v>0</v>
      </c>
      <c r="P125" s="29">
        <v>0</v>
      </c>
      <c r="Q125" s="30">
        <v>0</v>
      </c>
      <c r="R125" s="30">
        <v>0</v>
      </c>
      <c r="S125" s="31">
        <v>0</v>
      </c>
      <c r="T125" s="30">
        <v>0</v>
      </c>
      <c r="U125" s="30">
        <v>1</v>
      </c>
      <c r="V125" s="30">
        <v>1</v>
      </c>
      <c r="W125" s="31">
        <v>1</v>
      </c>
      <c r="X125" s="30">
        <v>1</v>
      </c>
      <c r="Y125" s="30">
        <v>1</v>
      </c>
      <c r="Z125" s="30">
        <v>1</v>
      </c>
      <c r="AA125" s="30">
        <v>1</v>
      </c>
      <c r="AB125" s="29">
        <v>1</v>
      </c>
      <c r="AC125" s="30">
        <v>2</v>
      </c>
      <c r="AD125" s="30">
        <v>1</v>
      </c>
      <c r="AE125" s="31">
        <v>2</v>
      </c>
      <c r="AF125" s="30">
        <v>2</v>
      </c>
      <c r="AG125" s="30">
        <v>2</v>
      </c>
      <c r="AH125" s="30">
        <v>3</v>
      </c>
      <c r="AI125" s="31">
        <v>3</v>
      </c>
      <c r="AJ125" s="30">
        <v>3</v>
      </c>
      <c r="AK125" s="30">
        <v>3</v>
      </c>
      <c r="AL125" s="30">
        <v>6</v>
      </c>
      <c r="AM125" s="31">
        <v>6</v>
      </c>
      <c r="AN125" s="30">
        <v>6</v>
      </c>
      <c r="AO125" s="30">
        <v>6</v>
      </c>
      <c r="AP125" s="30">
        <v>7</v>
      </c>
      <c r="AQ125" s="31">
        <v>7</v>
      </c>
      <c r="AR125" s="29">
        <v>6</v>
      </c>
      <c r="AS125" s="30">
        <v>13</v>
      </c>
      <c r="AT125" s="30">
        <v>15</v>
      </c>
      <c r="AU125" s="31">
        <v>14</v>
      </c>
      <c r="AV125" s="29">
        <v>14</v>
      </c>
      <c r="AW125" s="30">
        <v>15</v>
      </c>
      <c r="AX125" s="30">
        <v>18</v>
      </c>
      <c r="AY125" s="31">
        <v>17</v>
      </c>
      <c r="AZ125" s="29">
        <v>20</v>
      </c>
      <c r="BA125" s="32">
        <f>AZ125+0.5</f>
        <v>20.5</v>
      </c>
      <c r="BB125" s="32">
        <f t="shared" ref="BB125:BC125" si="566">BA125+0.5</f>
        <v>21</v>
      </c>
      <c r="BC125" s="32">
        <f t="shared" si="566"/>
        <v>21.5</v>
      </c>
      <c r="BD125" s="32">
        <f>BC125+0.5</f>
        <v>22</v>
      </c>
      <c r="BE125" s="32">
        <f>BD125+0.5</f>
        <v>22.5</v>
      </c>
      <c r="BF125" s="32">
        <f t="shared" ref="BF125:BG125" si="567">BE125+0.5</f>
        <v>23</v>
      </c>
      <c r="BG125" s="1410">
        <f t="shared" si="567"/>
        <v>23.5</v>
      </c>
      <c r="BH125" s="32">
        <f>BG125+0.5</f>
        <v>24</v>
      </c>
      <c r="BI125" s="32">
        <f>BH125+0.5</f>
        <v>24.5</v>
      </c>
      <c r="BJ125" s="32">
        <f t="shared" ref="BJ125" si="568">BI125+0.5</f>
        <v>25</v>
      </c>
      <c r="BK125" s="32">
        <f t="shared" ref="BK125" si="569">BJ125+0.5</f>
        <v>25.5</v>
      </c>
      <c r="BL125" s="19"/>
      <c r="BM125" s="34">
        <f>SUM(D125:G125)</f>
        <v>0</v>
      </c>
      <c r="BN125" s="32">
        <f>SUM(H125:K125)</f>
        <v>1</v>
      </c>
      <c r="BO125" s="32">
        <f>SUM(L125:O125)</f>
        <v>0</v>
      </c>
      <c r="BP125" s="32">
        <f>SUM(P125:S125)</f>
        <v>0</v>
      </c>
      <c r="BQ125" s="32">
        <f>SUM(T125:W125)</f>
        <v>3</v>
      </c>
      <c r="BR125" s="32">
        <f>SUM(X125:AA125)</f>
        <v>4</v>
      </c>
      <c r="BS125" s="32">
        <f>SUM(AB125:AE125)</f>
        <v>6</v>
      </c>
      <c r="BT125" s="33">
        <f>SUM(AF125:AI125)</f>
        <v>10</v>
      </c>
      <c r="BU125" s="32">
        <f>SUM(AJ125:AM125)</f>
        <v>18</v>
      </c>
      <c r="BV125" s="32">
        <f>SUM(AN125:AQ125)</f>
        <v>26</v>
      </c>
      <c r="BW125" s="32">
        <f>SUM(AR125:AU125)</f>
        <v>48</v>
      </c>
      <c r="BX125" s="32">
        <f>SUM(AV125:AY125)</f>
        <v>64</v>
      </c>
      <c r="BY125" s="32">
        <f t="shared" ref="BY125:BY127" si="570">SUM(AZ125:BC125)</f>
        <v>83</v>
      </c>
      <c r="BZ125" s="32">
        <f>SUM(BD125:BG125)</f>
        <v>91</v>
      </c>
      <c r="CA125" s="33">
        <f>SUM(BH125:BK125)</f>
        <v>99</v>
      </c>
      <c r="CB125" s="19"/>
      <c r="CC125" s="34">
        <f>SUM(E125:H125)</f>
        <v>1</v>
      </c>
      <c r="CD125" s="32">
        <f>SUM(I125:L125)</f>
        <v>0</v>
      </c>
      <c r="CE125" s="32">
        <f>SUM(M125:P125)</f>
        <v>0</v>
      </c>
      <c r="CF125" s="32">
        <f>SUM(Q125:T125)</f>
        <v>0</v>
      </c>
      <c r="CG125" s="32">
        <f>SUM(U125:X125)</f>
        <v>4</v>
      </c>
      <c r="CH125" s="32">
        <f>SUM(Y125:AB125)</f>
        <v>4</v>
      </c>
      <c r="CI125" s="34">
        <f>SUM(AC125:AF125)</f>
        <v>7</v>
      </c>
      <c r="CJ125" s="750">
        <f>SUM(AG125:AJ125)</f>
        <v>11</v>
      </c>
      <c r="CK125" s="750">
        <f>SUM(AK125:AN125)</f>
        <v>21</v>
      </c>
      <c r="CL125" s="750">
        <f>SUM(AO125:AR125)</f>
        <v>26</v>
      </c>
      <c r="CM125" s="32">
        <f>SUM(AS125:AV125)</f>
        <v>56</v>
      </c>
      <c r="CN125" s="32">
        <f>SUM(AW125:AZ125)</f>
        <v>70</v>
      </c>
      <c r="CO125" s="32">
        <f>SUM(BA125:BD125)</f>
        <v>85</v>
      </c>
      <c r="CP125" s="33">
        <f>SUM(BE125:BH125)</f>
        <v>93</v>
      </c>
      <c r="CQ125" s="7"/>
      <c r="CX125" s="7"/>
    </row>
    <row r="126" spans="1:102" ht="14.25" customHeight="1">
      <c r="A126" s="7"/>
      <c r="B126" s="1044" t="s">
        <v>121</v>
      </c>
      <c r="C126" s="1031"/>
      <c r="D126" s="1068">
        <v>1</v>
      </c>
      <c r="E126" s="1069">
        <v>0</v>
      </c>
      <c r="F126" s="1069">
        <v>1</v>
      </c>
      <c r="G126" s="1070">
        <v>1</v>
      </c>
      <c r="H126" s="1068">
        <v>9</v>
      </c>
      <c r="I126" s="1069">
        <v>3</v>
      </c>
      <c r="J126" s="1069">
        <v>0</v>
      </c>
      <c r="K126" s="1070">
        <v>-1</v>
      </c>
      <c r="L126" s="29">
        <v>6</v>
      </c>
      <c r="M126" s="30">
        <v>2</v>
      </c>
      <c r="N126" s="30">
        <v>2</v>
      </c>
      <c r="O126" s="31">
        <v>2</v>
      </c>
      <c r="P126" s="29">
        <v>-1</v>
      </c>
      <c r="Q126" s="30">
        <v>3</v>
      </c>
      <c r="R126" s="30">
        <v>2</v>
      </c>
      <c r="S126" s="31">
        <v>4</v>
      </c>
      <c r="T126" s="30">
        <v>4</v>
      </c>
      <c r="U126" s="30">
        <v>3</v>
      </c>
      <c r="V126" s="30">
        <v>4</v>
      </c>
      <c r="W126" s="31">
        <v>3</v>
      </c>
      <c r="X126" s="30">
        <v>3</v>
      </c>
      <c r="Y126" s="30">
        <v>5</v>
      </c>
      <c r="Z126" s="30">
        <v>6</v>
      </c>
      <c r="AA126" s="30">
        <v>6</v>
      </c>
      <c r="AB126" s="29">
        <v>6</v>
      </c>
      <c r="AC126" s="30">
        <v>6</v>
      </c>
      <c r="AD126" s="30">
        <v>8</v>
      </c>
      <c r="AE126" s="31">
        <v>7</v>
      </c>
      <c r="AF126" s="30">
        <v>7</v>
      </c>
      <c r="AG126" s="30">
        <v>7</v>
      </c>
      <c r="AH126" s="30">
        <v>8</v>
      </c>
      <c r="AI126" s="31">
        <v>8</v>
      </c>
      <c r="AJ126" s="30">
        <v>8</v>
      </c>
      <c r="AK126" s="30">
        <v>10</v>
      </c>
      <c r="AL126" s="30">
        <v>20</v>
      </c>
      <c r="AM126" s="31">
        <v>19</v>
      </c>
      <c r="AN126" s="30">
        <v>19</v>
      </c>
      <c r="AO126" s="30">
        <v>27</v>
      </c>
      <c r="AP126" s="30">
        <v>31</v>
      </c>
      <c r="AQ126" s="31">
        <v>30</v>
      </c>
      <c r="AR126" s="29">
        <v>28</v>
      </c>
      <c r="AS126" s="30">
        <v>122</v>
      </c>
      <c r="AT126" s="30">
        <v>144</v>
      </c>
      <c r="AU126" s="31">
        <v>136</v>
      </c>
      <c r="AV126" s="29">
        <v>141</v>
      </c>
      <c r="AW126" s="30">
        <v>150</v>
      </c>
      <c r="AX126" s="30">
        <v>174</v>
      </c>
      <c r="AY126" s="31">
        <v>171</v>
      </c>
      <c r="AZ126" s="29">
        <v>203</v>
      </c>
      <c r="BA126" s="32">
        <f>AZ126+3.5</f>
        <v>206.5</v>
      </c>
      <c r="BB126" s="32">
        <f t="shared" ref="BB126:BC126" si="571">BA126+3</f>
        <v>209.5</v>
      </c>
      <c r="BC126" s="32">
        <f t="shared" si="571"/>
        <v>212.5</v>
      </c>
      <c r="BD126" s="34">
        <f>BC126+2</f>
        <v>214.5</v>
      </c>
      <c r="BE126" s="32">
        <f>BD126+2</f>
        <v>216.5</v>
      </c>
      <c r="BF126" s="32">
        <f t="shared" ref="BF126:BG126" si="572">BE126+2</f>
        <v>218.5</v>
      </c>
      <c r="BG126" s="1410">
        <f t="shared" si="572"/>
        <v>220.5</v>
      </c>
      <c r="BH126" s="34">
        <f>BG126+2</f>
        <v>222.5</v>
      </c>
      <c r="BI126" s="32">
        <f>BH126+2</f>
        <v>224.5</v>
      </c>
      <c r="BJ126" s="32">
        <f t="shared" ref="BJ126" si="573">BI126+2</f>
        <v>226.5</v>
      </c>
      <c r="BK126" s="32">
        <f t="shared" ref="BK126" si="574">BJ126+2</f>
        <v>228.5</v>
      </c>
      <c r="BL126" s="19"/>
      <c r="BM126" s="34">
        <f>SUM(D126:G126)</f>
        <v>3</v>
      </c>
      <c r="BN126" s="32">
        <f>SUM(H126:K126)</f>
        <v>11</v>
      </c>
      <c r="BO126" s="32">
        <f>SUM(L126:O126)</f>
        <v>12</v>
      </c>
      <c r="BP126" s="32">
        <f>SUM(P126:S126)</f>
        <v>8</v>
      </c>
      <c r="BQ126" s="32">
        <f>SUM(T126:W126)</f>
        <v>14</v>
      </c>
      <c r="BR126" s="32">
        <f>SUM(X126:AA126)</f>
        <v>20</v>
      </c>
      <c r="BS126" s="32">
        <f>SUM(AB126:AE126)</f>
        <v>27</v>
      </c>
      <c r="BT126" s="33">
        <f>SUM(AF126:AI126)</f>
        <v>30</v>
      </c>
      <c r="BU126" s="32">
        <f>SUM(AJ126:AM126)</f>
        <v>57</v>
      </c>
      <c r="BV126" s="32">
        <f>SUM(AN126:AQ126)</f>
        <v>107</v>
      </c>
      <c r="BW126" s="32">
        <f>SUM(AR126:AU126)</f>
        <v>430</v>
      </c>
      <c r="BX126" s="32">
        <f>SUM(AV126:AY126)</f>
        <v>636</v>
      </c>
      <c r="BY126" s="32">
        <f t="shared" si="570"/>
        <v>831.5</v>
      </c>
      <c r="BZ126" s="32">
        <f>SUM(BD126:BG126)</f>
        <v>870</v>
      </c>
      <c r="CA126" s="33">
        <f>SUM(BH126:BK126)</f>
        <v>902</v>
      </c>
      <c r="CB126" s="19"/>
      <c r="CC126" s="34">
        <f>SUM(E126:H126)</f>
        <v>11</v>
      </c>
      <c r="CD126" s="32">
        <f>SUM(I126:L126)</f>
        <v>8</v>
      </c>
      <c r="CE126" s="32">
        <f>SUM(M126:P126)</f>
        <v>5</v>
      </c>
      <c r="CF126" s="32">
        <f>SUM(Q126:T126)</f>
        <v>13</v>
      </c>
      <c r="CG126" s="32">
        <f>SUM(U126:X126)</f>
        <v>13</v>
      </c>
      <c r="CH126" s="32">
        <f>SUM(Y126:AB126)</f>
        <v>23</v>
      </c>
      <c r="CI126" s="34">
        <f>SUM(AC126:AF126)</f>
        <v>28</v>
      </c>
      <c r="CJ126" s="32">
        <f>SUM(AG126:AJ126)</f>
        <v>31</v>
      </c>
      <c r="CK126" s="32">
        <f>SUM(AK126:AN126)</f>
        <v>68</v>
      </c>
      <c r="CL126" s="32">
        <f>SUM(AO126:AR126)</f>
        <v>116</v>
      </c>
      <c r="CM126" s="32">
        <f>SUM(AS126:AV126)</f>
        <v>543</v>
      </c>
      <c r="CN126" s="32">
        <f>SUM(AW126:AZ126)</f>
        <v>698</v>
      </c>
      <c r="CO126" s="32">
        <f>SUM(BA126:BD126)</f>
        <v>843</v>
      </c>
      <c r="CP126" s="33">
        <f>SUM(BE126:BH126)</f>
        <v>878</v>
      </c>
      <c r="CQ126" s="7"/>
      <c r="CX126" s="7"/>
    </row>
    <row r="127" spans="1:102" s="533" customFormat="1" ht="14.25" customHeight="1">
      <c r="A127" s="525"/>
      <c r="B127" s="764" t="s">
        <v>122</v>
      </c>
      <c r="C127" s="763"/>
      <c r="D127" s="1068">
        <v>0</v>
      </c>
      <c r="E127" s="1069">
        <v>0</v>
      </c>
      <c r="F127" s="1069">
        <v>0</v>
      </c>
      <c r="G127" s="1070">
        <v>0</v>
      </c>
      <c r="H127" s="1068">
        <v>0</v>
      </c>
      <c r="I127" s="1069">
        <v>0</v>
      </c>
      <c r="J127" s="1069">
        <v>0</v>
      </c>
      <c r="K127" s="1070">
        <v>0</v>
      </c>
      <c r="L127" s="29">
        <v>1</v>
      </c>
      <c r="M127" s="30">
        <v>0</v>
      </c>
      <c r="N127" s="30">
        <v>1</v>
      </c>
      <c r="O127" s="31">
        <v>1</v>
      </c>
      <c r="P127" s="29">
        <v>1</v>
      </c>
      <c r="Q127" s="30">
        <v>1</v>
      </c>
      <c r="R127" s="30">
        <v>1</v>
      </c>
      <c r="S127" s="31">
        <v>1</v>
      </c>
      <c r="T127" s="30">
        <v>1</v>
      </c>
      <c r="U127" s="30">
        <v>2</v>
      </c>
      <c r="V127" s="30">
        <v>2</v>
      </c>
      <c r="W127" s="31">
        <v>3</v>
      </c>
      <c r="X127" s="30">
        <v>3</v>
      </c>
      <c r="Y127" s="30">
        <v>3</v>
      </c>
      <c r="Z127" s="30">
        <v>4</v>
      </c>
      <c r="AA127" s="30">
        <v>4</v>
      </c>
      <c r="AB127" s="29">
        <v>4</v>
      </c>
      <c r="AC127" s="30">
        <v>5</v>
      </c>
      <c r="AD127" s="30">
        <v>6</v>
      </c>
      <c r="AE127" s="31">
        <v>5</v>
      </c>
      <c r="AF127" s="30">
        <v>9</v>
      </c>
      <c r="AG127" s="30">
        <v>8</v>
      </c>
      <c r="AH127" s="30">
        <v>9</v>
      </c>
      <c r="AI127" s="31">
        <v>11</v>
      </c>
      <c r="AJ127" s="30">
        <v>13</v>
      </c>
      <c r="AK127" s="30">
        <v>17</v>
      </c>
      <c r="AL127" s="30">
        <v>24</v>
      </c>
      <c r="AM127" s="31">
        <v>24</v>
      </c>
      <c r="AN127" s="30">
        <v>24</v>
      </c>
      <c r="AO127" s="30">
        <v>24</v>
      </c>
      <c r="AP127" s="30">
        <v>25</v>
      </c>
      <c r="AQ127" s="31">
        <v>26</v>
      </c>
      <c r="AR127" s="569">
        <v>23</v>
      </c>
      <c r="AS127" s="570">
        <v>51</v>
      </c>
      <c r="AT127" s="30">
        <v>54</v>
      </c>
      <c r="AU127" s="31">
        <v>58</v>
      </c>
      <c r="AV127" s="569">
        <v>46</v>
      </c>
      <c r="AW127" s="570">
        <v>51</v>
      </c>
      <c r="AX127" s="570">
        <v>59</v>
      </c>
      <c r="AY127" s="31">
        <v>64</v>
      </c>
      <c r="AZ127" s="569">
        <v>76</v>
      </c>
      <c r="BA127" s="572">
        <f>AZ127+2</f>
        <v>78</v>
      </c>
      <c r="BB127" s="572">
        <f t="shared" ref="BB127:BC127" si="575">BA127+1.5</f>
        <v>79.5</v>
      </c>
      <c r="BC127" s="572">
        <f t="shared" si="575"/>
        <v>81</v>
      </c>
      <c r="BD127" s="574">
        <f t="shared" ref="BD127" si="576">BC127+0.25</f>
        <v>81.25</v>
      </c>
      <c r="BE127" s="572">
        <f>BD127+1</f>
        <v>82.25</v>
      </c>
      <c r="BF127" s="572">
        <f t="shared" ref="BF127:BG127" si="577">BE127+1</f>
        <v>83.25</v>
      </c>
      <c r="BG127" s="573">
        <f t="shared" si="577"/>
        <v>84.25</v>
      </c>
      <c r="BH127" s="574">
        <f t="shared" ref="BH127" si="578">BG127+0.25</f>
        <v>84.5</v>
      </c>
      <c r="BI127" s="572">
        <f>BH127+1</f>
        <v>85.5</v>
      </c>
      <c r="BJ127" s="572">
        <f t="shared" ref="BJ127" si="579">BI127+1</f>
        <v>86.5</v>
      </c>
      <c r="BK127" s="572">
        <f t="shared" ref="BK127" si="580">BJ127+1</f>
        <v>87.5</v>
      </c>
      <c r="BL127" s="642"/>
      <c r="BM127" s="532">
        <f>SUM(D127:G127)</f>
        <v>0</v>
      </c>
      <c r="BN127" s="530">
        <f>SUM(H127:K127)</f>
        <v>0</v>
      </c>
      <c r="BO127" s="530">
        <f>SUM(L127:O127)</f>
        <v>3</v>
      </c>
      <c r="BP127" s="530">
        <f>SUM(P127:S127)</f>
        <v>4</v>
      </c>
      <c r="BQ127" s="530">
        <f>SUM(T127:W127)</f>
        <v>8</v>
      </c>
      <c r="BR127" s="530">
        <f>SUM(X127:AA127)</f>
        <v>14</v>
      </c>
      <c r="BS127" s="530">
        <f>SUM(AB127:AE127)</f>
        <v>20</v>
      </c>
      <c r="BT127" s="531">
        <f>SUM(AF127:AI127)</f>
        <v>37</v>
      </c>
      <c r="BU127" s="530">
        <f>SUM(AJ127:AM127)</f>
        <v>78</v>
      </c>
      <c r="BV127" s="530">
        <f>SUM(AN127:AQ127)</f>
        <v>99</v>
      </c>
      <c r="BW127" s="530">
        <f>SUM(AR127:AU127)</f>
        <v>186</v>
      </c>
      <c r="BX127" s="530">
        <f>SUM(AV127:AY127)</f>
        <v>220</v>
      </c>
      <c r="BY127" s="530">
        <f t="shared" si="570"/>
        <v>314.5</v>
      </c>
      <c r="BZ127" s="530">
        <f>SUM(BD127:BG127)</f>
        <v>331</v>
      </c>
      <c r="CA127" s="531">
        <f>SUM(BH127:BK127)</f>
        <v>344</v>
      </c>
      <c r="CB127" s="642"/>
      <c r="CC127" s="532">
        <f>SUM(E127:H127)</f>
        <v>0</v>
      </c>
      <c r="CD127" s="530">
        <f>SUM(I127:L127)</f>
        <v>1</v>
      </c>
      <c r="CE127" s="530">
        <f>SUM(M127:P127)</f>
        <v>3</v>
      </c>
      <c r="CF127" s="530">
        <f>SUM(Q127:T127)</f>
        <v>4</v>
      </c>
      <c r="CG127" s="530">
        <f>SUM(U127:X127)</f>
        <v>10</v>
      </c>
      <c r="CH127" s="530">
        <f>SUM(Y127:AB127)</f>
        <v>15</v>
      </c>
      <c r="CI127" s="532">
        <f>SUM(AC127:AF127)</f>
        <v>25</v>
      </c>
      <c r="CJ127" s="530">
        <f>SUM(AG127:AJ127)</f>
        <v>41</v>
      </c>
      <c r="CK127" s="530">
        <f>SUM(AK127:AN127)</f>
        <v>89</v>
      </c>
      <c r="CL127" s="530">
        <f>SUM(AO127:AR127)</f>
        <v>98</v>
      </c>
      <c r="CM127" s="530">
        <f>SUM(AS127:AV127)</f>
        <v>209</v>
      </c>
      <c r="CN127" s="530">
        <f>SUM(AW127:AZ127)</f>
        <v>250</v>
      </c>
      <c r="CO127" s="530">
        <f>SUM(BA127:BD127)</f>
        <v>319.75</v>
      </c>
      <c r="CP127" s="531">
        <f>SUM(BE127:BH127)</f>
        <v>334.25</v>
      </c>
      <c r="CQ127" s="525"/>
      <c r="CR127"/>
      <c r="CS127"/>
      <c r="CT127"/>
      <c r="CU127"/>
      <c r="CV127"/>
      <c r="CW127"/>
      <c r="CX127" s="525"/>
    </row>
    <row r="128" spans="1:102" ht="14.25" customHeight="1">
      <c r="A128" s="7"/>
      <c r="B128" s="1134" t="s">
        <v>249</v>
      </c>
      <c r="C128" s="1022"/>
      <c r="D128" s="1078">
        <f>+SUM(D125:D127)</f>
        <v>1</v>
      </c>
      <c r="E128" s="1022">
        <f t="shared" ref="E128:AK128" si="581">+SUM(E125:E127)</f>
        <v>0</v>
      </c>
      <c r="F128" s="1022">
        <f t="shared" si="581"/>
        <v>1</v>
      </c>
      <c r="G128" s="1021">
        <f t="shared" si="581"/>
        <v>1</v>
      </c>
      <c r="H128" s="1078">
        <f t="shared" si="581"/>
        <v>10</v>
      </c>
      <c r="I128" s="1022">
        <f t="shared" si="581"/>
        <v>3</v>
      </c>
      <c r="J128" s="1022">
        <f t="shared" si="581"/>
        <v>0</v>
      </c>
      <c r="K128" s="1021">
        <f t="shared" si="581"/>
        <v>-1</v>
      </c>
      <c r="L128" s="1078">
        <f t="shared" si="581"/>
        <v>7</v>
      </c>
      <c r="M128" s="1022">
        <f t="shared" si="581"/>
        <v>2</v>
      </c>
      <c r="N128" s="1022">
        <f t="shared" si="581"/>
        <v>3</v>
      </c>
      <c r="O128" s="1021">
        <f t="shared" si="581"/>
        <v>3</v>
      </c>
      <c r="P128" s="1078">
        <f t="shared" si="581"/>
        <v>0</v>
      </c>
      <c r="Q128" s="1022">
        <f t="shared" si="581"/>
        <v>4</v>
      </c>
      <c r="R128" s="1022">
        <f t="shared" si="581"/>
        <v>3</v>
      </c>
      <c r="S128" s="1021">
        <f t="shared" si="581"/>
        <v>5</v>
      </c>
      <c r="T128" s="1078">
        <f t="shared" si="581"/>
        <v>5</v>
      </c>
      <c r="U128" s="1022">
        <f t="shared" si="581"/>
        <v>6</v>
      </c>
      <c r="V128" s="1022">
        <f t="shared" si="581"/>
        <v>7</v>
      </c>
      <c r="W128" s="1021">
        <f t="shared" si="581"/>
        <v>7</v>
      </c>
      <c r="X128" s="1078">
        <f t="shared" si="581"/>
        <v>7</v>
      </c>
      <c r="Y128" s="1022">
        <f t="shared" si="581"/>
        <v>9</v>
      </c>
      <c r="Z128" s="1022">
        <f t="shared" si="581"/>
        <v>11</v>
      </c>
      <c r="AA128" s="1022">
        <f t="shared" si="581"/>
        <v>11</v>
      </c>
      <c r="AB128" s="1078">
        <f t="shared" si="581"/>
        <v>11</v>
      </c>
      <c r="AC128" s="1022">
        <f t="shared" si="581"/>
        <v>13</v>
      </c>
      <c r="AD128" s="1022">
        <f t="shared" si="581"/>
        <v>15</v>
      </c>
      <c r="AE128" s="1021">
        <f t="shared" si="581"/>
        <v>14</v>
      </c>
      <c r="AF128" s="1022">
        <f t="shared" si="581"/>
        <v>18</v>
      </c>
      <c r="AG128" s="1022">
        <f t="shared" si="581"/>
        <v>17</v>
      </c>
      <c r="AH128" s="1022">
        <f t="shared" si="581"/>
        <v>20</v>
      </c>
      <c r="AI128" s="1021">
        <f t="shared" si="581"/>
        <v>22</v>
      </c>
      <c r="AJ128" s="1078">
        <f t="shared" si="581"/>
        <v>24</v>
      </c>
      <c r="AK128" s="1022">
        <f t="shared" si="581"/>
        <v>30</v>
      </c>
      <c r="AL128" s="1022">
        <f t="shared" ref="AL128:AM128" si="582">+SUM(AL125:AL127)</f>
        <v>50</v>
      </c>
      <c r="AM128" s="1021">
        <f t="shared" si="582"/>
        <v>49</v>
      </c>
      <c r="AN128" s="1078">
        <f>+SUM(AN125:AN127)</f>
        <v>49</v>
      </c>
      <c r="AO128" s="1022">
        <f t="shared" ref="AO128:BC128" si="583">+SUM(AO125:AO127)</f>
        <v>57</v>
      </c>
      <c r="AP128" s="1022">
        <f t="shared" si="583"/>
        <v>63</v>
      </c>
      <c r="AQ128" s="1021">
        <f t="shared" si="583"/>
        <v>63</v>
      </c>
      <c r="AR128" s="1078">
        <f>+SUM(AR125:AR127)</f>
        <v>57</v>
      </c>
      <c r="AS128" s="1022">
        <f t="shared" ref="AS128:AU128" si="584">+SUM(AS125:AS127)</f>
        <v>186</v>
      </c>
      <c r="AT128" s="1022">
        <f t="shared" si="584"/>
        <v>213</v>
      </c>
      <c r="AU128" s="1021">
        <f t="shared" si="584"/>
        <v>208</v>
      </c>
      <c r="AV128" s="1078">
        <f>+SUM(AV125:AV127)</f>
        <v>201</v>
      </c>
      <c r="AW128" s="1022">
        <f t="shared" si="583"/>
        <v>216</v>
      </c>
      <c r="AX128" s="1022">
        <f t="shared" si="583"/>
        <v>251</v>
      </c>
      <c r="AY128" s="1021">
        <f t="shared" si="583"/>
        <v>252</v>
      </c>
      <c r="AZ128" s="1078">
        <f>+SUM(AZ125:AZ127)</f>
        <v>299</v>
      </c>
      <c r="BA128" s="1022">
        <f t="shared" si="583"/>
        <v>305</v>
      </c>
      <c r="BB128" s="1022">
        <f t="shared" si="583"/>
        <v>310</v>
      </c>
      <c r="BC128" s="1022">
        <f t="shared" si="583"/>
        <v>315</v>
      </c>
      <c r="BD128" s="1078">
        <f t="shared" ref="BD128:BG128" si="585">+SUM(BD125:BD127)</f>
        <v>317.75</v>
      </c>
      <c r="BE128" s="1022">
        <f t="shared" si="585"/>
        <v>321.25</v>
      </c>
      <c r="BF128" s="1022">
        <f t="shared" si="585"/>
        <v>324.75</v>
      </c>
      <c r="BG128" s="1021">
        <f t="shared" si="585"/>
        <v>328.25</v>
      </c>
      <c r="BH128" s="1022">
        <f t="shared" ref="BH128:BK128" si="586">+SUM(BH125:BH127)</f>
        <v>331</v>
      </c>
      <c r="BI128" s="1022">
        <f t="shared" si="586"/>
        <v>334.5</v>
      </c>
      <c r="BJ128" s="1022">
        <f t="shared" si="586"/>
        <v>338</v>
      </c>
      <c r="BK128" s="1021">
        <f t="shared" si="586"/>
        <v>341.5</v>
      </c>
      <c r="BL128" s="19"/>
      <c r="BM128" s="1030">
        <f t="shared" ref="BM128:BV128" si="587">+SUM(BM125:BM127)</f>
        <v>3</v>
      </c>
      <c r="BN128" s="1029">
        <f t="shared" si="587"/>
        <v>12</v>
      </c>
      <c r="BO128" s="1029">
        <f t="shared" si="587"/>
        <v>15</v>
      </c>
      <c r="BP128" s="1029">
        <f t="shared" si="587"/>
        <v>12</v>
      </c>
      <c r="BQ128" s="1029">
        <f t="shared" si="587"/>
        <v>25</v>
      </c>
      <c r="BR128" s="1029">
        <f t="shared" si="587"/>
        <v>38</v>
      </c>
      <c r="BS128" s="1029">
        <f t="shared" si="587"/>
        <v>53</v>
      </c>
      <c r="BT128" s="1028">
        <f t="shared" si="587"/>
        <v>77</v>
      </c>
      <c r="BU128" s="1029">
        <f t="shared" si="587"/>
        <v>153</v>
      </c>
      <c r="BV128" s="1029">
        <f t="shared" si="587"/>
        <v>232</v>
      </c>
      <c r="BW128" s="1029">
        <f>+SUM(BW125:BW127)</f>
        <v>664</v>
      </c>
      <c r="BX128" s="1029">
        <f>+SUM(BX125:BX127)</f>
        <v>920</v>
      </c>
      <c r="BY128" s="1029">
        <f>+SUM(BY125:BY127)</f>
        <v>1229</v>
      </c>
      <c r="BZ128" s="1029">
        <f>+SUM(BZ125:BZ127)</f>
        <v>1292</v>
      </c>
      <c r="CA128" s="1028">
        <f>+SUM(CA125:CA127)</f>
        <v>1345</v>
      </c>
      <c r="CB128" s="19"/>
      <c r="CC128" s="1030">
        <f t="shared" ref="CC128:CJ128" si="588">+SUM(CC125:CC127)</f>
        <v>12</v>
      </c>
      <c r="CD128" s="1029">
        <f t="shared" si="588"/>
        <v>9</v>
      </c>
      <c r="CE128" s="1029">
        <f t="shared" si="588"/>
        <v>8</v>
      </c>
      <c r="CF128" s="1029">
        <f t="shared" si="588"/>
        <v>17</v>
      </c>
      <c r="CG128" s="1029">
        <f t="shared" si="588"/>
        <v>27</v>
      </c>
      <c r="CH128" s="1029">
        <f t="shared" si="588"/>
        <v>42</v>
      </c>
      <c r="CI128" s="1030">
        <f t="shared" si="588"/>
        <v>60</v>
      </c>
      <c r="CJ128" s="1029">
        <f t="shared" si="588"/>
        <v>83</v>
      </c>
      <c r="CK128" s="1029">
        <f t="shared" ref="CK128:CP128" si="589">+SUM(CK125:CK127)</f>
        <v>178</v>
      </c>
      <c r="CL128" s="1029">
        <f t="shared" si="589"/>
        <v>240</v>
      </c>
      <c r="CM128" s="1029">
        <f t="shared" si="589"/>
        <v>808</v>
      </c>
      <c r="CN128" s="1029">
        <f t="shared" si="589"/>
        <v>1018</v>
      </c>
      <c r="CO128" s="1029">
        <f t="shared" si="589"/>
        <v>1247.75</v>
      </c>
      <c r="CP128" s="1028">
        <f t="shared" si="589"/>
        <v>1305.25</v>
      </c>
      <c r="CQ128" s="7"/>
      <c r="CX128" s="7"/>
    </row>
    <row r="129" spans="1:102" ht="13.5" customHeight="1">
      <c r="A129" s="7"/>
      <c r="B129" s="1046" t="s">
        <v>3</v>
      </c>
      <c r="C129" s="1047"/>
      <c r="D129" s="1071">
        <v>0</v>
      </c>
      <c r="E129" s="1072">
        <v>0</v>
      </c>
      <c r="F129" s="1072">
        <v>0</v>
      </c>
      <c r="G129" s="1073">
        <v>0</v>
      </c>
      <c r="H129" s="1071">
        <v>0</v>
      </c>
      <c r="I129" s="1072">
        <v>0</v>
      </c>
      <c r="J129" s="1072">
        <v>0</v>
      </c>
      <c r="K129" s="1073">
        <v>0</v>
      </c>
      <c r="L129" s="569">
        <v>0</v>
      </c>
      <c r="M129" s="570">
        <v>0</v>
      </c>
      <c r="N129" s="570">
        <v>0</v>
      </c>
      <c r="O129" s="571">
        <v>0</v>
      </c>
      <c r="P129" s="569">
        <v>0</v>
      </c>
      <c r="Q129" s="570">
        <v>0</v>
      </c>
      <c r="R129" s="570">
        <v>0</v>
      </c>
      <c r="S129" s="571">
        <v>0</v>
      </c>
      <c r="T129" s="570">
        <v>0</v>
      </c>
      <c r="U129" s="570">
        <v>0</v>
      </c>
      <c r="V129" s="570">
        <v>0</v>
      </c>
      <c r="W129" s="571">
        <v>0</v>
      </c>
      <c r="X129" s="570">
        <v>0</v>
      </c>
      <c r="Y129" s="570">
        <v>0</v>
      </c>
      <c r="Z129" s="570">
        <v>0</v>
      </c>
      <c r="AA129" s="571">
        <v>0</v>
      </c>
      <c r="AB129" s="570">
        <v>0</v>
      </c>
      <c r="AC129" s="570">
        <v>0</v>
      </c>
      <c r="AD129" s="570">
        <v>0</v>
      </c>
      <c r="AE129" s="571">
        <v>0</v>
      </c>
      <c r="AF129" s="570">
        <v>0</v>
      </c>
      <c r="AG129" s="572">
        <f>IF(AG79&lt;=0,(AG127+AG126+AG125)*0%,(AG127+AG126+AG125)*AG86)</f>
        <v>0</v>
      </c>
      <c r="AH129" s="570">
        <v>0</v>
      </c>
      <c r="AI129" s="573">
        <f>IF(AI79&lt;=0,(AI127+AI126+AI125)*0%,(AI127+AI126+AI125)*AI86)</f>
        <v>0</v>
      </c>
      <c r="AJ129" s="1131">
        <v>0</v>
      </c>
      <c r="AK129" s="1132">
        <f t="shared" ref="AK129:BC129" si="590">IF(AK79&lt;=0,(AK127+AK126+AK125)*0%,(AK127+AK126+AK125)*AK86)</f>
        <v>0</v>
      </c>
      <c r="AL129" s="1132">
        <f t="shared" si="590"/>
        <v>0</v>
      </c>
      <c r="AM129" s="1133">
        <f t="shared" si="590"/>
        <v>0</v>
      </c>
      <c r="AN129" s="1131"/>
      <c r="AO129" s="1132">
        <v>0</v>
      </c>
      <c r="AP129" s="1132">
        <f t="shared" ref="AP129:AQ129" si="591">IF(AP79&lt;=0,(AP127+AP126+AP125)*0%,(AP127+AP126+AP125)*AP86)</f>
        <v>0</v>
      </c>
      <c r="AQ129" s="1133">
        <f t="shared" si="591"/>
        <v>0</v>
      </c>
      <c r="AR129" s="905"/>
      <c r="AS129" s="1132">
        <v>0</v>
      </c>
      <c r="AT129" s="1132">
        <f t="shared" ref="AT129:AU129" si="592">IF(AT79&lt;=0,(AT127+AT126+AT125)*0%,(AT127+AT126+AT125)*AT86)</f>
        <v>0</v>
      </c>
      <c r="AU129" s="1133">
        <f t="shared" si="592"/>
        <v>0</v>
      </c>
      <c r="AV129" s="905">
        <f t="shared" si="590"/>
        <v>0</v>
      </c>
      <c r="AW129" s="1132">
        <f t="shared" si="590"/>
        <v>0</v>
      </c>
      <c r="AX129" s="903">
        <f t="shared" si="590"/>
        <v>0</v>
      </c>
      <c r="AY129" s="904">
        <v>0</v>
      </c>
      <c r="AZ129" s="905">
        <f t="shared" ref="AZ129" si="593">IF(AZ79&lt;=0,(AZ127+AZ126+AZ125)*0%,(AZ127+AZ126+AZ125)*AZ86)</f>
        <v>0</v>
      </c>
      <c r="BA129" s="903">
        <f t="shared" si="590"/>
        <v>0</v>
      </c>
      <c r="BB129" s="903">
        <f t="shared" si="590"/>
        <v>0</v>
      </c>
      <c r="BC129" s="903">
        <f t="shared" si="590"/>
        <v>0</v>
      </c>
      <c r="BD129" s="905">
        <f t="shared" ref="BD129:BG129" si="594">IF(BD79&lt;=0,(BD127+BD126+BD125)*0%,(BD127+BD126+BD125)*BD86)</f>
        <v>0</v>
      </c>
      <c r="BE129" s="903">
        <f t="shared" si="594"/>
        <v>0</v>
      </c>
      <c r="BF129" s="903">
        <f t="shared" si="594"/>
        <v>0</v>
      </c>
      <c r="BG129" s="904">
        <f t="shared" si="594"/>
        <v>0</v>
      </c>
      <c r="BH129" s="903">
        <f t="shared" ref="BH129:BK129" si="595">IF(BH79&lt;=0,(BH127+BH126+BH125)*0%,(BH127+BH126+BH125)*BH86)</f>
        <v>0</v>
      </c>
      <c r="BI129" s="903">
        <f t="shared" si="595"/>
        <v>0</v>
      </c>
      <c r="BJ129" s="903">
        <f t="shared" si="595"/>
        <v>0</v>
      </c>
      <c r="BK129" s="904">
        <f t="shared" si="595"/>
        <v>0</v>
      </c>
      <c r="BL129" s="19"/>
      <c r="BM129" s="574">
        <f>SUM(D129:G129)</f>
        <v>0</v>
      </c>
      <c r="BN129" s="572">
        <f>SUM(H129:K129)</f>
        <v>0</v>
      </c>
      <c r="BO129" s="572">
        <f>SUM(L129:O129)</f>
        <v>0</v>
      </c>
      <c r="BP129" s="572">
        <f>SUM(P129:S129)</f>
        <v>0</v>
      </c>
      <c r="BQ129" s="572">
        <f>SUM(T129:W129)</f>
        <v>0</v>
      </c>
      <c r="BR129" s="572">
        <f>SUM(X129:AA129)</f>
        <v>0</v>
      </c>
      <c r="BS129" s="572">
        <f>SUM(AB129:AE129)</f>
        <v>0</v>
      </c>
      <c r="BT129" s="573">
        <f>SUM(AF129:AI129)</f>
        <v>0</v>
      </c>
      <c r="BU129" s="572">
        <f>SUM(AJ129:AM129)</f>
        <v>0</v>
      </c>
      <c r="BV129" s="572">
        <f>SUM(AN129:AQ129)</f>
        <v>0</v>
      </c>
      <c r="BW129" s="572">
        <f>SUM(AR129:AU129)</f>
        <v>0</v>
      </c>
      <c r="BX129" s="572">
        <f>SUM(AV129:AY129)</f>
        <v>0</v>
      </c>
      <c r="BY129" s="572">
        <f>SUM(AZ129:BC129)</f>
        <v>0</v>
      </c>
      <c r="BZ129" s="572">
        <f>SUM(BD129:BG129)</f>
        <v>0</v>
      </c>
      <c r="CA129" s="573">
        <f>SUM(BE129:BH129)</f>
        <v>0</v>
      </c>
      <c r="CB129" s="19"/>
      <c r="CC129" s="574">
        <f>SUM(E129:H129)</f>
        <v>0</v>
      </c>
      <c r="CD129" s="572">
        <f>SUM(I129:L129)</f>
        <v>0</v>
      </c>
      <c r="CE129" s="572">
        <f>SUM(M129:P129)</f>
        <v>0</v>
      </c>
      <c r="CF129" s="572">
        <f>SUM(Q129:T129)</f>
        <v>0</v>
      </c>
      <c r="CG129" s="572">
        <f>SUM(U129:X129)</f>
        <v>0</v>
      </c>
      <c r="CH129" s="572">
        <f>SUM(Y129:AB129)</f>
        <v>0</v>
      </c>
      <c r="CI129" s="574">
        <f>SUM(AC129:AF129)</f>
        <v>0</v>
      </c>
      <c r="CJ129" s="572">
        <f>SUM(AG129:AJ129)</f>
        <v>0</v>
      </c>
      <c r="CK129" s="572">
        <f>SUM(AK129:AN129)</f>
        <v>0</v>
      </c>
      <c r="CL129" s="572">
        <f>SUM(AO129:AR129)</f>
        <v>0</v>
      </c>
      <c r="CM129" s="572">
        <f>SUM(AS129:AV129)</f>
        <v>0</v>
      </c>
      <c r="CN129" s="572">
        <f>SUM(AW129:AZ129)</f>
        <v>0</v>
      </c>
      <c r="CO129" s="572">
        <f>SUM(BA129:BD129)</f>
        <v>0</v>
      </c>
      <c r="CP129" s="573">
        <f>SUM(BE129:BH129)</f>
        <v>0</v>
      </c>
      <c r="CQ129" s="7"/>
      <c r="CX129" s="7"/>
    </row>
    <row r="130" spans="1:102" ht="14.25" customHeight="1">
      <c r="A130" s="7"/>
      <c r="B130" s="545" t="s">
        <v>419</v>
      </c>
      <c r="C130" s="7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7"/>
      <c r="Y130" s="10"/>
      <c r="Z130" s="7"/>
      <c r="AA130" s="7"/>
      <c r="AB130" s="7"/>
      <c r="AC130" s="7"/>
      <c r="AD130" s="7"/>
      <c r="AE130" s="7"/>
      <c r="AF130" s="7"/>
      <c r="AG130" s="10"/>
      <c r="AH130" s="10"/>
      <c r="AI130" s="10"/>
      <c r="AJ130" s="10"/>
      <c r="AK130" s="582"/>
      <c r="AL130" s="10"/>
      <c r="AN130" s="10"/>
      <c r="AO130" s="582"/>
      <c r="AP130" s="10"/>
      <c r="AR130" s="10"/>
      <c r="AS130" s="582"/>
      <c r="AT130" s="582"/>
      <c r="AU130" s="1214"/>
      <c r="AV130" s="10"/>
      <c r="AW130" s="582"/>
      <c r="AX130" s="582"/>
      <c r="AY130" s="1101"/>
      <c r="AZ130" s="1285">
        <f>AZ128/AZ148</f>
        <v>5.6087038079159629E-2</v>
      </c>
      <c r="BA130" s="1285">
        <f t="shared" ref="BA130:BK130" si="596">BA128/BA148</f>
        <v>6.0865608735911098E-2</v>
      </c>
      <c r="BB130" s="1285">
        <f t="shared" si="596"/>
        <v>5.9475065778943119E-2</v>
      </c>
      <c r="BC130" s="1285">
        <f t="shared" si="596"/>
        <v>5.6423666104671762E-2</v>
      </c>
      <c r="BD130" s="1285">
        <f t="shared" si="596"/>
        <v>5.960162867421695E-2</v>
      </c>
      <c r="BE130" s="1285">
        <f t="shared" si="596"/>
        <v>6.2038597617424321E-2</v>
      </c>
      <c r="BF130" s="1285">
        <f t="shared" si="596"/>
        <v>5.8542781909281714E-2</v>
      </c>
      <c r="BG130" s="1285">
        <f t="shared" si="596"/>
        <v>5.3135121122127094E-2</v>
      </c>
      <c r="BH130" s="1285">
        <f t="shared" si="596"/>
        <v>5.6079585654737814E-2</v>
      </c>
      <c r="BI130" s="1285">
        <f t="shared" si="596"/>
        <v>5.9876731095204146E-2</v>
      </c>
      <c r="BJ130" s="1285">
        <f t="shared" si="596"/>
        <v>5.8142833794746655E-2</v>
      </c>
      <c r="BK130" s="1285">
        <f t="shared" si="596"/>
        <v>5.5238206813750523E-2</v>
      </c>
      <c r="BL130" s="7"/>
      <c r="BM130" s="7"/>
      <c r="BN130" s="7"/>
      <c r="BO130" s="10"/>
      <c r="BP130" s="7"/>
      <c r="BQ130" s="63"/>
      <c r="BR130" s="7"/>
      <c r="BS130" s="7"/>
      <c r="BT130" s="7"/>
      <c r="BU130" s="7"/>
      <c r="BV130" s="7"/>
      <c r="BW130" s="7"/>
      <c r="BX130" s="1285">
        <f t="shared" ref="BX130:CA130" si="597">BX128/BX148</f>
        <v>5.2080384941975658E-2</v>
      </c>
      <c r="BY130" s="1285">
        <f t="shared" si="597"/>
        <v>5.814428766652667E-2</v>
      </c>
      <c r="BZ130" s="1285">
        <f t="shared" si="597"/>
        <v>5.8108339726853239E-2</v>
      </c>
      <c r="CA130" s="1285">
        <f t="shared" si="597"/>
        <v>5.7272089194958499E-2</v>
      </c>
      <c r="CB130" s="7"/>
      <c r="CC130" s="7"/>
      <c r="CD130" s="7"/>
      <c r="CE130" s="7"/>
      <c r="CF130" s="13"/>
      <c r="CG130" s="7"/>
      <c r="CH130" s="7"/>
      <c r="CI130" s="7"/>
      <c r="CJ130" s="7"/>
      <c r="CK130" s="7"/>
      <c r="CL130" s="7"/>
      <c r="CM130" s="13"/>
      <c r="CN130" s="1285">
        <f t="shared" ref="CN130:CP130" si="598">CN128/CN148</f>
        <v>5.401390141667109E-2</v>
      </c>
      <c r="CO130" s="1285">
        <f t="shared" si="598"/>
        <v>5.9030711944285483E-2</v>
      </c>
      <c r="CP130" s="1285">
        <f t="shared" si="598"/>
        <v>5.7234186567100644E-2</v>
      </c>
      <c r="CQ130" s="7"/>
      <c r="CX130" s="7"/>
    </row>
    <row r="131" spans="1:102" s="1399" customFormat="1" ht="14.25" customHeight="1">
      <c r="A131" s="7"/>
      <c r="B131" s="545"/>
      <c r="C131" s="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7"/>
      <c r="Y131" s="10"/>
      <c r="Z131" s="7"/>
      <c r="AA131" s="7"/>
      <c r="AB131" s="7"/>
      <c r="AC131" s="7"/>
      <c r="AD131" s="7"/>
      <c r="AE131" s="7"/>
      <c r="AF131" s="7"/>
      <c r="AG131" s="10"/>
      <c r="AH131" s="10"/>
      <c r="AI131" s="10"/>
      <c r="AJ131" s="10"/>
      <c r="AK131" s="582"/>
      <c r="AL131" s="10"/>
      <c r="AN131" s="10"/>
      <c r="AO131" s="582"/>
      <c r="AP131" s="10"/>
      <c r="AR131" s="10"/>
      <c r="AS131" s="582"/>
      <c r="AT131" s="582"/>
      <c r="AV131" s="10"/>
      <c r="AW131" s="582"/>
      <c r="AX131" s="582"/>
      <c r="AY131" s="1370"/>
      <c r="AZ131" s="1285"/>
      <c r="BA131" s="582"/>
      <c r="BB131" s="582"/>
      <c r="BC131" s="1370"/>
      <c r="BD131" s="582"/>
      <c r="BE131" s="582"/>
      <c r="BF131" s="582"/>
      <c r="BG131" s="1370"/>
      <c r="BH131" s="582"/>
      <c r="BI131" s="582"/>
      <c r="BJ131" s="582"/>
      <c r="BK131" s="1370"/>
      <c r="BL131" s="7"/>
      <c r="BM131" s="7"/>
      <c r="BN131" s="7"/>
      <c r="BO131" s="10"/>
      <c r="BP131" s="7"/>
      <c r="BQ131" s="63"/>
      <c r="BR131" s="7"/>
      <c r="BS131" s="7"/>
      <c r="BT131" s="7"/>
      <c r="BU131" s="7"/>
      <c r="BV131" s="7"/>
      <c r="BW131" s="7"/>
      <c r="BX131" s="7"/>
      <c r="BY131" s="1211"/>
      <c r="BZ131" s="1211"/>
      <c r="CA131" s="1211"/>
      <c r="CB131" s="7"/>
      <c r="CC131" s="7"/>
      <c r="CD131" s="7"/>
      <c r="CE131" s="7"/>
      <c r="CF131" s="13"/>
      <c r="CG131" s="7"/>
      <c r="CH131" s="7"/>
      <c r="CI131" s="7"/>
      <c r="CJ131" s="7"/>
      <c r="CK131" s="7"/>
      <c r="CL131" s="7"/>
      <c r="CM131" s="13"/>
      <c r="CN131" s="13"/>
      <c r="CO131" s="13"/>
      <c r="CP131" s="7"/>
      <c r="CQ131" s="7"/>
      <c r="CR131"/>
      <c r="CS131"/>
      <c r="CT131"/>
      <c r="CU131"/>
      <c r="CV131"/>
      <c r="CW131"/>
      <c r="CX131" s="7"/>
    </row>
    <row r="132" spans="1:102" ht="14.25" hidden="1" customHeight="1" outlineLevel="1">
      <c r="A132" s="7"/>
      <c r="B132" s="762" t="s">
        <v>312</v>
      </c>
      <c r="C132" s="539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4"/>
      <c r="Y132" s="62"/>
      <c r="Z132" s="624"/>
      <c r="AA132" s="624"/>
      <c r="AB132" s="624"/>
      <c r="AC132" s="624"/>
      <c r="AD132" s="624"/>
      <c r="AE132" s="624"/>
      <c r="AF132" s="540" t="str">
        <f t="shared" ref="AF132:BK132" si="599">+AF$7</f>
        <v>F1Q13</v>
      </c>
      <c r="AG132" s="541" t="str">
        <f t="shared" si="599"/>
        <v>F2Q13</v>
      </c>
      <c r="AH132" s="541" t="str">
        <f t="shared" si="599"/>
        <v>F3Q13</v>
      </c>
      <c r="AI132" s="542" t="str">
        <f t="shared" si="599"/>
        <v>F4Q13</v>
      </c>
      <c r="AJ132" s="540" t="str">
        <f t="shared" si="599"/>
        <v>F1Q14</v>
      </c>
      <c r="AK132" s="541" t="str">
        <f t="shared" si="599"/>
        <v>F2Q14A</v>
      </c>
      <c r="AL132" s="541" t="str">
        <f t="shared" si="599"/>
        <v>F3Q14A</v>
      </c>
      <c r="AM132" s="541" t="str">
        <f t="shared" si="599"/>
        <v>F4Q14A</v>
      </c>
      <c r="AN132" s="540" t="str">
        <f t="shared" si="599"/>
        <v>F1Q15A</v>
      </c>
      <c r="AO132" s="541" t="str">
        <f t="shared" si="599"/>
        <v>F2Q15A</v>
      </c>
      <c r="AP132" s="541" t="str">
        <f t="shared" si="599"/>
        <v>F3Q15A</v>
      </c>
      <c r="AQ132" s="541" t="str">
        <f t="shared" si="599"/>
        <v>F4Q15A</v>
      </c>
      <c r="AR132" s="540" t="str">
        <f t="shared" si="599"/>
        <v>F1Q16A</v>
      </c>
      <c r="AS132" s="541" t="str">
        <f t="shared" si="599"/>
        <v>F2Q16A</v>
      </c>
      <c r="AT132" s="541" t="str">
        <f t="shared" si="599"/>
        <v>F3Q16A</v>
      </c>
      <c r="AU132" s="541" t="str">
        <f t="shared" si="599"/>
        <v>F4Q16A</v>
      </c>
      <c r="AV132" s="540" t="str">
        <f t="shared" si="599"/>
        <v>F1Q17A</v>
      </c>
      <c r="AW132" s="541" t="str">
        <f t="shared" si="599"/>
        <v>F2Q17A</v>
      </c>
      <c r="AX132" s="541" t="str">
        <f t="shared" si="599"/>
        <v>F3Q17A</v>
      </c>
      <c r="AY132" s="542" t="str">
        <f t="shared" si="599"/>
        <v>F4Q17A</v>
      </c>
      <c r="AZ132" s="540" t="str">
        <f t="shared" si="599"/>
        <v>F1Q18A</v>
      </c>
      <c r="BA132" s="541" t="str">
        <f t="shared" si="599"/>
        <v>F2Q18E</v>
      </c>
      <c r="BB132" s="541" t="str">
        <f t="shared" si="599"/>
        <v>F3Q18E</v>
      </c>
      <c r="BC132" s="542" t="str">
        <f t="shared" si="599"/>
        <v>F4Q18E</v>
      </c>
      <c r="BD132" s="540" t="str">
        <f t="shared" si="599"/>
        <v>F1Q19E</v>
      </c>
      <c r="BE132" s="541" t="str">
        <f t="shared" si="599"/>
        <v>F2Q19E</v>
      </c>
      <c r="BF132" s="541" t="str">
        <f t="shared" si="599"/>
        <v>F3Q19E</v>
      </c>
      <c r="BG132" s="542" t="str">
        <f t="shared" si="599"/>
        <v>F4Q19E</v>
      </c>
      <c r="BH132" s="540" t="str">
        <f t="shared" si="599"/>
        <v>F1Q20E</v>
      </c>
      <c r="BI132" s="541" t="str">
        <f t="shared" si="599"/>
        <v>F2Q20E</v>
      </c>
      <c r="BJ132" s="541" t="str">
        <f t="shared" si="599"/>
        <v>F3Q20E</v>
      </c>
      <c r="BK132" s="542" t="str">
        <f t="shared" si="599"/>
        <v>F4Q20E</v>
      </c>
      <c r="BL132" s="7"/>
      <c r="BM132" s="7"/>
      <c r="BN132" s="7"/>
      <c r="BO132" s="10"/>
      <c r="BP132" s="7"/>
      <c r="BQ132" s="63"/>
      <c r="BR132" s="7"/>
      <c r="BS132" s="7"/>
      <c r="BT132" s="7"/>
      <c r="BU132" s="7"/>
      <c r="BV132" s="7"/>
      <c r="BW132" s="7"/>
      <c r="BX132" s="13"/>
      <c r="BY132" s="7"/>
      <c r="BZ132" s="7"/>
      <c r="CA132" s="7"/>
      <c r="CB132" s="7"/>
      <c r="CC132" s="7"/>
      <c r="CD132" s="7"/>
      <c r="CE132" s="7"/>
      <c r="CF132" s="13"/>
      <c r="CG132" s="7"/>
      <c r="CH132" s="7"/>
      <c r="CI132" s="7"/>
      <c r="CJ132" s="7"/>
      <c r="CK132" s="7"/>
      <c r="CL132" s="7"/>
      <c r="CM132" s="13"/>
      <c r="CN132" s="13"/>
      <c r="CO132" s="13"/>
      <c r="CP132" s="7"/>
      <c r="CQ132" s="7"/>
      <c r="CX132" s="7"/>
    </row>
    <row r="133" spans="1:102" ht="14.25" hidden="1" customHeight="1" outlineLevel="1">
      <c r="A133" s="7"/>
      <c r="B133" s="1044" t="s">
        <v>248</v>
      </c>
      <c r="C133" s="1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13"/>
      <c r="Y133" s="63"/>
      <c r="Z133" s="13"/>
      <c r="AA133" s="13"/>
      <c r="AB133" s="13"/>
      <c r="AC133" s="13"/>
      <c r="AD133" s="13"/>
      <c r="AE133" s="13"/>
      <c r="AF133" s="20"/>
      <c r="AG133" s="30"/>
      <c r="AH133" s="30"/>
      <c r="AI133" s="781"/>
      <c r="AJ133" s="20"/>
      <c r="AK133" s="30"/>
      <c r="AL133" s="30">
        <v>3.2018574620038924</v>
      </c>
      <c r="AM133" s="781">
        <v>3.5846359911108308</v>
      </c>
      <c r="AN133" s="780">
        <v>3.5085742709380314</v>
      </c>
      <c r="AO133" s="30">
        <v>3.3377392532458061</v>
      </c>
      <c r="AP133" s="30">
        <v>3.2018574620038924</v>
      </c>
      <c r="AQ133" s="781">
        <v>3.5846359911108308</v>
      </c>
      <c r="AR133" s="780">
        <v>3.5085742709380314</v>
      </c>
      <c r="AS133" s="30">
        <v>3.3377392532458061</v>
      </c>
      <c r="AT133" s="30">
        <v>3.2018574620038924</v>
      </c>
      <c r="AU133" s="781">
        <v>3.5846359911108308</v>
      </c>
      <c r="AV133" s="780">
        <v>3.5085742709380314</v>
      </c>
      <c r="AW133" s="30">
        <v>3.8998587911942115</v>
      </c>
      <c r="AX133" s="30">
        <v>4.1127374875878688</v>
      </c>
      <c r="AY133" s="781">
        <v>4.4347613630801179</v>
      </c>
      <c r="AZ133" s="780">
        <v>4.1461055548162431</v>
      </c>
      <c r="BA133" s="30">
        <v>3.8998587911942115</v>
      </c>
      <c r="BB133" s="30">
        <v>4.1127374875878688</v>
      </c>
      <c r="BC133" s="781">
        <v>4.4347613630801179</v>
      </c>
      <c r="BD133" s="780">
        <v>4.1461055548162431</v>
      </c>
      <c r="BE133" s="30">
        <v>3.8998587911942115</v>
      </c>
      <c r="BF133" s="30">
        <v>4.1127374875878688</v>
      </c>
      <c r="BG133" s="781">
        <v>4.4347613630801179</v>
      </c>
      <c r="BH133" s="780">
        <v>4.1461055548162431</v>
      </c>
      <c r="BI133" s="30">
        <v>3.8998587911942115</v>
      </c>
      <c r="BJ133" s="30">
        <v>4.1127374875878688</v>
      </c>
      <c r="BK133" s="781">
        <v>4.4347613630801179</v>
      </c>
      <c r="BL133" s="7"/>
      <c r="BM133" s="7"/>
      <c r="BN133" s="7"/>
      <c r="BO133" s="10"/>
      <c r="BP133" s="7"/>
      <c r="BQ133" s="63"/>
      <c r="BR133" s="7"/>
      <c r="BS133" s="7"/>
      <c r="BT133" s="7"/>
      <c r="BU133" s="7"/>
      <c r="BV133" s="7"/>
      <c r="BW133" s="7"/>
      <c r="BX133" s="13"/>
      <c r="BY133" s="13"/>
      <c r="BZ133" s="13"/>
      <c r="CA133" s="7"/>
      <c r="CB133" s="7"/>
      <c r="CC133" s="7"/>
      <c r="CD133" s="7"/>
      <c r="CE133" s="7"/>
      <c r="CF133" s="13"/>
      <c r="CG133" s="7"/>
      <c r="CH133" s="7"/>
      <c r="CI133" s="7"/>
      <c r="CJ133" s="7"/>
      <c r="CK133" s="7"/>
      <c r="CL133" s="7"/>
      <c r="CM133" s="13"/>
      <c r="CN133" s="13"/>
      <c r="CO133" s="13"/>
      <c r="CP133" s="7"/>
      <c r="CQ133" s="7"/>
      <c r="CX133" s="7"/>
    </row>
    <row r="134" spans="1:102" ht="14.25" hidden="1" customHeight="1" outlineLevel="1">
      <c r="A134" s="7"/>
      <c r="B134" s="1044" t="s">
        <v>121</v>
      </c>
      <c r="C134" s="1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13"/>
      <c r="Y134" s="63"/>
      <c r="Z134" s="13"/>
      <c r="AA134" s="13"/>
      <c r="AB134" s="13"/>
      <c r="AC134" s="13"/>
      <c r="AD134" s="13"/>
      <c r="AE134" s="13"/>
      <c r="AF134" s="20"/>
      <c r="AG134" s="30"/>
      <c r="AH134" s="30"/>
      <c r="AI134" s="31"/>
      <c r="AJ134" s="20"/>
      <c r="AK134" s="30"/>
      <c r="AL134" s="30">
        <v>10.803571428571429</v>
      </c>
      <c r="AM134" s="31">
        <v>11.098214285714286</v>
      </c>
      <c r="AN134" s="29">
        <v>11.098214285714286</v>
      </c>
      <c r="AO134" s="30">
        <v>11</v>
      </c>
      <c r="AP134" s="30">
        <v>10.803571428571429</v>
      </c>
      <c r="AQ134" s="31">
        <v>11.098214285714286</v>
      </c>
      <c r="AR134" s="29">
        <v>11.098214285714286</v>
      </c>
      <c r="AS134" s="30">
        <v>11</v>
      </c>
      <c r="AT134" s="30">
        <v>10.803571428571429</v>
      </c>
      <c r="AU134" s="31">
        <v>11.098214285714286</v>
      </c>
      <c r="AV134" s="29">
        <v>11.098214285714286</v>
      </c>
      <c r="AW134" s="30">
        <v>12.571428571428577</v>
      </c>
      <c r="AX134" s="30">
        <v>12.080357142857148</v>
      </c>
      <c r="AY134" s="31">
        <v>12.767857142857148</v>
      </c>
      <c r="AZ134" s="29">
        <v>12.669642857142863</v>
      </c>
      <c r="BA134" s="30">
        <v>12.571428571428577</v>
      </c>
      <c r="BB134" s="30">
        <v>12.080357142857148</v>
      </c>
      <c r="BC134" s="31">
        <v>12.767857142857148</v>
      </c>
      <c r="BD134" s="29">
        <v>12.669642857142863</v>
      </c>
      <c r="BE134" s="30">
        <v>12.571428571428577</v>
      </c>
      <c r="BF134" s="30">
        <v>12.080357142857148</v>
      </c>
      <c r="BG134" s="31">
        <v>12.767857142857148</v>
      </c>
      <c r="BH134" s="29">
        <v>12.669642857142863</v>
      </c>
      <c r="BI134" s="30">
        <v>12.571428571428577</v>
      </c>
      <c r="BJ134" s="30">
        <v>12.080357142857148</v>
      </c>
      <c r="BK134" s="31">
        <v>12.767857142857148</v>
      </c>
      <c r="BL134" s="7"/>
      <c r="BM134" s="7"/>
      <c r="BN134" s="7"/>
      <c r="BO134" s="10"/>
      <c r="BP134" s="7"/>
      <c r="BQ134" s="63"/>
      <c r="BR134" s="7"/>
      <c r="BS134" s="7"/>
      <c r="BT134" s="7"/>
      <c r="BU134" s="7"/>
      <c r="BV134" s="7"/>
      <c r="BW134" s="7"/>
      <c r="BX134" s="13"/>
      <c r="BY134" s="13"/>
      <c r="BZ134" s="13"/>
      <c r="CA134" s="7"/>
      <c r="CB134" s="7"/>
      <c r="CC134" s="7"/>
      <c r="CD134" s="7"/>
      <c r="CE134" s="7"/>
      <c r="CF134" s="13"/>
      <c r="CG134" s="7"/>
      <c r="CH134" s="7"/>
      <c r="CI134" s="7"/>
      <c r="CJ134" s="7"/>
      <c r="CK134" s="7"/>
      <c r="CL134" s="7"/>
      <c r="CM134" s="13"/>
      <c r="CN134" s="13"/>
      <c r="CO134" s="13"/>
      <c r="CP134" s="7"/>
      <c r="CQ134" s="7"/>
      <c r="CX134" s="7"/>
    </row>
    <row r="135" spans="1:102" ht="14.25" hidden="1" customHeight="1" outlineLevel="1">
      <c r="A135" s="7"/>
      <c r="B135" s="1081" t="s">
        <v>122</v>
      </c>
      <c r="C135" s="1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13"/>
      <c r="Y135" s="63"/>
      <c r="Z135" s="13"/>
      <c r="AA135" s="13"/>
      <c r="AB135" s="13"/>
      <c r="AC135" s="13"/>
      <c r="AD135" s="13"/>
      <c r="AE135" s="13"/>
      <c r="AF135" s="20"/>
      <c r="AG135" s="30"/>
      <c r="AH135" s="30"/>
      <c r="AI135" s="31"/>
      <c r="AJ135" s="20"/>
      <c r="AK135" s="30"/>
      <c r="AL135" s="30">
        <v>15.483870967741936</v>
      </c>
      <c r="AM135" s="31">
        <v>16.516129032258064</v>
      </c>
      <c r="AN135" s="29">
        <v>16.516129032258064</v>
      </c>
      <c r="AO135" s="30">
        <v>16.258064516129032</v>
      </c>
      <c r="AP135" s="30">
        <v>15.483870967741936</v>
      </c>
      <c r="AQ135" s="31">
        <v>16.516129032258064</v>
      </c>
      <c r="AR135" s="29">
        <v>16.516129032258064</v>
      </c>
      <c r="AS135" s="30">
        <v>16.258064516129032</v>
      </c>
      <c r="AT135" s="30">
        <v>15.483870967741936</v>
      </c>
      <c r="AU135" s="31">
        <v>16.516129032258064</v>
      </c>
      <c r="AV135" s="29">
        <v>16.516129032258064</v>
      </c>
      <c r="AW135" s="30">
        <v>19.612903225806452</v>
      </c>
      <c r="AX135" s="30">
        <v>18.838709677419356</v>
      </c>
      <c r="AY135" s="31">
        <v>19.870967741935484</v>
      </c>
      <c r="AZ135" s="29">
        <v>19.870967741935484</v>
      </c>
      <c r="BA135" s="30">
        <v>19.612903225806452</v>
      </c>
      <c r="BB135" s="30">
        <v>18.838709677419356</v>
      </c>
      <c r="BC135" s="31">
        <v>19.870967741935484</v>
      </c>
      <c r="BD135" s="29">
        <v>19.870967741935484</v>
      </c>
      <c r="BE135" s="30">
        <v>19.612903225806452</v>
      </c>
      <c r="BF135" s="30">
        <v>18.838709677419356</v>
      </c>
      <c r="BG135" s="31">
        <v>19.870967741935484</v>
      </c>
      <c r="BH135" s="29">
        <v>19.870967741935484</v>
      </c>
      <c r="BI135" s="30">
        <v>19.612903225806452</v>
      </c>
      <c r="BJ135" s="30">
        <v>18.838709677419356</v>
      </c>
      <c r="BK135" s="31">
        <v>19.870967741935484</v>
      </c>
      <c r="BL135" s="7"/>
      <c r="BM135" s="7"/>
      <c r="BN135" s="7"/>
      <c r="BO135" s="10"/>
      <c r="BP135" s="7"/>
      <c r="BQ135" s="63"/>
      <c r="BR135" s="7"/>
      <c r="BS135" s="7"/>
      <c r="BT135" s="7"/>
      <c r="BU135" s="7"/>
      <c r="BV135" s="7"/>
      <c r="BW135" s="7"/>
      <c r="BX135" s="13"/>
      <c r="BY135" s="13"/>
      <c r="BZ135" s="13"/>
      <c r="CA135" s="7"/>
      <c r="CB135" s="7"/>
      <c r="CC135" s="7"/>
      <c r="CD135" s="7"/>
      <c r="CE135" s="7"/>
      <c r="CF135" s="13"/>
      <c r="CG135" s="7"/>
      <c r="CH135" s="7"/>
      <c r="CI135" s="7"/>
      <c r="CJ135" s="7"/>
      <c r="CK135" s="7"/>
      <c r="CL135" s="7"/>
      <c r="CM135" s="13"/>
      <c r="CN135" s="13"/>
      <c r="CO135" s="13"/>
      <c r="CP135" s="7"/>
      <c r="CQ135" s="7"/>
      <c r="CX135" s="7"/>
    </row>
    <row r="136" spans="1:102" ht="14.25" hidden="1" customHeight="1" outlineLevel="1">
      <c r="A136" s="7"/>
      <c r="B136" s="1044" t="s">
        <v>249</v>
      </c>
      <c r="C136" s="1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13"/>
      <c r="Y136" s="63"/>
      <c r="Z136" s="13"/>
      <c r="AA136" s="13"/>
      <c r="AB136" s="13"/>
      <c r="AC136" s="13"/>
      <c r="AD136" s="13"/>
      <c r="AE136" s="13"/>
      <c r="AF136" s="20"/>
      <c r="AG136" s="30"/>
      <c r="AH136" s="30"/>
      <c r="AI136" s="31"/>
      <c r="AJ136" s="20"/>
      <c r="AK136" s="30"/>
      <c r="AL136" s="30">
        <v>29.489299858317256</v>
      </c>
      <c r="AM136" s="31">
        <v>31.198979309083182</v>
      </c>
      <c r="AN136" s="29">
        <v>31.122917588910383</v>
      </c>
      <c r="AO136" s="30">
        <v>30.595803769374839</v>
      </c>
      <c r="AP136" s="30">
        <v>29.489299858317256</v>
      </c>
      <c r="AQ136" s="31">
        <v>31.198979309083182</v>
      </c>
      <c r="AR136" s="29">
        <v>31.122917588910383</v>
      </c>
      <c r="AS136" s="30">
        <v>30.595803769374839</v>
      </c>
      <c r="AT136" s="30">
        <v>29.489299858317256</v>
      </c>
      <c r="AU136" s="31">
        <v>31.198979309083182</v>
      </c>
      <c r="AV136" s="29">
        <v>31.122917588910383</v>
      </c>
      <c r="AW136" s="30">
        <v>36.084190588429237</v>
      </c>
      <c r="AX136" s="30">
        <v>35.031804307864377</v>
      </c>
      <c r="AY136" s="31">
        <v>37.073586247872754</v>
      </c>
      <c r="AZ136" s="29">
        <v>36.686716153894594</v>
      </c>
      <c r="BA136" s="30">
        <v>36.084190588429237</v>
      </c>
      <c r="BB136" s="30">
        <v>35.031804307864377</v>
      </c>
      <c r="BC136" s="31">
        <v>37.073586247872754</v>
      </c>
      <c r="BD136" s="29">
        <v>36.686716153894594</v>
      </c>
      <c r="BE136" s="30">
        <v>36.084190588429237</v>
      </c>
      <c r="BF136" s="30">
        <v>35.031804307864377</v>
      </c>
      <c r="BG136" s="31">
        <v>37.073586247872754</v>
      </c>
      <c r="BH136" s="29">
        <v>36.686716153894594</v>
      </c>
      <c r="BI136" s="30">
        <v>36.084190588429237</v>
      </c>
      <c r="BJ136" s="30">
        <v>35.031804307864377</v>
      </c>
      <c r="BK136" s="31">
        <v>37.073586247872754</v>
      </c>
      <c r="BL136" s="7"/>
      <c r="BM136" s="7"/>
      <c r="BN136" s="7"/>
      <c r="BO136" s="10"/>
      <c r="BP136" s="7"/>
      <c r="BQ136" s="63"/>
      <c r="BR136" s="7"/>
      <c r="BS136" s="7"/>
      <c r="BT136" s="7"/>
      <c r="BU136" s="7"/>
      <c r="BV136" s="7"/>
      <c r="BW136" s="7"/>
      <c r="BX136" s="13"/>
      <c r="BY136" s="13"/>
      <c r="BZ136" s="13"/>
      <c r="CA136" s="7"/>
      <c r="CB136" s="7"/>
      <c r="CC136" s="7"/>
      <c r="CD136" s="7"/>
      <c r="CE136" s="7"/>
      <c r="CF136" s="13"/>
      <c r="CG136" s="7"/>
      <c r="CH136" s="7"/>
      <c r="CI136" s="7"/>
      <c r="CJ136" s="7"/>
      <c r="CK136" s="7"/>
      <c r="CL136" s="7"/>
      <c r="CM136" s="13"/>
      <c r="CN136" s="13"/>
      <c r="CO136" s="13"/>
      <c r="CP136" s="7"/>
      <c r="CQ136" s="7"/>
      <c r="CX136" s="7"/>
    </row>
    <row r="137" spans="1:102" ht="14.25" hidden="1" customHeight="1" outlineLevel="1">
      <c r="A137" s="7"/>
      <c r="B137" s="1046" t="s">
        <v>3</v>
      </c>
      <c r="C137" s="223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223"/>
      <c r="Y137" s="66"/>
      <c r="Z137" s="223"/>
      <c r="AA137" s="223"/>
      <c r="AB137" s="223"/>
      <c r="AC137" s="223"/>
      <c r="AD137" s="223"/>
      <c r="AE137" s="223"/>
      <c r="AF137" s="14"/>
      <c r="AG137" s="66"/>
      <c r="AH137" s="66"/>
      <c r="AI137" s="61"/>
      <c r="AJ137" s="14"/>
      <c r="AK137" s="66"/>
      <c r="AL137" s="66"/>
      <c r="AM137" s="61"/>
      <c r="AN137" s="14"/>
      <c r="AO137" s="66"/>
      <c r="AP137" s="66"/>
      <c r="AQ137" s="61"/>
      <c r="AR137" s="14"/>
      <c r="AS137" s="66"/>
      <c r="AT137" s="66"/>
      <c r="AU137" s="61"/>
      <c r="AV137" s="14"/>
      <c r="AW137" s="66"/>
      <c r="AX137" s="66"/>
      <c r="AY137" s="61"/>
      <c r="AZ137" s="14"/>
      <c r="BA137" s="66"/>
      <c r="BB137" s="66"/>
      <c r="BC137" s="61"/>
      <c r="BD137" s="14"/>
      <c r="BE137" s="66"/>
      <c r="BF137" s="66"/>
      <c r="BG137" s="61"/>
      <c r="BH137" s="14"/>
      <c r="BI137" s="66"/>
      <c r="BJ137" s="66"/>
      <c r="BK137" s="61"/>
      <c r="BL137" s="7"/>
      <c r="BM137" s="7"/>
      <c r="BN137" s="7"/>
      <c r="BO137" s="10"/>
      <c r="BP137" s="7"/>
      <c r="BQ137" s="63"/>
      <c r="BR137" s="7"/>
      <c r="BS137" s="7"/>
      <c r="BT137" s="7"/>
      <c r="BU137" s="7"/>
      <c r="BV137" s="7"/>
      <c r="BW137" s="7"/>
      <c r="BX137" s="13"/>
      <c r="BY137" s="13"/>
      <c r="BZ137" s="13"/>
      <c r="CA137" s="7"/>
      <c r="CB137" s="7"/>
      <c r="CC137" s="7"/>
      <c r="CD137" s="7"/>
      <c r="CE137" s="7"/>
      <c r="CF137" s="13"/>
      <c r="CG137" s="7"/>
      <c r="CH137" s="7"/>
      <c r="CI137" s="7"/>
      <c r="CJ137" s="7"/>
      <c r="CK137" s="7"/>
      <c r="CL137" s="7"/>
      <c r="CM137" s="13"/>
      <c r="CN137" s="13"/>
      <c r="CO137" s="13"/>
      <c r="CP137" s="7"/>
      <c r="CQ137" s="7"/>
      <c r="CX137" s="7"/>
    </row>
    <row r="138" spans="1:102" ht="14.25" hidden="1" customHeight="1" outlineLevel="1">
      <c r="A138" s="7"/>
      <c r="B138" s="545"/>
      <c r="C138" s="7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7"/>
      <c r="Y138" s="10"/>
      <c r="Z138" s="7"/>
      <c r="AA138" s="7"/>
      <c r="AB138" s="7"/>
      <c r="AC138" s="7"/>
      <c r="AD138" s="7"/>
      <c r="AE138" s="7"/>
      <c r="AF138" s="7"/>
      <c r="AG138" s="10"/>
      <c r="AH138" s="10"/>
      <c r="AI138" s="10"/>
      <c r="AJ138" s="10"/>
      <c r="AK138" s="582"/>
      <c r="AL138" s="10"/>
      <c r="AM138" s="582"/>
      <c r="AN138" s="10"/>
      <c r="AO138" s="582"/>
      <c r="AP138" s="10"/>
      <c r="AQ138" s="582"/>
      <c r="AR138" s="10"/>
      <c r="AS138" s="582"/>
      <c r="AT138" s="10"/>
      <c r="AU138" s="582"/>
      <c r="AV138" s="10"/>
      <c r="AW138" s="582"/>
      <c r="AX138" s="582"/>
      <c r="AY138" s="582"/>
      <c r="AZ138" s="582"/>
      <c r="BA138" s="582"/>
      <c r="BB138" s="582"/>
      <c r="BC138" s="582"/>
      <c r="BD138" s="582"/>
      <c r="BE138" s="582"/>
      <c r="BF138" s="582"/>
      <c r="BG138" s="582"/>
      <c r="BH138" s="582"/>
      <c r="BI138" s="582"/>
      <c r="BJ138" s="582"/>
      <c r="BK138" s="582"/>
      <c r="BL138" s="7"/>
      <c r="BM138" s="7"/>
      <c r="BN138" s="7"/>
      <c r="BO138" s="10"/>
      <c r="BP138" s="7"/>
      <c r="BQ138" s="63"/>
      <c r="BR138" s="7"/>
      <c r="BS138" s="7"/>
      <c r="BT138" s="7"/>
      <c r="BU138" s="7"/>
      <c r="BV138" s="7"/>
      <c r="BW138" s="7"/>
      <c r="BX138" s="13"/>
      <c r="BY138" s="13"/>
      <c r="BZ138" s="13"/>
      <c r="CA138" s="7"/>
      <c r="CB138" s="7"/>
      <c r="CC138" s="7"/>
      <c r="CD138" s="7"/>
      <c r="CE138" s="7"/>
      <c r="CF138" s="13"/>
      <c r="CG138" s="7"/>
      <c r="CH138" s="7"/>
      <c r="CI138" s="7"/>
      <c r="CJ138" s="7"/>
      <c r="CK138" s="7"/>
      <c r="CL138" s="7"/>
      <c r="CM138" s="13"/>
      <c r="CN138" s="13"/>
      <c r="CO138" s="13"/>
      <c r="CP138" s="7"/>
      <c r="CQ138" s="7"/>
      <c r="CX138" s="7"/>
    </row>
    <row r="139" spans="1:102" ht="14.25" hidden="1" customHeight="1" outlineLevel="1">
      <c r="A139" s="7"/>
      <c r="B139" s="762" t="s">
        <v>313</v>
      </c>
      <c r="C139" s="539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4"/>
      <c r="Y139" s="62"/>
      <c r="Z139" s="624"/>
      <c r="AA139" s="624"/>
      <c r="AB139" s="624"/>
      <c r="AC139" s="624"/>
      <c r="AD139" s="624"/>
      <c r="AE139" s="624"/>
      <c r="AF139" s="540" t="str">
        <f t="shared" ref="AF139:BK139" si="600">+AF$7</f>
        <v>F1Q13</v>
      </c>
      <c r="AG139" s="541" t="str">
        <f t="shared" si="600"/>
        <v>F2Q13</v>
      </c>
      <c r="AH139" s="541" t="str">
        <f t="shared" si="600"/>
        <v>F3Q13</v>
      </c>
      <c r="AI139" s="542" t="str">
        <f t="shared" si="600"/>
        <v>F4Q13</v>
      </c>
      <c r="AJ139" s="540" t="str">
        <f t="shared" si="600"/>
        <v>F1Q14</v>
      </c>
      <c r="AK139" s="541" t="str">
        <f t="shared" si="600"/>
        <v>F2Q14A</v>
      </c>
      <c r="AL139" s="541" t="str">
        <f t="shared" si="600"/>
        <v>F3Q14A</v>
      </c>
      <c r="AM139" s="541" t="str">
        <f t="shared" si="600"/>
        <v>F4Q14A</v>
      </c>
      <c r="AN139" s="540" t="str">
        <f t="shared" si="600"/>
        <v>F1Q15A</v>
      </c>
      <c r="AO139" s="541" t="str">
        <f t="shared" si="600"/>
        <v>F2Q15A</v>
      </c>
      <c r="AP139" s="541" t="str">
        <f t="shared" si="600"/>
        <v>F3Q15A</v>
      </c>
      <c r="AQ139" s="541" t="str">
        <f t="shared" si="600"/>
        <v>F4Q15A</v>
      </c>
      <c r="AR139" s="540" t="str">
        <f t="shared" si="600"/>
        <v>F1Q16A</v>
      </c>
      <c r="AS139" s="541" t="str">
        <f t="shared" si="600"/>
        <v>F2Q16A</v>
      </c>
      <c r="AT139" s="541" t="str">
        <f t="shared" si="600"/>
        <v>F3Q16A</v>
      </c>
      <c r="AU139" s="541" t="str">
        <f t="shared" si="600"/>
        <v>F4Q16A</v>
      </c>
      <c r="AV139" s="540" t="str">
        <f t="shared" si="600"/>
        <v>F1Q17A</v>
      </c>
      <c r="AW139" s="541" t="str">
        <f t="shared" si="600"/>
        <v>F2Q17A</v>
      </c>
      <c r="AX139" s="541" t="str">
        <f t="shared" si="600"/>
        <v>F3Q17A</v>
      </c>
      <c r="AY139" s="542" t="str">
        <f t="shared" si="600"/>
        <v>F4Q17A</v>
      </c>
      <c r="AZ139" s="540" t="str">
        <f t="shared" si="600"/>
        <v>F1Q18A</v>
      </c>
      <c r="BA139" s="541" t="str">
        <f t="shared" si="600"/>
        <v>F2Q18E</v>
      </c>
      <c r="BB139" s="541" t="str">
        <f t="shared" si="600"/>
        <v>F3Q18E</v>
      </c>
      <c r="BC139" s="542" t="str">
        <f t="shared" si="600"/>
        <v>F4Q18E</v>
      </c>
      <c r="BD139" s="540" t="str">
        <f t="shared" si="600"/>
        <v>F1Q19E</v>
      </c>
      <c r="BE139" s="541" t="str">
        <f t="shared" si="600"/>
        <v>F2Q19E</v>
      </c>
      <c r="BF139" s="541" t="str">
        <f t="shared" si="600"/>
        <v>F3Q19E</v>
      </c>
      <c r="BG139" s="542" t="str">
        <f t="shared" si="600"/>
        <v>F4Q19E</v>
      </c>
      <c r="BH139" s="540" t="str">
        <f t="shared" si="600"/>
        <v>F1Q20E</v>
      </c>
      <c r="BI139" s="541" t="str">
        <f t="shared" si="600"/>
        <v>F2Q20E</v>
      </c>
      <c r="BJ139" s="541" t="str">
        <f t="shared" si="600"/>
        <v>F3Q20E</v>
      </c>
      <c r="BK139" s="542" t="str">
        <f t="shared" si="600"/>
        <v>F4Q20E</v>
      </c>
      <c r="BL139" s="7"/>
      <c r="BM139" s="7"/>
      <c r="BN139" s="7"/>
      <c r="BO139" s="10"/>
      <c r="BP139" s="7"/>
      <c r="BQ139" s="63"/>
      <c r="BR139" s="7"/>
      <c r="BS139" s="7"/>
      <c r="BT139" s="7"/>
      <c r="BU139" s="7"/>
      <c r="BV139" s="7"/>
      <c r="BW139" s="7"/>
      <c r="BX139" s="13"/>
      <c r="BY139" s="13"/>
      <c r="BZ139" s="13"/>
      <c r="CA139" s="7"/>
      <c r="CB139" s="7"/>
      <c r="CC139" s="7"/>
      <c r="CD139" s="7"/>
      <c r="CE139" s="7"/>
      <c r="CF139" s="13"/>
      <c r="CG139" s="7"/>
      <c r="CH139" s="7"/>
      <c r="CI139" s="7"/>
      <c r="CJ139" s="7"/>
      <c r="CK139" s="7"/>
      <c r="CL139" s="7"/>
      <c r="CM139" s="13"/>
      <c r="CN139" s="13"/>
      <c r="CO139" s="13"/>
      <c r="CP139" s="7"/>
      <c r="CQ139" s="7"/>
      <c r="CX139" s="7"/>
    </row>
    <row r="140" spans="1:102" ht="14.25" hidden="1" customHeight="1" outlineLevel="1">
      <c r="A140" s="7"/>
      <c r="B140" s="1044" t="s">
        <v>248</v>
      </c>
      <c r="C140" s="1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13"/>
      <c r="Y140" s="63"/>
      <c r="Z140" s="13"/>
      <c r="AA140" s="13"/>
      <c r="AB140" s="13"/>
      <c r="AC140" s="13"/>
      <c r="AD140" s="13"/>
      <c r="AE140" s="13"/>
      <c r="AF140" s="20"/>
      <c r="AG140" s="30"/>
      <c r="AH140" s="30"/>
      <c r="AI140" s="781"/>
      <c r="AJ140" s="780"/>
      <c r="AK140" s="30"/>
      <c r="AL140" s="30">
        <v>2.4580000000000002</v>
      </c>
      <c r="AM140" s="781">
        <v>2.4580000000000002</v>
      </c>
      <c r="AN140" s="780">
        <v>2.4580000000000002</v>
      </c>
      <c r="AO140" s="30">
        <v>2.4580000000000002</v>
      </c>
      <c r="AP140" s="30">
        <v>2.4580000000000002</v>
      </c>
      <c r="AQ140" s="781">
        <v>2.4580000000000002</v>
      </c>
      <c r="AR140" s="780">
        <v>2.4580000000000002</v>
      </c>
      <c r="AS140" s="30">
        <v>2.4580000000000002</v>
      </c>
      <c r="AT140" s="30">
        <v>2.4580000000000002</v>
      </c>
      <c r="AU140" s="781">
        <v>2.4580000000000002</v>
      </c>
      <c r="AV140" s="780">
        <v>2.4580000000000002</v>
      </c>
      <c r="AW140" s="30">
        <f t="shared" ref="AW140:BC142" si="601">AV140</f>
        <v>2.4580000000000002</v>
      </c>
      <c r="AX140" s="30">
        <f t="shared" si="601"/>
        <v>2.4580000000000002</v>
      </c>
      <c r="AY140" s="781">
        <f t="shared" si="601"/>
        <v>2.4580000000000002</v>
      </c>
      <c r="AZ140" s="780">
        <f t="shared" si="601"/>
        <v>2.4580000000000002</v>
      </c>
      <c r="BA140" s="30">
        <f t="shared" si="601"/>
        <v>2.4580000000000002</v>
      </c>
      <c r="BB140" s="30">
        <f t="shared" si="601"/>
        <v>2.4580000000000002</v>
      </c>
      <c r="BC140" s="781">
        <f t="shared" si="601"/>
        <v>2.4580000000000002</v>
      </c>
      <c r="BD140" s="780">
        <f t="shared" ref="BD140:BD142" si="602">BC140</f>
        <v>2.4580000000000002</v>
      </c>
      <c r="BE140" s="30">
        <f t="shared" ref="BE140:BE142" si="603">BD140</f>
        <v>2.4580000000000002</v>
      </c>
      <c r="BF140" s="30">
        <f t="shared" ref="BF140:BF142" si="604">BE140</f>
        <v>2.4580000000000002</v>
      </c>
      <c r="BG140" s="781">
        <f t="shared" ref="BG140:BG142" si="605">BF140</f>
        <v>2.4580000000000002</v>
      </c>
      <c r="BH140" s="780">
        <f t="shared" ref="BH140:BH142" si="606">BG140</f>
        <v>2.4580000000000002</v>
      </c>
      <c r="BI140" s="30">
        <f t="shared" ref="BI140:BI142" si="607">BH140</f>
        <v>2.4580000000000002</v>
      </c>
      <c r="BJ140" s="30">
        <f t="shared" ref="BJ140:BJ142" si="608">BI140</f>
        <v>2.4580000000000002</v>
      </c>
      <c r="BK140" s="781">
        <f t="shared" ref="BK140:BK142" si="609">BJ140</f>
        <v>2.4580000000000002</v>
      </c>
      <c r="BL140" s="7"/>
      <c r="BM140" s="7"/>
      <c r="BN140" s="7"/>
      <c r="BO140" s="10"/>
      <c r="BP140" s="7"/>
      <c r="BQ140" s="63"/>
      <c r="BR140" s="7"/>
      <c r="BS140" s="7"/>
      <c r="BT140" s="7"/>
      <c r="BU140" s="7"/>
      <c r="BV140" s="7"/>
      <c r="BW140" s="7"/>
      <c r="BX140" s="13"/>
      <c r="BY140" s="13"/>
      <c r="BZ140" s="13"/>
      <c r="CA140" s="7"/>
      <c r="CB140" s="7"/>
      <c r="CC140" s="7"/>
      <c r="CD140" s="7"/>
      <c r="CE140" s="7"/>
      <c r="CF140" s="13"/>
      <c r="CG140" s="7"/>
      <c r="CH140" s="7"/>
      <c r="CI140" s="7"/>
      <c r="CJ140" s="7"/>
      <c r="CK140" s="7"/>
      <c r="CL140" s="7"/>
      <c r="CM140" s="13"/>
      <c r="CN140" s="13"/>
      <c r="CO140" s="13"/>
      <c r="CP140" s="7"/>
      <c r="CQ140" s="7"/>
      <c r="CX140" s="7"/>
    </row>
    <row r="141" spans="1:102" ht="14.25" hidden="1" customHeight="1" outlineLevel="1">
      <c r="A141" s="7"/>
      <c r="B141" s="1044" t="s">
        <v>121</v>
      </c>
      <c r="C141" s="1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13"/>
      <c r="Y141" s="63"/>
      <c r="Z141" s="13"/>
      <c r="AA141" s="13"/>
      <c r="AB141" s="13"/>
      <c r="AC141" s="13"/>
      <c r="AD141" s="13"/>
      <c r="AE141" s="13"/>
      <c r="AF141" s="20"/>
      <c r="AG141" s="30"/>
      <c r="AH141" s="30"/>
      <c r="AI141" s="31"/>
      <c r="AJ141" s="29"/>
      <c r="AK141" s="30"/>
      <c r="AL141" s="30">
        <v>10.295</v>
      </c>
      <c r="AM141" s="31">
        <v>10.295</v>
      </c>
      <c r="AN141" s="29">
        <v>10</v>
      </c>
      <c r="AO141" s="30">
        <v>10</v>
      </c>
      <c r="AP141" s="30">
        <v>10.295</v>
      </c>
      <c r="AQ141" s="31">
        <v>10.295</v>
      </c>
      <c r="AR141" s="29">
        <v>10</v>
      </c>
      <c r="AS141" s="30">
        <v>10</v>
      </c>
      <c r="AT141" s="30">
        <v>10.295</v>
      </c>
      <c r="AU141" s="31">
        <v>10.295</v>
      </c>
      <c r="AV141" s="29">
        <v>10</v>
      </c>
      <c r="AW141" s="30">
        <f t="shared" si="601"/>
        <v>10</v>
      </c>
      <c r="AX141" s="30">
        <f t="shared" si="601"/>
        <v>10</v>
      </c>
      <c r="AY141" s="31">
        <f t="shared" si="601"/>
        <v>10</v>
      </c>
      <c r="AZ141" s="29">
        <f t="shared" si="601"/>
        <v>10</v>
      </c>
      <c r="BA141" s="30">
        <f t="shared" si="601"/>
        <v>10</v>
      </c>
      <c r="BB141" s="30">
        <f t="shared" si="601"/>
        <v>10</v>
      </c>
      <c r="BC141" s="31">
        <f t="shared" si="601"/>
        <v>10</v>
      </c>
      <c r="BD141" s="29">
        <f t="shared" si="602"/>
        <v>10</v>
      </c>
      <c r="BE141" s="30">
        <f t="shared" si="603"/>
        <v>10</v>
      </c>
      <c r="BF141" s="30">
        <f t="shared" si="604"/>
        <v>10</v>
      </c>
      <c r="BG141" s="31">
        <f t="shared" si="605"/>
        <v>10</v>
      </c>
      <c r="BH141" s="29">
        <f t="shared" si="606"/>
        <v>10</v>
      </c>
      <c r="BI141" s="30">
        <f t="shared" si="607"/>
        <v>10</v>
      </c>
      <c r="BJ141" s="30">
        <f t="shared" si="608"/>
        <v>10</v>
      </c>
      <c r="BK141" s="31">
        <f t="shared" si="609"/>
        <v>10</v>
      </c>
      <c r="BL141" s="7"/>
      <c r="BM141" s="7"/>
      <c r="BN141" s="7"/>
      <c r="BO141" s="10"/>
      <c r="BP141" s="7"/>
      <c r="BQ141" s="63"/>
      <c r="BR141" s="7"/>
      <c r="BS141" s="7"/>
      <c r="BT141" s="7"/>
      <c r="BU141" s="7"/>
      <c r="BV141" s="7"/>
      <c r="BW141" s="7"/>
      <c r="BX141" s="7"/>
      <c r="BY141" s="13"/>
      <c r="BZ141" s="13"/>
      <c r="CA141" s="7"/>
      <c r="CB141" s="7"/>
      <c r="CC141" s="7"/>
      <c r="CD141" s="7"/>
      <c r="CE141" s="7"/>
      <c r="CF141" s="13"/>
      <c r="CG141" s="7"/>
      <c r="CH141" s="7"/>
      <c r="CI141" s="7"/>
      <c r="CJ141" s="7"/>
      <c r="CK141" s="7"/>
      <c r="CL141" s="7"/>
      <c r="CM141" s="13"/>
      <c r="CN141" s="13"/>
      <c r="CO141" s="13"/>
      <c r="CP141" s="7"/>
      <c r="CQ141" s="7"/>
      <c r="CX141" s="7"/>
    </row>
    <row r="142" spans="1:102" ht="14.25" hidden="1" customHeight="1" outlineLevel="1">
      <c r="A142" s="7"/>
      <c r="B142" s="1081" t="s">
        <v>122</v>
      </c>
      <c r="C142" s="1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13"/>
      <c r="Y142" s="63"/>
      <c r="Z142" s="13"/>
      <c r="AA142" s="13"/>
      <c r="AB142" s="13"/>
      <c r="AC142" s="13"/>
      <c r="AD142" s="13"/>
      <c r="AE142" s="13"/>
      <c r="AF142" s="20"/>
      <c r="AG142" s="30"/>
      <c r="AH142" s="30"/>
      <c r="AI142" s="31"/>
      <c r="AJ142" s="29"/>
      <c r="AK142" s="30"/>
      <c r="AL142" s="30">
        <v>8.2319999999999993</v>
      </c>
      <c r="AM142" s="31">
        <v>8.2319999999999993</v>
      </c>
      <c r="AN142" s="29">
        <v>8.2319999999999993</v>
      </c>
      <c r="AO142" s="30">
        <v>8.2319999999999993</v>
      </c>
      <c r="AP142" s="30">
        <v>8.2319999999999993</v>
      </c>
      <c r="AQ142" s="31">
        <v>8.2319999999999993</v>
      </c>
      <c r="AR142" s="29">
        <v>8.2319999999999993</v>
      </c>
      <c r="AS142" s="30">
        <v>8.2319999999999993</v>
      </c>
      <c r="AT142" s="30">
        <v>8.2319999999999993</v>
      </c>
      <c r="AU142" s="31">
        <v>8.2319999999999993</v>
      </c>
      <c r="AV142" s="29">
        <v>8.2319999999999993</v>
      </c>
      <c r="AW142" s="30">
        <f t="shared" si="601"/>
        <v>8.2319999999999993</v>
      </c>
      <c r="AX142" s="30">
        <f t="shared" si="601"/>
        <v>8.2319999999999993</v>
      </c>
      <c r="AY142" s="31">
        <f t="shared" si="601"/>
        <v>8.2319999999999993</v>
      </c>
      <c r="AZ142" s="29">
        <f t="shared" si="601"/>
        <v>8.2319999999999993</v>
      </c>
      <c r="BA142" s="30">
        <f t="shared" si="601"/>
        <v>8.2319999999999993</v>
      </c>
      <c r="BB142" s="30">
        <f t="shared" si="601"/>
        <v>8.2319999999999993</v>
      </c>
      <c r="BC142" s="31">
        <f t="shared" si="601"/>
        <v>8.2319999999999993</v>
      </c>
      <c r="BD142" s="29">
        <f t="shared" si="602"/>
        <v>8.2319999999999993</v>
      </c>
      <c r="BE142" s="30">
        <f t="shared" si="603"/>
        <v>8.2319999999999993</v>
      </c>
      <c r="BF142" s="30">
        <f t="shared" si="604"/>
        <v>8.2319999999999993</v>
      </c>
      <c r="BG142" s="31">
        <f t="shared" si="605"/>
        <v>8.2319999999999993</v>
      </c>
      <c r="BH142" s="29">
        <f t="shared" si="606"/>
        <v>8.2319999999999993</v>
      </c>
      <c r="BI142" s="30">
        <f t="shared" si="607"/>
        <v>8.2319999999999993</v>
      </c>
      <c r="BJ142" s="30">
        <f t="shared" si="608"/>
        <v>8.2319999999999993</v>
      </c>
      <c r="BK142" s="31">
        <f t="shared" si="609"/>
        <v>8.2319999999999993</v>
      </c>
      <c r="BL142" s="7"/>
      <c r="BM142" s="7"/>
      <c r="BN142" s="7"/>
      <c r="BO142" s="10"/>
      <c r="BP142" s="7"/>
      <c r="BQ142" s="63"/>
      <c r="BR142" s="7"/>
      <c r="BS142" s="7"/>
      <c r="BT142" s="7"/>
      <c r="BU142" s="7"/>
      <c r="BV142" s="7"/>
      <c r="BW142" s="7"/>
      <c r="BX142" s="7"/>
      <c r="BY142" s="13"/>
      <c r="BZ142" s="13"/>
      <c r="CA142" s="7"/>
      <c r="CB142" s="7"/>
      <c r="CC142" s="7"/>
      <c r="CD142" s="7"/>
      <c r="CE142" s="7"/>
      <c r="CF142" s="13"/>
      <c r="CG142" s="7"/>
      <c r="CH142" s="7"/>
      <c r="CI142" s="7"/>
      <c r="CJ142" s="7"/>
      <c r="CK142" s="7"/>
      <c r="CL142" s="7"/>
      <c r="CM142" s="13"/>
      <c r="CN142" s="13"/>
      <c r="CO142" s="13"/>
      <c r="CP142" s="7"/>
      <c r="CQ142" s="7"/>
      <c r="CX142" s="7"/>
    </row>
    <row r="143" spans="1:102" ht="14.25" hidden="1" customHeight="1" outlineLevel="1">
      <c r="A143" s="7"/>
      <c r="B143" s="1044" t="s">
        <v>249</v>
      </c>
      <c r="C143" s="1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13"/>
      <c r="Y143" s="63"/>
      <c r="Z143" s="13"/>
      <c r="AA143" s="13"/>
      <c r="AB143" s="13"/>
      <c r="AC143" s="13"/>
      <c r="AD143" s="13"/>
      <c r="AE143" s="13"/>
      <c r="AF143" s="20"/>
      <c r="AG143" s="30"/>
      <c r="AH143" s="30"/>
      <c r="AI143" s="31"/>
      <c r="AJ143" s="29"/>
      <c r="AK143" s="30"/>
      <c r="AL143" s="30">
        <v>29.489299858317256</v>
      </c>
      <c r="AM143" s="31">
        <v>31.198979309083182</v>
      </c>
      <c r="AN143" s="29">
        <v>31.122917588910383</v>
      </c>
      <c r="AO143" s="30">
        <v>30.595803769374839</v>
      </c>
      <c r="AP143" s="30">
        <v>29.489299858317256</v>
      </c>
      <c r="AQ143" s="31">
        <v>31.198979309083182</v>
      </c>
      <c r="AR143" s="29">
        <v>31.122917588910383</v>
      </c>
      <c r="AS143" s="30">
        <v>30.595803769374839</v>
      </c>
      <c r="AT143" s="30">
        <v>29.489299858317256</v>
      </c>
      <c r="AU143" s="31">
        <v>31.198979309083182</v>
      </c>
      <c r="AV143" s="29">
        <v>31.122917588910383</v>
      </c>
      <c r="AW143" s="30">
        <v>30.595803769374839</v>
      </c>
      <c r="AX143" s="30">
        <v>32.245427191150938</v>
      </c>
      <c r="AY143" s="31">
        <v>34.119655913376526</v>
      </c>
      <c r="AZ143" s="29">
        <v>31.122917588910383</v>
      </c>
      <c r="BA143" s="30">
        <v>30.595803769374839</v>
      </c>
      <c r="BB143" s="30">
        <v>32.245427191150938</v>
      </c>
      <c r="BC143" s="31">
        <v>34.119655913376526</v>
      </c>
      <c r="BD143" s="29">
        <v>31.122917588910383</v>
      </c>
      <c r="BE143" s="30">
        <v>30.595803769374839</v>
      </c>
      <c r="BF143" s="30">
        <v>32.245427191150938</v>
      </c>
      <c r="BG143" s="31">
        <v>34.119655913376526</v>
      </c>
      <c r="BH143" s="29">
        <v>31.122917588910383</v>
      </c>
      <c r="BI143" s="30">
        <v>30.595803769374839</v>
      </c>
      <c r="BJ143" s="30">
        <v>32.245427191150938</v>
      </c>
      <c r="BK143" s="31">
        <v>34.119655913376526</v>
      </c>
      <c r="BL143" s="7"/>
      <c r="BM143" s="7"/>
      <c r="BN143" s="7"/>
      <c r="BO143" s="10"/>
      <c r="BP143" s="7"/>
      <c r="BQ143" s="63"/>
      <c r="BR143" s="7"/>
      <c r="BS143" s="7"/>
      <c r="BT143" s="7"/>
      <c r="BU143" s="7"/>
      <c r="BV143" s="7"/>
      <c r="BW143" s="7"/>
      <c r="BX143" s="7"/>
      <c r="BY143" s="13"/>
      <c r="BZ143" s="13"/>
      <c r="CA143" s="7"/>
      <c r="CB143" s="7"/>
      <c r="CC143" s="7"/>
      <c r="CD143" s="7"/>
      <c r="CE143" s="7"/>
      <c r="CF143" s="13"/>
      <c r="CG143" s="7"/>
      <c r="CH143" s="7"/>
      <c r="CI143" s="7"/>
      <c r="CJ143" s="7"/>
      <c r="CK143" s="7"/>
      <c r="CL143" s="7"/>
      <c r="CM143" s="13"/>
      <c r="CN143" s="13"/>
      <c r="CO143" s="13"/>
      <c r="CP143" s="7"/>
      <c r="CQ143" s="7"/>
      <c r="CX143" s="7"/>
    </row>
    <row r="144" spans="1:102" ht="14.25" hidden="1" customHeight="1" outlineLevel="1">
      <c r="A144" s="7"/>
      <c r="B144" s="1046" t="s">
        <v>3</v>
      </c>
      <c r="C144" s="223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223"/>
      <c r="Y144" s="66"/>
      <c r="Z144" s="223"/>
      <c r="AA144" s="223"/>
      <c r="AB144" s="223"/>
      <c r="AC144" s="223"/>
      <c r="AD144" s="223"/>
      <c r="AE144" s="223"/>
      <c r="AF144" s="14"/>
      <c r="AG144" s="66"/>
      <c r="AH144" s="66"/>
      <c r="AI144" s="61"/>
      <c r="AJ144" s="14"/>
      <c r="AK144" s="66"/>
      <c r="AL144" s="66"/>
      <c r="AM144" s="61"/>
      <c r="AN144" s="14"/>
      <c r="AO144" s="66"/>
      <c r="AP144" s="66"/>
      <c r="AQ144" s="61"/>
      <c r="AR144" s="14"/>
      <c r="AS144" s="66"/>
      <c r="AT144" s="66"/>
      <c r="AU144" s="61"/>
      <c r="AV144" s="14"/>
      <c r="AW144" s="66"/>
      <c r="AX144" s="66"/>
      <c r="AY144" s="61"/>
      <c r="AZ144" s="14"/>
      <c r="BA144" s="66"/>
      <c r="BB144" s="66"/>
      <c r="BC144" s="61"/>
      <c r="BD144" s="14"/>
      <c r="BE144" s="66"/>
      <c r="BF144" s="66"/>
      <c r="BG144" s="61"/>
      <c r="BH144" s="14"/>
      <c r="BI144" s="66"/>
      <c r="BJ144" s="66"/>
      <c r="BK144" s="61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13"/>
      <c r="CG144" s="7"/>
      <c r="CH144" s="7"/>
      <c r="CI144" s="7"/>
      <c r="CJ144" s="7"/>
      <c r="CK144" s="7"/>
      <c r="CL144" s="7"/>
      <c r="CM144" s="13"/>
      <c r="CN144" s="13"/>
      <c r="CO144" s="13"/>
      <c r="CP144" s="1211"/>
      <c r="CQ144" s="7"/>
      <c r="CX144" s="7"/>
    </row>
    <row r="145" spans="1:102" ht="14.25" hidden="1" customHeight="1" outlineLevel="1">
      <c r="A145" s="7"/>
      <c r="C145" s="7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7"/>
      <c r="Y145" s="10"/>
      <c r="Z145" s="7"/>
      <c r="AA145" s="7"/>
      <c r="AB145" s="7"/>
      <c r="AC145" s="7"/>
      <c r="AD145" s="7"/>
      <c r="AE145" s="7"/>
      <c r="AF145" s="7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13"/>
      <c r="CG145" s="7"/>
      <c r="CH145" s="7"/>
      <c r="CI145" s="7"/>
      <c r="CJ145" s="7"/>
      <c r="CK145" s="7"/>
      <c r="CL145" s="7"/>
      <c r="CM145" s="13"/>
      <c r="CN145" s="13"/>
      <c r="CO145" s="13"/>
      <c r="CP145" s="7"/>
      <c r="CQ145" s="7"/>
      <c r="CX145" s="7"/>
    </row>
    <row r="146" spans="1:102" ht="14.25" hidden="1" customHeight="1" outlineLevel="1">
      <c r="A146" s="7"/>
      <c r="C146" s="7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7"/>
      <c r="Y146" s="10"/>
      <c r="Z146" s="7"/>
      <c r="AA146" s="7"/>
      <c r="AB146" s="7"/>
      <c r="AC146" s="7"/>
      <c r="AD146" s="7"/>
      <c r="AE146" s="7"/>
      <c r="AF146" s="7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360">
        <v>0.62662401533422407</v>
      </c>
      <c r="AZ146" s="1358">
        <v>0.62967281462653235</v>
      </c>
      <c r="BA146" s="1359">
        <v>0.63114510749404396</v>
      </c>
      <c r="BB146" s="1359">
        <v>0.6334389332578324</v>
      </c>
      <c r="BC146" s="1360">
        <v>0.63324112925489451</v>
      </c>
      <c r="BD146" s="1359">
        <v>0.63517657515181791</v>
      </c>
      <c r="BE146" s="1359">
        <v>0.63526856376716612</v>
      </c>
      <c r="BF146" s="1359">
        <v>0.63705524160279459</v>
      </c>
      <c r="BG146" s="1359">
        <v>0.63701441448791851</v>
      </c>
      <c r="BH146" s="1365">
        <v>0.63517657515181791</v>
      </c>
      <c r="BI146" s="1365">
        <v>0.63526856376716612</v>
      </c>
      <c r="BJ146" s="1365">
        <v>0.63705524160279459</v>
      </c>
      <c r="BK146" s="1365">
        <v>0.63701441448791851</v>
      </c>
      <c r="BL146" s="7"/>
      <c r="BM146" s="7"/>
      <c r="BN146" s="7"/>
      <c r="BO146" s="10"/>
      <c r="BP146" s="7"/>
      <c r="BQ146" s="63"/>
      <c r="BR146" s="7"/>
      <c r="BS146" s="7"/>
      <c r="BT146" s="7"/>
      <c r="BU146" s="7"/>
      <c r="BV146" s="1286"/>
      <c r="BW146" s="7"/>
      <c r="BX146" s="13"/>
      <c r="BY146" s="13"/>
      <c r="BZ146" s="13"/>
      <c r="CA146" s="7"/>
      <c r="CB146" s="7"/>
      <c r="CC146" s="7"/>
      <c r="CD146" s="7"/>
      <c r="CE146" s="7"/>
      <c r="CF146" s="13"/>
      <c r="CG146" s="7"/>
      <c r="CH146" s="7"/>
      <c r="CI146" s="7"/>
      <c r="CJ146" s="7"/>
      <c r="CK146" s="7"/>
      <c r="CL146" s="7"/>
      <c r="CM146" s="13"/>
      <c r="CN146" s="13"/>
      <c r="CO146" s="13"/>
      <c r="CP146" s="7"/>
      <c r="CQ146" s="7"/>
      <c r="CX146" s="7"/>
    </row>
    <row r="147" spans="1:102" ht="14.25" customHeight="1" collapsed="1">
      <c r="A147" s="7"/>
      <c r="B147" s="538" t="s">
        <v>250</v>
      </c>
      <c r="C147" s="899"/>
      <c r="D147" s="540" t="str">
        <f>+D$7</f>
        <v>F1Q06</v>
      </c>
      <c r="E147" s="541" t="str">
        <f t="shared" ref="E147:BK147" si="610">+E$7</f>
        <v>F2Q06</v>
      </c>
      <c r="F147" s="541" t="str">
        <f t="shared" si="610"/>
        <v>F3Q06</v>
      </c>
      <c r="G147" s="542" t="str">
        <f t="shared" si="610"/>
        <v>F4Q06</v>
      </c>
      <c r="H147" s="540" t="str">
        <f>+H$7</f>
        <v>F1Q07</v>
      </c>
      <c r="I147" s="541" t="str">
        <f t="shared" si="610"/>
        <v>F2Q07</v>
      </c>
      <c r="J147" s="541" t="str">
        <f t="shared" si="610"/>
        <v>F3Q07</v>
      </c>
      <c r="K147" s="542" t="str">
        <f t="shared" si="610"/>
        <v>F4Q07</v>
      </c>
      <c r="L147" s="540" t="str">
        <f>+L$7</f>
        <v>F1Q08</v>
      </c>
      <c r="M147" s="541" t="str">
        <f t="shared" si="610"/>
        <v>F2Q08</v>
      </c>
      <c r="N147" s="541" t="str">
        <f t="shared" si="610"/>
        <v>F3Q08</v>
      </c>
      <c r="O147" s="542" t="str">
        <f t="shared" si="610"/>
        <v>F4Q08</v>
      </c>
      <c r="P147" s="540" t="str">
        <f>+P$7</f>
        <v>F1Q09</v>
      </c>
      <c r="Q147" s="541" t="str">
        <f t="shared" si="610"/>
        <v>F2Q09</v>
      </c>
      <c r="R147" s="541" t="str">
        <f t="shared" si="610"/>
        <v>F3Q09</v>
      </c>
      <c r="S147" s="542" t="str">
        <f t="shared" si="610"/>
        <v>F4Q09</v>
      </c>
      <c r="T147" s="540" t="str">
        <f>+T$7</f>
        <v>F1Q10</v>
      </c>
      <c r="U147" s="541" t="str">
        <f t="shared" si="610"/>
        <v>F2Q10</v>
      </c>
      <c r="V147" s="541" t="str">
        <f t="shared" si="610"/>
        <v>F3Q10</v>
      </c>
      <c r="W147" s="542" t="str">
        <f t="shared" si="610"/>
        <v>F4Q10</v>
      </c>
      <c r="X147" s="540" t="str">
        <f>+X$7</f>
        <v>F1Q11</v>
      </c>
      <c r="Y147" s="541" t="str">
        <f t="shared" si="610"/>
        <v>F2Q11</v>
      </c>
      <c r="Z147" s="541" t="str">
        <f t="shared" si="610"/>
        <v>F3Q11</v>
      </c>
      <c r="AA147" s="542" t="str">
        <f t="shared" si="610"/>
        <v>F4Q11</v>
      </c>
      <c r="AB147" s="540" t="str">
        <f>+AB$7</f>
        <v>F1Q12</v>
      </c>
      <c r="AC147" s="541" t="str">
        <f t="shared" si="610"/>
        <v>F2Q12</v>
      </c>
      <c r="AD147" s="541" t="str">
        <f t="shared" si="610"/>
        <v>F3Q12</v>
      </c>
      <c r="AE147" s="542" t="str">
        <f t="shared" si="610"/>
        <v>F4Q12</v>
      </c>
      <c r="AF147" s="540" t="str">
        <f>+AF$7</f>
        <v>F1Q13</v>
      </c>
      <c r="AG147" s="541" t="str">
        <f t="shared" si="610"/>
        <v>F2Q13</v>
      </c>
      <c r="AH147" s="541" t="str">
        <f t="shared" si="610"/>
        <v>F3Q13</v>
      </c>
      <c r="AI147" s="542" t="str">
        <f t="shared" si="610"/>
        <v>F4Q13</v>
      </c>
      <c r="AJ147" s="540" t="str">
        <f>+AJ$7</f>
        <v>F1Q14</v>
      </c>
      <c r="AK147" s="541" t="str">
        <f t="shared" si="610"/>
        <v>F2Q14A</v>
      </c>
      <c r="AL147" s="541" t="str">
        <f t="shared" si="610"/>
        <v>F3Q14A</v>
      </c>
      <c r="AM147" s="542" t="str">
        <f t="shared" si="610"/>
        <v>F4Q14A</v>
      </c>
      <c r="AN147" s="540" t="str">
        <f>+AN$7</f>
        <v>F1Q15A</v>
      </c>
      <c r="AO147" s="541" t="str">
        <f t="shared" si="610"/>
        <v>F2Q15A</v>
      </c>
      <c r="AP147" s="541" t="str">
        <f t="shared" si="610"/>
        <v>F3Q15A</v>
      </c>
      <c r="AQ147" s="542" t="str">
        <f t="shared" si="610"/>
        <v>F4Q15A</v>
      </c>
      <c r="AR147" s="540" t="str">
        <f>+AR$7</f>
        <v>F1Q16A</v>
      </c>
      <c r="AS147" s="541" t="str">
        <f t="shared" si="610"/>
        <v>F2Q16A</v>
      </c>
      <c r="AT147" s="541" t="str">
        <f t="shared" si="610"/>
        <v>F3Q16A</v>
      </c>
      <c r="AU147" s="542" t="str">
        <f t="shared" si="610"/>
        <v>F4Q16A</v>
      </c>
      <c r="AV147" s="540" t="str">
        <f>+AV$7</f>
        <v>F1Q17A</v>
      </c>
      <c r="AW147" s="541" t="str">
        <f t="shared" si="610"/>
        <v>F2Q17A</v>
      </c>
      <c r="AX147" s="541" t="str">
        <f t="shared" si="610"/>
        <v>F3Q17A</v>
      </c>
      <c r="AY147" s="542" t="str">
        <f t="shared" si="610"/>
        <v>F4Q17A</v>
      </c>
      <c r="AZ147" s="540" t="str">
        <f>+AZ$7</f>
        <v>F1Q18A</v>
      </c>
      <c r="BA147" s="541" t="str">
        <f t="shared" si="610"/>
        <v>F2Q18E</v>
      </c>
      <c r="BB147" s="541" t="str">
        <f t="shared" si="610"/>
        <v>F3Q18E</v>
      </c>
      <c r="BC147" s="542" t="str">
        <f t="shared" si="610"/>
        <v>F4Q18E</v>
      </c>
      <c r="BD147" s="540" t="str">
        <f>+BD$7</f>
        <v>F1Q19E</v>
      </c>
      <c r="BE147" s="541" t="str">
        <f t="shared" si="610"/>
        <v>F2Q19E</v>
      </c>
      <c r="BF147" s="541" t="str">
        <f t="shared" si="610"/>
        <v>F3Q19E</v>
      </c>
      <c r="BG147" s="542" t="str">
        <f t="shared" si="610"/>
        <v>F4Q19E</v>
      </c>
      <c r="BH147" s="541" t="str">
        <f>+BH$7</f>
        <v>F1Q20E</v>
      </c>
      <c r="BI147" s="541" t="str">
        <f t="shared" si="610"/>
        <v>F2Q20E</v>
      </c>
      <c r="BJ147" s="541" t="str">
        <f t="shared" si="610"/>
        <v>F3Q20E</v>
      </c>
      <c r="BK147" s="542" t="str">
        <f t="shared" si="610"/>
        <v>F4Q20E</v>
      </c>
      <c r="BL147" s="19"/>
      <c r="BM147" s="540" t="str">
        <f t="shared" ref="BM147:CP147" si="611">+BM$7</f>
        <v>FY2006</v>
      </c>
      <c r="BN147" s="541" t="str">
        <f t="shared" si="611"/>
        <v>FY2007</v>
      </c>
      <c r="BO147" s="541" t="str">
        <f t="shared" si="611"/>
        <v>FY2008</v>
      </c>
      <c r="BP147" s="541" t="str">
        <f t="shared" si="611"/>
        <v>FY2009</v>
      </c>
      <c r="BQ147" s="541" t="str">
        <f t="shared" si="611"/>
        <v>FY2010</v>
      </c>
      <c r="BR147" s="541" t="str">
        <f t="shared" si="611"/>
        <v>FY2011</v>
      </c>
      <c r="BS147" s="541" t="str">
        <f t="shared" si="611"/>
        <v>FY2012</v>
      </c>
      <c r="BT147" s="542" t="str">
        <f t="shared" si="611"/>
        <v>FY2013</v>
      </c>
      <c r="BU147" s="541" t="str">
        <f t="shared" si="611"/>
        <v>FY2014A</v>
      </c>
      <c r="BV147" s="541" t="str">
        <f t="shared" si="611"/>
        <v>FY2015A</v>
      </c>
      <c r="BW147" s="541" t="str">
        <f t="shared" si="611"/>
        <v>FY2016A</v>
      </c>
      <c r="BX147" s="541" t="str">
        <f t="shared" si="611"/>
        <v>FY2017A</v>
      </c>
      <c r="BY147" s="541" t="str">
        <f t="shared" si="611"/>
        <v>FY2018E</v>
      </c>
      <c r="BZ147" s="541" t="str">
        <f t="shared" si="611"/>
        <v>FY2019E</v>
      </c>
      <c r="CA147" s="542" t="str">
        <f t="shared" si="611"/>
        <v>FY2020E</v>
      </c>
      <c r="CB147" s="19"/>
      <c r="CC147" s="540" t="str">
        <f t="shared" si="611"/>
        <v>CY2006</v>
      </c>
      <c r="CD147" s="541" t="str">
        <f t="shared" si="611"/>
        <v>CY2007</v>
      </c>
      <c r="CE147" s="541" t="str">
        <f t="shared" si="611"/>
        <v>CY2008</v>
      </c>
      <c r="CF147" s="541" t="str">
        <f t="shared" si="611"/>
        <v>CY2009</v>
      </c>
      <c r="CG147" s="541" t="str">
        <f t="shared" si="611"/>
        <v>CY2010</v>
      </c>
      <c r="CH147" s="541" t="str">
        <f t="shared" si="611"/>
        <v>CY2011</v>
      </c>
      <c r="CI147" s="540" t="str">
        <f t="shared" si="611"/>
        <v>CY2012</v>
      </c>
      <c r="CJ147" s="541" t="str">
        <f t="shared" si="611"/>
        <v>CY2013</v>
      </c>
      <c r="CK147" s="541" t="str">
        <f t="shared" si="611"/>
        <v>CY2014A</v>
      </c>
      <c r="CL147" s="541" t="str">
        <f t="shared" si="611"/>
        <v>CY2015A</v>
      </c>
      <c r="CM147" s="541" t="str">
        <f t="shared" si="611"/>
        <v>CY2016A</v>
      </c>
      <c r="CN147" s="541" t="str">
        <f t="shared" si="611"/>
        <v>CY2017A</v>
      </c>
      <c r="CO147" s="541" t="str">
        <f t="shared" si="611"/>
        <v>CY2018E</v>
      </c>
      <c r="CP147" s="542" t="str">
        <f t="shared" si="611"/>
        <v>CY2019E</v>
      </c>
      <c r="CQ147" s="7"/>
      <c r="CX147" s="7"/>
    </row>
    <row r="148" spans="1:102" ht="14.25" customHeight="1">
      <c r="A148" s="7"/>
      <c r="B148" s="1044" t="s">
        <v>103</v>
      </c>
      <c r="C148" s="1023"/>
      <c r="D148" s="1055">
        <f t="shared" ref="D148:AK148" si="612">D8</f>
        <v>350</v>
      </c>
      <c r="E148" s="1056">
        <f t="shared" si="612"/>
        <v>362</v>
      </c>
      <c r="F148" s="1056">
        <f t="shared" si="612"/>
        <v>408</v>
      </c>
      <c r="G148" s="1057">
        <f t="shared" si="612"/>
        <v>393</v>
      </c>
      <c r="H148" s="1055">
        <f t="shared" si="612"/>
        <v>375</v>
      </c>
      <c r="I148" s="1056">
        <f t="shared" si="612"/>
        <v>380</v>
      </c>
      <c r="J148" s="1056">
        <f t="shared" si="612"/>
        <v>381</v>
      </c>
      <c r="K148" s="1057">
        <f t="shared" si="612"/>
        <v>391</v>
      </c>
      <c r="L148" s="1055">
        <f t="shared" si="612"/>
        <v>402</v>
      </c>
      <c r="M148" s="1056">
        <f t="shared" si="612"/>
        <v>411</v>
      </c>
      <c r="N148" s="1056">
        <f t="shared" si="612"/>
        <v>439</v>
      </c>
      <c r="O148" s="1057">
        <f t="shared" si="612"/>
        <v>447</v>
      </c>
      <c r="P148" s="1055">
        <f t="shared" si="612"/>
        <v>368</v>
      </c>
      <c r="Q148" s="1056">
        <f t="shared" si="612"/>
        <v>325</v>
      </c>
      <c r="R148" s="1056">
        <f t="shared" si="612"/>
        <v>363</v>
      </c>
      <c r="S148" s="1057">
        <f t="shared" si="612"/>
        <v>428</v>
      </c>
      <c r="T148" s="1055">
        <f t="shared" si="612"/>
        <v>456</v>
      </c>
      <c r="U148" s="1056">
        <f t="shared" si="612"/>
        <v>515</v>
      </c>
      <c r="V148" s="1056">
        <f t="shared" si="612"/>
        <v>550</v>
      </c>
      <c r="W148" s="1057">
        <f t="shared" si="612"/>
        <v>572</v>
      </c>
      <c r="X148" s="1055">
        <f t="shared" si="612"/>
        <v>550</v>
      </c>
      <c r="Y148" s="1056">
        <f t="shared" si="612"/>
        <v>560</v>
      </c>
      <c r="Z148" s="1056">
        <f t="shared" si="612"/>
        <v>603</v>
      </c>
      <c r="AA148" s="1057">
        <f t="shared" si="612"/>
        <v>623</v>
      </c>
      <c r="AB148" s="1055">
        <f t="shared" si="612"/>
        <v>563</v>
      </c>
      <c r="AC148" s="1056">
        <f t="shared" si="612"/>
        <v>577</v>
      </c>
      <c r="AD148" s="1056">
        <f t="shared" si="612"/>
        <v>606</v>
      </c>
      <c r="AE148" s="1057">
        <f t="shared" si="612"/>
        <v>618</v>
      </c>
      <c r="AF148" s="1055">
        <f t="shared" si="612"/>
        <v>576</v>
      </c>
      <c r="AG148" s="1056">
        <f t="shared" si="612"/>
        <v>562</v>
      </c>
      <c r="AH148" s="1056">
        <f t="shared" si="612"/>
        <v>644</v>
      </c>
      <c r="AI148" s="1057">
        <f t="shared" si="612"/>
        <v>738</v>
      </c>
      <c r="AJ148" s="1055">
        <f t="shared" si="612"/>
        <v>709</v>
      </c>
      <c r="AK148" s="1056">
        <f t="shared" si="612"/>
        <v>701</v>
      </c>
      <c r="AL148" s="1056">
        <v>1287</v>
      </c>
      <c r="AM148" s="1057">
        <v>1610</v>
      </c>
      <c r="AN148" s="1055">
        <v>1657</v>
      </c>
      <c r="AO148" s="1056">
        <f>AO8+31</f>
        <v>1645</v>
      </c>
      <c r="AP148" s="1056">
        <v>1750</v>
      </c>
      <c r="AQ148" s="1057">
        <v>1853</v>
      </c>
      <c r="AR148" s="1055">
        <f>AR8+11</f>
        <v>1782</v>
      </c>
      <c r="AS148" s="1122">
        <f>AS8+21</f>
        <v>3562</v>
      </c>
      <c r="AT148" s="1122">
        <f>AT8+10</f>
        <v>3802</v>
      </c>
      <c r="AU148" s="1057">
        <v>4146</v>
      </c>
      <c r="AV148" s="1055">
        <f>AV8+10</f>
        <v>4149</v>
      </c>
      <c r="AW148" s="1122">
        <f>AW8+11</f>
        <v>4201</v>
      </c>
      <c r="AX148" s="1122">
        <f>AX8+4</f>
        <v>4467</v>
      </c>
      <c r="AY148" s="1057">
        <v>4848</v>
      </c>
      <c r="AZ148" s="1055">
        <v>5331</v>
      </c>
      <c r="BA148" s="1122">
        <f t="shared" ref="BA148:BC148" si="613">BA8</f>
        <v>5011.0400000000009</v>
      </c>
      <c r="BB148" s="1122">
        <f t="shared" si="613"/>
        <v>5212.2682999999997</v>
      </c>
      <c r="BC148" s="1057">
        <f t="shared" si="613"/>
        <v>5582.7637894999998</v>
      </c>
      <c r="BD148" s="1055">
        <f t="shared" ref="BD148:BG148" si="614">BD8</f>
        <v>5331.2301537399999</v>
      </c>
      <c r="BE148" s="1122">
        <f t="shared" si="614"/>
        <v>5178.2279473991994</v>
      </c>
      <c r="BF148" s="1122">
        <f t="shared" si="614"/>
        <v>5547.2252839510556</v>
      </c>
      <c r="BG148" s="1400">
        <f t="shared" si="614"/>
        <v>6177.6465935881088</v>
      </c>
      <c r="BH148" s="1122">
        <f t="shared" ref="BH148:BK148" si="615">BH8</f>
        <v>5902.3260627824538</v>
      </c>
      <c r="BI148" s="1122">
        <f t="shared" si="615"/>
        <v>5586.4773156728315</v>
      </c>
      <c r="BJ148" s="1122">
        <f t="shared" si="615"/>
        <v>5813.2701476710463</v>
      </c>
      <c r="BK148" s="1057">
        <f t="shared" si="615"/>
        <v>6182.3150985232551</v>
      </c>
      <c r="BL148" s="19"/>
      <c r="BM148" s="1055">
        <f t="shared" ref="BM148:BU148" si="616">BM8</f>
        <v>1513</v>
      </c>
      <c r="BN148" s="1056">
        <f t="shared" si="616"/>
        <v>1527</v>
      </c>
      <c r="BO148" s="1056">
        <f t="shared" si="616"/>
        <v>1699</v>
      </c>
      <c r="BP148" s="1056">
        <f t="shared" si="616"/>
        <v>1484</v>
      </c>
      <c r="BQ148" s="1056">
        <f t="shared" si="616"/>
        <v>2093</v>
      </c>
      <c r="BR148" s="1056">
        <f t="shared" si="616"/>
        <v>2336</v>
      </c>
      <c r="BS148" s="1056">
        <f t="shared" si="616"/>
        <v>2364</v>
      </c>
      <c r="BT148" s="1057">
        <f t="shared" si="616"/>
        <v>2520</v>
      </c>
      <c r="BU148" s="1056">
        <f t="shared" si="616"/>
        <v>4269</v>
      </c>
      <c r="BV148" s="1056">
        <f>SUM(AN148:AQ148)</f>
        <v>6905</v>
      </c>
      <c r="BW148" s="1056">
        <f>SUM(AR148:AU148)</f>
        <v>13292</v>
      </c>
      <c r="BX148" s="1056">
        <f>SUM(AV148:AY148)</f>
        <v>17665</v>
      </c>
      <c r="BY148" s="1122">
        <f>SUM(AZ148:BC148)</f>
        <v>21137.072089500001</v>
      </c>
      <c r="BZ148" s="1122">
        <f>SUM(BD148:BG148)</f>
        <v>22234.329978678365</v>
      </c>
      <c r="CA148" s="1400">
        <f>SUM(BH148:BK148)</f>
        <v>23484.388624649589</v>
      </c>
      <c r="CB148" s="19"/>
      <c r="CC148" s="1079">
        <f t="shared" ref="CC148:CK148" si="617">CC8</f>
        <v>1538</v>
      </c>
      <c r="CD148" s="1080">
        <f t="shared" si="617"/>
        <v>1554</v>
      </c>
      <c r="CE148" s="1080">
        <f t="shared" si="617"/>
        <v>1665</v>
      </c>
      <c r="CF148" s="1080">
        <f t="shared" si="617"/>
        <v>1572</v>
      </c>
      <c r="CG148" s="1080">
        <f t="shared" si="617"/>
        <v>2187</v>
      </c>
      <c r="CH148" s="1080">
        <f t="shared" si="617"/>
        <v>2349</v>
      </c>
      <c r="CI148" s="1079">
        <f t="shared" si="617"/>
        <v>2377</v>
      </c>
      <c r="CJ148" s="1080">
        <f t="shared" si="617"/>
        <v>2653</v>
      </c>
      <c r="CK148" s="1080">
        <f t="shared" si="617"/>
        <v>5195</v>
      </c>
      <c r="CL148" s="1080">
        <f>SUM(AO148:AR148)</f>
        <v>7030</v>
      </c>
      <c r="CM148" s="1080">
        <f>SUM(AS148:AV148)</f>
        <v>15659</v>
      </c>
      <c r="CN148" s="1080">
        <f>SUM(AW148:AZ148)</f>
        <v>18847</v>
      </c>
      <c r="CO148" s="1080">
        <f>SUM(BA148:BD148)</f>
        <v>21137.302243240003</v>
      </c>
      <c r="CP148" s="1107">
        <f>SUM(BE148:BH148)</f>
        <v>22805.425887720816</v>
      </c>
      <c r="CQ148" s="7"/>
      <c r="CX148" s="7"/>
    </row>
    <row r="149" spans="1:102" ht="14.25" customHeight="1">
      <c r="A149" s="7"/>
      <c r="B149" s="1044" t="s">
        <v>104</v>
      </c>
      <c r="C149" s="1023"/>
      <c r="D149" s="1055">
        <f t="shared" ref="D149:AQ149" si="618">D23+D125</f>
        <v>77</v>
      </c>
      <c r="E149" s="1056">
        <f t="shared" si="618"/>
        <v>140</v>
      </c>
      <c r="F149" s="1056">
        <f t="shared" si="618"/>
        <v>160</v>
      </c>
      <c r="G149" s="1057">
        <f t="shared" si="618"/>
        <v>123</v>
      </c>
      <c r="H149" s="1055">
        <f t="shared" si="618"/>
        <v>141</v>
      </c>
      <c r="I149" s="1056">
        <f t="shared" si="618"/>
        <v>151</v>
      </c>
      <c r="J149" s="1056">
        <f t="shared" si="618"/>
        <v>150</v>
      </c>
      <c r="K149" s="1057">
        <f t="shared" si="618"/>
        <v>150</v>
      </c>
      <c r="L149" s="1055">
        <f t="shared" si="618"/>
        <v>172</v>
      </c>
      <c r="M149" s="1056">
        <f t="shared" si="618"/>
        <v>174</v>
      </c>
      <c r="N149" s="1056">
        <f t="shared" si="618"/>
        <v>188</v>
      </c>
      <c r="O149" s="1057">
        <f t="shared" si="618"/>
        <v>184</v>
      </c>
      <c r="P149" s="1055">
        <f t="shared" si="618"/>
        <v>164</v>
      </c>
      <c r="Q149" s="1056">
        <f t="shared" si="618"/>
        <v>115</v>
      </c>
      <c r="R149" s="1056">
        <f t="shared" si="618"/>
        <v>158</v>
      </c>
      <c r="S149" s="1057">
        <f t="shared" si="618"/>
        <v>192</v>
      </c>
      <c r="T149" s="1055">
        <f t="shared" si="618"/>
        <v>209</v>
      </c>
      <c r="U149" s="1056">
        <f t="shared" si="618"/>
        <v>248</v>
      </c>
      <c r="V149" s="1056">
        <f t="shared" si="618"/>
        <v>280</v>
      </c>
      <c r="W149" s="1057">
        <f t="shared" si="618"/>
        <v>291</v>
      </c>
      <c r="X149" s="1055">
        <f t="shared" si="618"/>
        <v>286</v>
      </c>
      <c r="Y149" s="1056">
        <f t="shared" si="618"/>
        <v>290</v>
      </c>
      <c r="Z149" s="1056">
        <f t="shared" si="618"/>
        <v>312</v>
      </c>
      <c r="AA149" s="1057">
        <f t="shared" si="618"/>
        <v>319</v>
      </c>
      <c r="AB149" s="1055">
        <f t="shared" si="618"/>
        <v>285</v>
      </c>
      <c r="AC149" s="1056">
        <f t="shared" si="618"/>
        <v>295</v>
      </c>
      <c r="AD149" s="1056">
        <f t="shared" si="618"/>
        <v>310</v>
      </c>
      <c r="AE149" s="1057">
        <f t="shared" si="618"/>
        <v>316</v>
      </c>
      <c r="AF149" s="1055">
        <f t="shared" si="618"/>
        <v>292</v>
      </c>
      <c r="AG149" s="1056">
        <f t="shared" si="618"/>
        <v>288</v>
      </c>
      <c r="AH149" s="1056">
        <f t="shared" si="618"/>
        <v>328</v>
      </c>
      <c r="AI149" s="1057">
        <f t="shared" si="618"/>
        <v>373</v>
      </c>
      <c r="AJ149" s="1055">
        <f t="shared" si="618"/>
        <v>366</v>
      </c>
      <c r="AK149" s="1056">
        <f t="shared" si="618"/>
        <v>381</v>
      </c>
      <c r="AL149" s="1056">
        <f t="shared" si="618"/>
        <v>735</v>
      </c>
      <c r="AM149" s="1057">
        <f t="shared" si="618"/>
        <v>939</v>
      </c>
      <c r="AN149" s="1055">
        <f t="shared" si="618"/>
        <v>974</v>
      </c>
      <c r="AO149" s="1056">
        <f t="shared" si="618"/>
        <v>998</v>
      </c>
      <c r="AP149" s="1056">
        <f t="shared" si="618"/>
        <v>1063</v>
      </c>
      <c r="AQ149" s="1057">
        <f t="shared" si="618"/>
        <v>1149</v>
      </c>
      <c r="AR149" s="1055">
        <f t="shared" ref="AR149:AU149" si="619">AR23+AR125</f>
        <v>1089</v>
      </c>
      <c r="AS149" s="1122">
        <f t="shared" si="619"/>
        <v>2138</v>
      </c>
      <c r="AT149" s="1122">
        <f t="shared" si="619"/>
        <v>2297</v>
      </c>
      <c r="AU149" s="1057">
        <f t="shared" si="619"/>
        <v>2522</v>
      </c>
      <c r="AV149" s="1055">
        <f t="shared" ref="AV149:AY149" si="620">AV23+AV125</f>
        <v>2590</v>
      </c>
      <c r="AW149" s="1122">
        <f t="shared" si="620"/>
        <v>2652</v>
      </c>
      <c r="AX149" s="1122">
        <f t="shared" si="620"/>
        <v>2827</v>
      </c>
      <c r="AY149" s="1057">
        <f t="shared" si="620"/>
        <v>3068</v>
      </c>
      <c r="AZ149" s="1055">
        <f t="shared" ref="AZ149" si="621">AZ23+AZ125</f>
        <v>3454</v>
      </c>
      <c r="BA149" s="1122">
        <f>'BU Segment AVGO-LSI'!BA126</f>
        <v>3308.7631099999999</v>
      </c>
      <c r="BB149" s="1122">
        <f>'BU Segment AVGO-LSI'!BB126</f>
        <v>3392.9651125</v>
      </c>
      <c r="BC149" s="1057">
        <f>'BU Segment AVGO-LSI'!BC126</f>
        <v>3598.7064994610005</v>
      </c>
      <c r="BD149" s="1055">
        <f>'BU Segment AVGO-LSI'!BD126</f>
        <v>3463.6844387216702</v>
      </c>
      <c r="BE149" s="1122">
        <f>'BU Segment AVGO-LSI'!BE126</f>
        <v>3384.2496962489017</v>
      </c>
      <c r="BF149" s="1122">
        <f>'BU Segment AVGO-LSI'!BF126</f>
        <v>3622.5767085210773</v>
      </c>
      <c r="BG149" s="1400">
        <f>'BU Segment AVGO-LSI'!BG126</f>
        <v>4015.3743067066362</v>
      </c>
      <c r="BH149" s="1122">
        <f>'BU Segment AVGO-LSI'!BH126</f>
        <v>3849.4173825448574</v>
      </c>
      <c r="BI149" s="1122">
        <f>'BU Segment AVGO-LSI'!BI126</f>
        <v>3647.9305252023428</v>
      </c>
      <c r="BJ149" s="1122">
        <f>'BU Segment AVGO-LSI'!BJ126</f>
        <v>3800.8233465030444</v>
      </c>
      <c r="BK149" s="1122">
        <f>'BU Segment AVGO-LSI'!BK126</f>
        <v>4035.1515226660372</v>
      </c>
      <c r="BL149" s="19"/>
      <c r="BM149" s="1055">
        <f t="shared" ref="BM149:BY149" si="622">BM23+BM125</f>
        <v>500</v>
      </c>
      <c r="BN149" s="1056">
        <f t="shared" si="622"/>
        <v>592</v>
      </c>
      <c r="BO149" s="1056">
        <f t="shared" si="622"/>
        <v>718</v>
      </c>
      <c r="BP149" s="1056">
        <f t="shared" si="622"/>
        <v>629</v>
      </c>
      <c r="BQ149" s="1056">
        <f t="shared" si="622"/>
        <v>1028</v>
      </c>
      <c r="BR149" s="1056">
        <f t="shared" si="622"/>
        <v>1207</v>
      </c>
      <c r="BS149" s="1056">
        <f t="shared" si="622"/>
        <v>1206</v>
      </c>
      <c r="BT149" s="1057">
        <f t="shared" si="622"/>
        <v>1281</v>
      </c>
      <c r="BU149" s="1056">
        <f t="shared" si="622"/>
        <v>2421</v>
      </c>
      <c r="BV149" s="1056">
        <f t="shared" si="622"/>
        <v>4184</v>
      </c>
      <c r="BW149" s="1056">
        <f t="shared" ref="BW149" si="623">BW23+BW125</f>
        <v>8046</v>
      </c>
      <c r="BX149" s="1056">
        <f t="shared" si="622"/>
        <v>11137</v>
      </c>
      <c r="BY149" s="1122">
        <f t="shared" si="622"/>
        <v>13754.434721961001</v>
      </c>
      <c r="BZ149" s="1122">
        <f t="shared" ref="BZ149:CA149" si="624">BZ23+BZ125</f>
        <v>14485.885150198286</v>
      </c>
      <c r="CA149" s="1400">
        <f t="shared" si="624"/>
        <v>15333.322776916284</v>
      </c>
      <c r="CB149" s="19"/>
      <c r="CC149" s="1055">
        <f t="shared" ref="CC149:CK149" si="625">CC23+CC125</f>
        <v>564</v>
      </c>
      <c r="CD149" s="1056">
        <f t="shared" si="625"/>
        <v>623</v>
      </c>
      <c r="CE149" s="1056">
        <f t="shared" si="625"/>
        <v>710</v>
      </c>
      <c r="CF149" s="1056">
        <f t="shared" si="625"/>
        <v>674</v>
      </c>
      <c r="CG149" s="1056">
        <f t="shared" si="625"/>
        <v>1105</v>
      </c>
      <c r="CH149" s="1056">
        <f t="shared" si="625"/>
        <v>1206</v>
      </c>
      <c r="CI149" s="1055">
        <f t="shared" si="625"/>
        <v>1213</v>
      </c>
      <c r="CJ149" s="1056">
        <f t="shared" si="625"/>
        <v>1355</v>
      </c>
      <c r="CK149" s="1056">
        <f t="shared" si="625"/>
        <v>3029</v>
      </c>
      <c r="CL149" s="1056">
        <f>SUM(AO149:AR149)</f>
        <v>4299</v>
      </c>
      <c r="CM149" s="1056">
        <f>SUM(AS149:AV149)</f>
        <v>9547</v>
      </c>
      <c r="CN149" s="1122">
        <f>SUM(AW149:AZ149)</f>
        <v>12001</v>
      </c>
      <c r="CO149" s="1122">
        <f>SUM(BA149:BD149)</f>
        <v>13764.119160682671</v>
      </c>
      <c r="CP149" s="1057">
        <f>SUM(BE149:BH149)</f>
        <v>14871.618094021474</v>
      </c>
      <c r="CQ149" s="7"/>
      <c r="CX149" s="7"/>
    </row>
    <row r="150" spans="1:102" ht="14.25" customHeight="1">
      <c r="A150" s="7"/>
      <c r="B150" s="546" t="s">
        <v>210</v>
      </c>
      <c r="C150" s="523"/>
      <c r="D150" s="51">
        <f>D149/D148</f>
        <v>0.22</v>
      </c>
      <c r="E150" s="52">
        <f>E149/E148</f>
        <v>0.38674033149171272</v>
      </c>
      <c r="F150" s="52">
        <f>F149/F148</f>
        <v>0.39215686274509803</v>
      </c>
      <c r="G150" s="53">
        <f>G149/G148</f>
        <v>0.31297709923664124</v>
      </c>
      <c r="H150" s="51">
        <f t="shared" ref="H150:AO150" si="626">H149/H148</f>
        <v>0.376</v>
      </c>
      <c r="I150" s="52">
        <f t="shared" si="626"/>
        <v>0.39736842105263159</v>
      </c>
      <c r="J150" s="52">
        <f t="shared" si="626"/>
        <v>0.39370078740157483</v>
      </c>
      <c r="K150" s="53">
        <f t="shared" si="626"/>
        <v>0.38363171355498721</v>
      </c>
      <c r="L150" s="51">
        <f t="shared" si="626"/>
        <v>0.42786069651741293</v>
      </c>
      <c r="M150" s="52">
        <f t="shared" si="626"/>
        <v>0.42335766423357662</v>
      </c>
      <c r="N150" s="52">
        <f t="shared" si="626"/>
        <v>0.42824601366742598</v>
      </c>
      <c r="O150" s="53">
        <f t="shared" si="626"/>
        <v>0.4116331096196868</v>
      </c>
      <c r="P150" s="51">
        <f t="shared" si="626"/>
        <v>0.44565217391304346</v>
      </c>
      <c r="Q150" s="52">
        <f t="shared" si="626"/>
        <v>0.35384615384615387</v>
      </c>
      <c r="R150" s="52">
        <f t="shared" si="626"/>
        <v>0.43526170798898073</v>
      </c>
      <c r="S150" s="53">
        <f t="shared" si="626"/>
        <v>0.44859813084112149</v>
      </c>
      <c r="T150" s="51">
        <f t="shared" si="626"/>
        <v>0.45833333333333331</v>
      </c>
      <c r="U150" s="52">
        <f t="shared" si="626"/>
        <v>0.48155339805825242</v>
      </c>
      <c r="V150" s="52">
        <f t="shared" si="626"/>
        <v>0.50909090909090904</v>
      </c>
      <c r="W150" s="53">
        <f t="shared" si="626"/>
        <v>0.50874125874125875</v>
      </c>
      <c r="X150" s="51">
        <f t="shared" si="626"/>
        <v>0.52</v>
      </c>
      <c r="Y150" s="52">
        <f t="shared" si="626"/>
        <v>0.5178571428571429</v>
      </c>
      <c r="Z150" s="52">
        <f t="shared" si="626"/>
        <v>0.51741293532338306</v>
      </c>
      <c r="AA150" s="53">
        <f t="shared" si="626"/>
        <v>0.5120385232744783</v>
      </c>
      <c r="AB150" s="51">
        <f t="shared" si="626"/>
        <v>0.50621669626998222</v>
      </c>
      <c r="AC150" s="52">
        <f t="shared" si="626"/>
        <v>0.51126516464471405</v>
      </c>
      <c r="AD150" s="52">
        <f t="shared" si="626"/>
        <v>0.51155115511551152</v>
      </c>
      <c r="AE150" s="53">
        <f t="shared" si="626"/>
        <v>0.51132686084142398</v>
      </c>
      <c r="AF150" s="51">
        <f t="shared" si="626"/>
        <v>0.50694444444444442</v>
      </c>
      <c r="AG150" s="52">
        <f t="shared" si="626"/>
        <v>0.51245551601423489</v>
      </c>
      <c r="AH150" s="52">
        <f t="shared" si="626"/>
        <v>0.50931677018633537</v>
      </c>
      <c r="AI150" s="53">
        <f t="shared" si="626"/>
        <v>0.50542005420054203</v>
      </c>
      <c r="AJ150" s="51">
        <f t="shared" si="626"/>
        <v>0.51622002820874469</v>
      </c>
      <c r="AK150" s="52">
        <f t="shared" si="626"/>
        <v>0.54350927246790304</v>
      </c>
      <c r="AL150" s="52">
        <f>AL149/AL148</f>
        <v>0.57109557109557108</v>
      </c>
      <c r="AM150" s="53">
        <f t="shared" si="626"/>
        <v>0.58322981366459625</v>
      </c>
      <c r="AN150" s="51">
        <f t="shared" si="626"/>
        <v>0.58780929390464698</v>
      </c>
      <c r="AO150" s="52">
        <f t="shared" si="626"/>
        <v>0.60668693009118546</v>
      </c>
      <c r="AP150" s="52">
        <f>AP149/AP148</f>
        <v>0.60742857142857143</v>
      </c>
      <c r="AQ150" s="53">
        <f t="shared" ref="AQ150:AS150" si="627">AQ149/AQ148</f>
        <v>0.62007555315704266</v>
      </c>
      <c r="AR150" s="51">
        <f t="shared" si="627"/>
        <v>0.61111111111111116</v>
      </c>
      <c r="AS150" s="52">
        <f t="shared" si="627"/>
        <v>0.60022459292532282</v>
      </c>
      <c r="AT150" s="52">
        <f>AT149/AT148</f>
        <v>0.6041557075223567</v>
      </c>
      <c r="AU150" s="53">
        <f t="shared" ref="AU150:AV150" si="628">AU149/AU148</f>
        <v>0.608297153883261</v>
      </c>
      <c r="AV150" s="51">
        <f t="shared" si="628"/>
        <v>0.62424680645938779</v>
      </c>
      <c r="AW150" s="52">
        <f>'BU Segment AVGO-LSI'!AW127</f>
        <v>0.63127826707926682</v>
      </c>
      <c r="AX150" s="52">
        <f>AX149/AX148</f>
        <v>0.63286321916274901</v>
      </c>
      <c r="AY150" s="53">
        <f t="shared" ref="AY150:AZ150" si="629">AY149/AY148</f>
        <v>0.63283828382838281</v>
      </c>
      <c r="AZ150" s="51">
        <f t="shared" si="629"/>
        <v>0.6479084599512287</v>
      </c>
      <c r="BA150" s="52">
        <f>'BU Segment AVGO-LSI'!BA127</f>
        <v>0.66029469132156182</v>
      </c>
      <c r="BB150" s="52">
        <f>'BU Segment AVGO-LSI'!BB127</f>
        <v>0.65095749435998917</v>
      </c>
      <c r="BC150" s="53">
        <f>'BU Segment AVGO-LSI'!BC127</f>
        <v>0.64461020296603055</v>
      </c>
      <c r="BD150" s="51">
        <f>'BU Segment AVGO-LSI'!BD127</f>
        <v>0.64969703780126686</v>
      </c>
      <c r="BE150" s="52">
        <f>'BU Segment AVGO-LSI'!BE127</f>
        <v>0.65355363468475047</v>
      </c>
      <c r="BF150" s="52">
        <f>'BU Segment AVGO-LSI'!BF127</f>
        <v>0.65304301215271143</v>
      </c>
      <c r="BG150" s="1401">
        <f>'BU Segment AVGO-LSI'!BG127</f>
        <v>0.64998446348068306</v>
      </c>
      <c r="BH150" s="52">
        <f>'BU Segment AVGO-LSI'!BH127</f>
        <v>0.65218650098266151</v>
      </c>
      <c r="BI150" s="52">
        <f>'BU Segment AVGO-LSI'!BI127</f>
        <v>0.6529929898700374</v>
      </c>
      <c r="BJ150" s="52">
        <f>'BU Segment AVGO-LSI'!BJ127</f>
        <v>0.6538184618902938</v>
      </c>
      <c r="BK150" s="52">
        <f>'BU Segment AVGO-LSI'!BK127</f>
        <v>0.65269263348125006</v>
      </c>
      <c r="BL150" s="19"/>
      <c r="BM150" s="51">
        <f t="shared" ref="BM150:BV150" si="630">BM149/BM148</f>
        <v>0.33046926635822871</v>
      </c>
      <c r="BN150" s="52">
        <f t="shared" si="630"/>
        <v>0.38768827766863129</v>
      </c>
      <c r="BO150" s="52">
        <f t="shared" si="630"/>
        <v>0.42260153031194819</v>
      </c>
      <c r="BP150" s="52">
        <f t="shared" si="630"/>
        <v>0.42385444743935308</v>
      </c>
      <c r="BQ150" s="52">
        <f t="shared" si="630"/>
        <v>0.49116101290014336</v>
      </c>
      <c r="BR150" s="52">
        <f t="shared" si="630"/>
        <v>0.51669520547945202</v>
      </c>
      <c r="BS150" s="52">
        <f t="shared" si="630"/>
        <v>0.51015228426395942</v>
      </c>
      <c r="BT150" s="53">
        <f t="shared" si="630"/>
        <v>0.5083333333333333</v>
      </c>
      <c r="BU150" s="52">
        <f t="shared" si="630"/>
        <v>0.56711173576950102</v>
      </c>
      <c r="BV150" s="52">
        <f t="shared" si="630"/>
        <v>0.60593772628530052</v>
      </c>
      <c r="BW150" s="52">
        <f>BW149/BW148</f>
        <v>0.60532651218778211</v>
      </c>
      <c r="BX150" s="52">
        <f>BX149/BX148</f>
        <v>0.6304557033682423</v>
      </c>
      <c r="BY150" s="52">
        <f>BY149/BY148</f>
        <v>0.65072563805058026</v>
      </c>
      <c r="BZ150" s="52">
        <f>BZ149/BZ148</f>
        <v>0.65150985723831312</v>
      </c>
      <c r="CA150" s="1401">
        <f>CA149/CA148</f>
        <v>0.65291556114099492</v>
      </c>
      <c r="CB150" s="19"/>
      <c r="CC150" s="51">
        <f t="shared" ref="CC150:CJ150" si="631">CC149/CC148</f>
        <v>0.36671001300390116</v>
      </c>
      <c r="CD150" s="52">
        <f t="shared" si="631"/>
        <v>0.40090090090090091</v>
      </c>
      <c r="CE150" s="52">
        <f t="shared" si="631"/>
        <v>0.42642642642642642</v>
      </c>
      <c r="CF150" s="52">
        <f t="shared" si="631"/>
        <v>0.42875318066157758</v>
      </c>
      <c r="CG150" s="52">
        <f t="shared" si="631"/>
        <v>0.50525834476451759</v>
      </c>
      <c r="CH150" s="52">
        <f t="shared" si="631"/>
        <v>0.51340996168582376</v>
      </c>
      <c r="CI150" s="51">
        <f t="shared" si="631"/>
        <v>0.51030710980227179</v>
      </c>
      <c r="CJ150" s="52">
        <f t="shared" si="631"/>
        <v>0.51074255559743686</v>
      </c>
      <c r="CK150" s="52">
        <f t="shared" ref="CK150:CP150" si="632">CK149/CK148</f>
        <v>0.58306063522617901</v>
      </c>
      <c r="CL150" s="52">
        <f t="shared" si="632"/>
        <v>0.61152204836415358</v>
      </c>
      <c r="CM150" s="52">
        <f t="shared" si="632"/>
        <v>0.60968133341848141</v>
      </c>
      <c r="CN150" s="52">
        <f t="shared" si="632"/>
        <v>0.6367591659149997</v>
      </c>
      <c r="CO150" s="52">
        <f t="shared" si="632"/>
        <v>0.6511767207702498</v>
      </c>
      <c r="CP150" s="53">
        <f t="shared" si="632"/>
        <v>0.65210876425810749</v>
      </c>
      <c r="CQ150" s="7"/>
      <c r="CX150" s="7"/>
    </row>
    <row r="151" spans="1:102" ht="14.25" customHeight="1">
      <c r="A151" s="7"/>
      <c r="B151" s="546"/>
      <c r="C151" s="523"/>
      <c r="D151" s="51"/>
      <c r="E151" s="52"/>
      <c r="F151" s="52"/>
      <c r="G151" s="53"/>
      <c r="H151" s="51"/>
      <c r="I151" s="52"/>
      <c r="J151" s="52"/>
      <c r="K151" s="53"/>
      <c r="L151" s="51"/>
      <c r="M151" s="52"/>
      <c r="N151" s="52"/>
      <c r="O151" s="53"/>
      <c r="P151" s="51"/>
      <c r="Q151" s="52"/>
      <c r="R151" s="52"/>
      <c r="S151" s="53"/>
      <c r="T151" s="51"/>
      <c r="U151" s="52"/>
      <c r="V151" s="52"/>
      <c r="W151" s="53"/>
      <c r="X151" s="51"/>
      <c r="Y151" s="52"/>
      <c r="Z151" s="52"/>
      <c r="AA151" s="53"/>
      <c r="AB151" s="51"/>
      <c r="AC151" s="52"/>
      <c r="AD151" s="52"/>
      <c r="AE151" s="53"/>
      <c r="AF151" s="51"/>
      <c r="AG151" s="52"/>
      <c r="AH151" s="52"/>
      <c r="AI151" s="53"/>
      <c r="AJ151" s="51"/>
      <c r="AK151" s="52"/>
      <c r="AL151" s="52"/>
      <c r="AM151" s="53"/>
      <c r="AN151" s="51"/>
      <c r="AO151" s="52"/>
      <c r="AP151" s="52"/>
      <c r="AQ151" s="53"/>
      <c r="AR151" s="51"/>
      <c r="AS151" s="52"/>
      <c r="AT151" s="52"/>
      <c r="AU151" s="53"/>
      <c r="AV151" s="51"/>
      <c r="AW151" s="52"/>
      <c r="AX151" s="52"/>
      <c r="AY151" s="53"/>
      <c r="AZ151" s="51"/>
      <c r="BA151" s="52"/>
      <c r="BB151" s="52"/>
      <c r="BC151" s="53"/>
      <c r="BD151" s="51"/>
      <c r="BE151" s="52"/>
      <c r="BF151" s="52"/>
      <c r="BG151" s="1401"/>
      <c r="BH151" s="52"/>
      <c r="BI151" s="52"/>
      <c r="BJ151" s="52"/>
      <c r="BK151" s="53"/>
      <c r="BL151" s="19"/>
      <c r="BM151" s="51"/>
      <c r="BN151" s="52"/>
      <c r="BO151" s="52"/>
      <c r="BP151" s="52"/>
      <c r="BQ151" s="52"/>
      <c r="BR151" s="52"/>
      <c r="BS151" s="52"/>
      <c r="BT151" s="53"/>
      <c r="BU151" s="52"/>
      <c r="BV151" s="52"/>
      <c r="BW151" s="52"/>
      <c r="BX151" s="52"/>
      <c r="BY151" s="52"/>
      <c r="BZ151" s="52"/>
      <c r="CA151" s="1401"/>
      <c r="CB151" s="19"/>
      <c r="CC151" s="51"/>
      <c r="CD151" s="52"/>
      <c r="CE151" s="52"/>
      <c r="CF151" s="52"/>
      <c r="CG151" s="52"/>
      <c r="CH151" s="52"/>
      <c r="CI151" s="51"/>
      <c r="CJ151" s="52"/>
      <c r="CK151" s="52"/>
      <c r="CL151" s="52"/>
      <c r="CM151" s="52"/>
      <c r="CN151" s="52"/>
      <c r="CO151" s="52"/>
      <c r="CP151" s="53"/>
      <c r="CQ151" s="7"/>
      <c r="CX151" s="7"/>
    </row>
    <row r="152" spans="1:102" ht="14.25" customHeight="1">
      <c r="A152" s="7"/>
      <c r="B152" s="663" t="s">
        <v>121</v>
      </c>
      <c r="C152" s="523"/>
      <c r="D152" s="1055">
        <f t="shared" ref="D152:AI152" si="633">+D38-D126</f>
        <v>54</v>
      </c>
      <c r="E152" s="1056">
        <f t="shared" si="633"/>
        <v>48</v>
      </c>
      <c r="F152" s="1056">
        <f t="shared" si="633"/>
        <v>56</v>
      </c>
      <c r="G152" s="1057">
        <f t="shared" si="633"/>
        <v>48</v>
      </c>
      <c r="H152" s="1055">
        <f t="shared" si="633"/>
        <v>41</v>
      </c>
      <c r="I152" s="1056">
        <f t="shared" si="633"/>
        <v>48</v>
      </c>
      <c r="J152" s="1056">
        <f t="shared" si="633"/>
        <v>53</v>
      </c>
      <c r="K152" s="1057">
        <f t="shared" si="633"/>
        <v>52</v>
      </c>
      <c r="L152" s="1055">
        <f t="shared" si="633"/>
        <v>60</v>
      </c>
      <c r="M152" s="1056">
        <f t="shared" si="633"/>
        <v>60</v>
      </c>
      <c r="N152" s="1056">
        <f t="shared" si="633"/>
        <v>66</v>
      </c>
      <c r="O152" s="1057">
        <f t="shared" si="633"/>
        <v>67</v>
      </c>
      <c r="P152" s="1055">
        <f t="shared" si="633"/>
        <v>63</v>
      </c>
      <c r="Q152" s="1056">
        <f t="shared" si="633"/>
        <v>56</v>
      </c>
      <c r="R152" s="1056">
        <f t="shared" si="633"/>
        <v>57</v>
      </c>
      <c r="S152" s="1057">
        <f t="shared" si="633"/>
        <v>61</v>
      </c>
      <c r="T152" s="1055">
        <f t="shared" si="633"/>
        <v>60</v>
      </c>
      <c r="U152" s="1056">
        <f t="shared" si="633"/>
        <v>67</v>
      </c>
      <c r="V152" s="1056">
        <f t="shared" si="633"/>
        <v>67</v>
      </c>
      <c r="W152" s="1057">
        <f t="shared" si="633"/>
        <v>72</v>
      </c>
      <c r="X152" s="1055">
        <f t="shared" si="633"/>
        <v>70</v>
      </c>
      <c r="Y152" s="1056">
        <f t="shared" si="633"/>
        <v>71</v>
      </c>
      <c r="Z152" s="1056">
        <f t="shared" si="633"/>
        <v>79</v>
      </c>
      <c r="AA152" s="1057">
        <f t="shared" si="633"/>
        <v>77</v>
      </c>
      <c r="AB152" s="1055">
        <f t="shared" si="633"/>
        <v>76</v>
      </c>
      <c r="AC152" s="1056">
        <f t="shared" si="633"/>
        <v>78</v>
      </c>
      <c r="AD152" s="1056">
        <f t="shared" si="633"/>
        <v>81</v>
      </c>
      <c r="AE152" s="1057">
        <f t="shared" si="633"/>
        <v>73</v>
      </c>
      <c r="AF152" s="1055">
        <f t="shared" si="633"/>
        <v>86</v>
      </c>
      <c r="AG152" s="1056">
        <f t="shared" si="633"/>
        <v>88</v>
      </c>
      <c r="AH152" s="1056">
        <f t="shared" si="633"/>
        <v>91</v>
      </c>
      <c r="AI152" s="1057">
        <f t="shared" si="633"/>
        <v>99</v>
      </c>
      <c r="AJ152" s="1055">
        <f t="shared" ref="AJ152:BC152" si="634">+AJ38-AJ126</f>
        <v>98</v>
      </c>
      <c r="AK152" s="1056">
        <f t="shared" si="634"/>
        <v>101</v>
      </c>
      <c r="AL152" s="1056">
        <f t="shared" si="634"/>
        <v>219</v>
      </c>
      <c r="AM152" s="1057">
        <f t="shared" si="634"/>
        <v>214</v>
      </c>
      <c r="AN152" s="1055">
        <f t="shared" si="634"/>
        <v>210</v>
      </c>
      <c r="AO152" s="1056">
        <f t="shared" si="634"/>
        <v>221</v>
      </c>
      <c r="AP152" s="1056">
        <f t="shared" si="634"/>
        <v>245</v>
      </c>
      <c r="AQ152" s="1057">
        <f t="shared" si="634"/>
        <v>257</v>
      </c>
      <c r="AR152" s="1055">
        <f t="shared" ref="AR152:AU152" si="635">+AR38-AR126</f>
        <v>238</v>
      </c>
      <c r="AS152" s="1122">
        <f t="shared" si="635"/>
        <v>663</v>
      </c>
      <c r="AT152" s="1122">
        <f t="shared" si="635"/>
        <v>667</v>
      </c>
      <c r="AU152" s="1057">
        <f t="shared" si="635"/>
        <v>666</v>
      </c>
      <c r="AV152" s="1055">
        <f t="shared" ref="AV152" si="636">+AV38-AV126</f>
        <v>664</v>
      </c>
      <c r="AW152" s="1122">
        <f t="shared" si="634"/>
        <v>677</v>
      </c>
      <c r="AX152" s="1122">
        <f t="shared" si="634"/>
        <v>652</v>
      </c>
      <c r="AY152" s="1057">
        <f t="shared" si="634"/>
        <v>657</v>
      </c>
      <c r="AZ152" s="1055">
        <f t="shared" ref="AZ152" si="637">+AZ38-AZ126</f>
        <v>719</v>
      </c>
      <c r="BA152" s="1122">
        <f t="shared" si="634"/>
        <v>725.14191056880031</v>
      </c>
      <c r="BB152" s="1122">
        <f t="shared" si="634"/>
        <v>723.37751143053265</v>
      </c>
      <c r="BC152" s="1057">
        <f t="shared" si="634"/>
        <v>731.32629987607356</v>
      </c>
      <c r="BD152" s="1055">
        <f t="shared" ref="BD152:BG152" si="638">+BD38-BD126</f>
        <v>719.97436480097144</v>
      </c>
      <c r="BE152" s="1122">
        <f t="shared" si="638"/>
        <v>712.07108010150637</v>
      </c>
      <c r="BF152" s="1122">
        <f t="shared" si="638"/>
        <v>753.79175159283295</v>
      </c>
      <c r="BG152" s="1400">
        <f t="shared" si="638"/>
        <v>824.49978215786018</v>
      </c>
      <c r="BH152" s="1122">
        <f t="shared" ref="BH152:BK152" si="639">+BH38-BH126</f>
        <v>797.11875559212012</v>
      </c>
      <c r="BI152" s="1122">
        <f t="shared" si="639"/>
        <v>765.32244436073643</v>
      </c>
      <c r="BJ152" s="1122">
        <f t="shared" si="639"/>
        <v>785.32227964604203</v>
      </c>
      <c r="BK152" s="1057">
        <f t="shared" si="639"/>
        <v>818.42284425740331</v>
      </c>
      <c r="BL152" s="19"/>
      <c r="BM152" s="1122">
        <f t="shared" ref="BM152:BY152" si="640">+BM38-BM126</f>
        <v>206</v>
      </c>
      <c r="BN152" s="1056">
        <f t="shared" si="640"/>
        <v>194</v>
      </c>
      <c r="BO152" s="1056">
        <f t="shared" si="640"/>
        <v>253</v>
      </c>
      <c r="BP152" s="1056">
        <f t="shared" si="640"/>
        <v>237</v>
      </c>
      <c r="BQ152" s="1056">
        <f t="shared" si="640"/>
        <v>266</v>
      </c>
      <c r="BR152" s="1056">
        <f t="shared" si="640"/>
        <v>297</v>
      </c>
      <c r="BS152" s="1056">
        <f t="shared" si="640"/>
        <v>308</v>
      </c>
      <c r="BT152" s="1057">
        <f t="shared" si="640"/>
        <v>364</v>
      </c>
      <c r="BU152" s="1056">
        <f t="shared" si="640"/>
        <v>632</v>
      </c>
      <c r="BV152" s="1056">
        <f t="shared" si="640"/>
        <v>933</v>
      </c>
      <c r="BW152" s="1056">
        <f t="shared" ref="BW152" si="641">+BW38-BW126</f>
        <v>2234</v>
      </c>
      <c r="BX152" s="1056">
        <f t="shared" si="640"/>
        <v>2650</v>
      </c>
      <c r="BY152" s="1122">
        <f t="shared" si="640"/>
        <v>2898.8457218754065</v>
      </c>
      <c r="BZ152" s="1122">
        <f t="shared" ref="BZ152:CA152" si="642">+BZ38-BZ126</f>
        <v>3010.3369786531712</v>
      </c>
      <c r="CA152" s="1400">
        <f t="shared" si="642"/>
        <v>3166.1863238563019</v>
      </c>
      <c r="CB152" s="19"/>
      <c r="CC152" s="1055">
        <f t="shared" ref="CC152:CN152" si="643">+CC38-CC126</f>
        <v>193</v>
      </c>
      <c r="CD152" s="1056">
        <f t="shared" si="643"/>
        <v>213</v>
      </c>
      <c r="CE152" s="1056">
        <f t="shared" si="643"/>
        <v>256</v>
      </c>
      <c r="CF152" s="1056">
        <f t="shared" si="643"/>
        <v>234</v>
      </c>
      <c r="CG152" s="1056">
        <f t="shared" si="643"/>
        <v>276</v>
      </c>
      <c r="CH152" s="1056">
        <f t="shared" si="643"/>
        <v>303</v>
      </c>
      <c r="CI152" s="1055">
        <f t="shared" si="643"/>
        <v>318</v>
      </c>
      <c r="CJ152" s="1056">
        <f t="shared" si="643"/>
        <v>376</v>
      </c>
      <c r="CK152" s="1056">
        <f t="shared" si="643"/>
        <v>744</v>
      </c>
      <c r="CL152" s="1056">
        <f t="shared" si="643"/>
        <v>961</v>
      </c>
      <c r="CM152" s="1056">
        <f t="shared" si="643"/>
        <v>2660</v>
      </c>
      <c r="CN152" s="1122">
        <f t="shared" si="643"/>
        <v>2705</v>
      </c>
      <c r="CO152" s="1122">
        <f t="shared" ref="CO152" si="644">+CO38-CO126</f>
        <v>2899.8200866763782</v>
      </c>
      <c r="CP152" s="1057">
        <f t="shared" ref="CP152" si="645">+CP38-CP126</f>
        <v>3087.4813694443196</v>
      </c>
      <c r="CQ152" s="7"/>
      <c r="CX152" s="7"/>
    </row>
    <row r="153" spans="1:102" s="533" customFormat="1" ht="14.25" customHeight="1">
      <c r="A153" s="525"/>
      <c r="B153" s="1051" t="s">
        <v>122</v>
      </c>
      <c r="C153" s="763"/>
      <c r="D153" s="1062">
        <f t="shared" ref="D153:BC153" si="646">+D53-D127</f>
        <v>72</v>
      </c>
      <c r="E153" s="1063">
        <f t="shared" si="646"/>
        <v>72</v>
      </c>
      <c r="F153" s="1063">
        <f t="shared" si="646"/>
        <v>59</v>
      </c>
      <c r="G153" s="1064">
        <f t="shared" si="646"/>
        <v>67</v>
      </c>
      <c r="H153" s="1062">
        <f t="shared" si="646"/>
        <v>57</v>
      </c>
      <c r="I153" s="1063">
        <f t="shared" si="646"/>
        <v>47</v>
      </c>
      <c r="J153" s="1063">
        <f t="shared" si="646"/>
        <v>44</v>
      </c>
      <c r="K153" s="1064">
        <f t="shared" si="646"/>
        <v>45</v>
      </c>
      <c r="L153" s="1062">
        <f t="shared" si="646"/>
        <v>49</v>
      </c>
      <c r="M153" s="1063">
        <f t="shared" si="646"/>
        <v>48</v>
      </c>
      <c r="N153" s="1063">
        <f t="shared" si="646"/>
        <v>49</v>
      </c>
      <c r="O153" s="1064">
        <f t="shared" si="646"/>
        <v>47</v>
      </c>
      <c r="P153" s="1062">
        <f t="shared" si="646"/>
        <v>39</v>
      </c>
      <c r="Q153" s="1063">
        <f t="shared" si="646"/>
        <v>41</v>
      </c>
      <c r="R153" s="1063">
        <f t="shared" si="646"/>
        <v>39</v>
      </c>
      <c r="S153" s="1064">
        <f t="shared" si="646"/>
        <v>42</v>
      </c>
      <c r="T153" s="1062">
        <f t="shared" si="646"/>
        <v>45</v>
      </c>
      <c r="U153" s="1063">
        <f t="shared" si="646"/>
        <v>46</v>
      </c>
      <c r="V153" s="1063">
        <f t="shared" si="646"/>
        <v>49</v>
      </c>
      <c r="W153" s="1064">
        <f t="shared" si="646"/>
        <v>48</v>
      </c>
      <c r="X153" s="1062">
        <f t="shared" si="646"/>
        <v>47</v>
      </c>
      <c r="Y153" s="1063">
        <f t="shared" si="646"/>
        <v>52</v>
      </c>
      <c r="Z153" s="1063">
        <f t="shared" si="646"/>
        <v>56</v>
      </c>
      <c r="AA153" s="1064">
        <f t="shared" si="646"/>
        <v>51</v>
      </c>
      <c r="AB153" s="1062">
        <f t="shared" si="646"/>
        <v>46</v>
      </c>
      <c r="AC153" s="1063">
        <f t="shared" si="646"/>
        <v>46</v>
      </c>
      <c r="AD153" s="1063">
        <f t="shared" si="646"/>
        <v>43</v>
      </c>
      <c r="AE153" s="1064">
        <f t="shared" si="646"/>
        <v>44</v>
      </c>
      <c r="AF153" s="1062">
        <f t="shared" si="646"/>
        <v>44</v>
      </c>
      <c r="AG153" s="1063">
        <f t="shared" si="646"/>
        <v>42</v>
      </c>
      <c r="AH153" s="1063">
        <f t="shared" si="646"/>
        <v>46</v>
      </c>
      <c r="AI153" s="1064">
        <f t="shared" si="646"/>
        <v>45</v>
      </c>
      <c r="AJ153" s="1062">
        <f t="shared" si="646"/>
        <v>44</v>
      </c>
      <c r="AK153" s="1063">
        <f t="shared" si="646"/>
        <v>47</v>
      </c>
      <c r="AL153" s="1063">
        <f t="shared" si="646"/>
        <v>88</v>
      </c>
      <c r="AM153" s="1064">
        <f t="shared" si="646"/>
        <v>89</v>
      </c>
      <c r="AN153" s="1062">
        <f t="shared" si="646"/>
        <v>83</v>
      </c>
      <c r="AO153" s="1063">
        <f t="shared" si="646"/>
        <v>76</v>
      </c>
      <c r="AP153" s="1063">
        <f t="shared" si="646"/>
        <v>85</v>
      </c>
      <c r="AQ153" s="1064">
        <f t="shared" si="646"/>
        <v>81</v>
      </c>
      <c r="AR153" s="1062">
        <f t="shared" ref="AR153:AU153" si="647">+AR53-AR127</f>
        <v>68</v>
      </c>
      <c r="AS153" s="1063">
        <f t="shared" si="647"/>
        <v>146</v>
      </c>
      <c r="AT153" s="1063">
        <f t="shared" si="647"/>
        <v>141</v>
      </c>
      <c r="AU153" s="1064">
        <f t="shared" si="647"/>
        <v>137</v>
      </c>
      <c r="AV153" s="1062">
        <f t="shared" ref="AV153" si="648">+AV53-AV127</f>
        <v>120</v>
      </c>
      <c r="AW153" s="1063">
        <f t="shared" si="646"/>
        <v>122</v>
      </c>
      <c r="AX153" s="1063">
        <f t="shared" si="646"/>
        <v>116</v>
      </c>
      <c r="AY153" s="1064">
        <f t="shared" si="646"/>
        <v>118</v>
      </c>
      <c r="AZ153" s="1062">
        <f t="shared" ref="AZ153" si="649">+AZ53-AZ127</f>
        <v>164</v>
      </c>
      <c r="BA153" s="1063">
        <f t="shared" si="646"/>
        <v>165.02673099305423</v>
      </c>
      <c r="BB153" s="1063">
        <f t="shared" si="646"/>
        <v>163.52673099305423</v>
      </c>
      <c r="BC153" s="1064">
        <f t="shared" si="646"/>
        <v>162.02673099305423</v>
      </c>
      <c r="BD153" s="1062">
        <f t="shared" ref="BD153:BG153" si="650">+BD53-BD127</f>
        <v>159.19481590201417</v>
      </c>
      <c r="BE153" s="1063">
        <f t="shared" si="650"/>
        <v>156.56501632258454</v>
      </c>
      <c r="BF153" s="1063">
        <f t="shared" si="650"/>
        <v>165.62381347769525</v>
      </c>
      <c r="BG153" s="1402">
        <f t="shared" si="650"/>
        <v>181.23740612638841</v>
      </c>
      <c r="BH153" s="1063">
        <f t="shared" ref="BH153:BK153" si="651">+BH53-BH127</f>
        <v>174.10205137371639</v>
      </c>
      <c r="BI153" s="1063">
        <f t="shared" si="651"/>
        <v>165.01891995987398</v>
      </c>
      <c r="BJ153" s="1063">
        <f t="shared" si="651"/>
        <v>169.98702649202454</v>
      </c>
      <c r="BK153" s="1064">
        <f t="shared" si="651"/>
        <v>178.50909364491628</v>
      </c>
      <c r="BL153" s="529"/>
      <c r="BM153" s="1062">
        <f t="shared" ref="BM153:BY153" si="652">+BM53-BM127</f>
        <v>270</v>
      </c>
      <c r="BN153" s="1063">
        <f t="shared" si="652"/>
        <v>193</v>
      </c>
      <c r="BO153" s="1063">
        <f t="shared" si="652"/>
        <v>193</v>
      </c>
      <c r="BP153" s="1063">
        <f t="shared" si="652"/>
        <v>161</v>
      </c>
      <c r="BQ153" s="1063">
        <f t="shared" si="652"/>
        <v>188</v>
      </c>
      <c r="BR153" s="1063">
        <f t="shared" si="652"/>
        <v>206</v>
      </c>
      <c r="BS153" s="1063">
        <f t="shared" si="652"/>
        <v>179</v>
      </c>
      <c r="BT153" s="1064">
        <f t="shared" si="652"/>
        <v>177</v>
      </c>
      <c r="BU153" s="1063">
        <f t="shared" si="652"/>
        <v>268</v>
      </c>
      <c r="BV153" s="1063">
        <f t="shared" si="652"/>
        <v>325</v>
      </c>
      <c r="BW153" s="1063">
        <f t="shared" ref="BW153" si="653">+BW53-BW127</f>
        <v>492</v>
      </c>
      <c r="BX153" s="1063">
        <f t="shared" si="652"/>
        <v>476</v>
      </c>
      <c r="BY153" s="1063">
        <f t="shared" si="652"/>
        <v>654.58019297916269</v>
      </c>
      <c r="BZ153" s="1063">
        <f t="shared" ref="BZ153:CA153" si="654">+BZ53-BZ127</f>
        <v>662.62105182868231</v>
      </c>
      <c r="CA153" s="1402">
        <f t="shared" si="654"/>
        <v>687.61709147053125</v>
      </c>
      <c r="CB153" s="529"/>
      <c r="CC153" s="1062">
        <f t="shared" ref="CC153:CN153" si="655">+CC53-CC127</f>
        <v>255</v>
      </c>
      <c r="CD153" s="1063">
        <f t="shared" si="655"/>
        <v>185</v>
      </c>
      <c r="CE153" s="1063">
        <f t="shared" si="655"/>
        <v>183</v>
      </c>
      <c r="CF153" s="1063">
        <f t="shared" si="655"/>
        <v>167</v>
      </c>
      <c r="CG153" s="1063">
        <f t="shared" si="655"/>
        <v>190</v>
      </c>
      <c r="CH153" s="1063">
        <f t="shared" si="655"/>
        <v>205</v>
      </c>
      <c r="CI153" s="1062">
        <f t="shared" si="655"/>
        <v>177</v>
      </c>
      <c r="CJ153" s="1063">
        <f t="shared" si="655"/>
        <v>177</v>
      </c>
      <c r="CK153" s="1063">
        <f t="shared" si="655"/>
        <v>307</v>
      </c>
      <c r="CL153" s="1063">
        <f t="shared" si="655"/>
        <v>310</v>
      </c>
      <c r="CM153" s="1063">
        <f t="shared" si="655"/>
        <v>544</v>
      </c>
      <c r="CN153" s="1063">
        <f t="shared" si="655"/>
        <v>520</v>
      </c>
      <c r="CO153" s="1063">
        <f t="shared" ref="CO153" si="656">+CO53-CO127</f>
        <v>649.77500888117686</v>
      </c>
      <c r="CP153" s="1064">
        <f t="shared" ref="CP153" si="657">+CP53-CP127</f>
        <v>677.52828730038459</v>
      </c>
      <c r="CQ153" s="525"/>
      <c r="CR153"/>
      <c r="CS153"/>
      <c r="CT153"/>
      <c r="CU153"/>
      <c r="CV153"/>
      <c r="CW153"/>
      <c r="CX153" s="525"/>
    </row>
    <row r="154" spans="1:102" ht="14.25" customHeight="1">
      <c r="A154" s="7"/>
      <c r="B154" s="1044" t="s">
        <v>24</v>
      </c>
      <c r="C154" s="1023"/>
      <c r="D154" s="1055">
        <f t="shared" ref="D154:BB154" si="658">D66-D126-D127</f>
        <v>126</v>
      </c>
      <c r="E154" s="1056">
        <f t="shared" si="658"/>
        <v>120</v>
      </c>
      <c r="F154" s="1056">
        <f t="shared" si="658"/>
        <v>115</v>
      </c>
      <c r="G154" s="1057">
        <f t="shared" si="658"/>
        <v>115</v>
      </c>
      <c r="H154" s="1055">
        <f t="shared" si="658"/>
        <v>98</v>
      </c>
      <c r="I154" s="1056">
        <f t="shared" si="658"/>
        <v>95</v>
      </c>
      <c r="J154" s="1056">
        <f t="shared" si="658"/>
        <v>97</v>
      </c>
      <c r="K154" s="1057">
        <f t="shared" si="658"/>
        <v>97</v>
      </c>
      <c r="L154" s="1055">
        <f t="shared" si="658"/>
        <v>109</v>
      </c>
      <c r="M154" s="1056">
        <f t="shared" si="658"/>
        <v>108</v>
      </c>
      <c r="N154" s="1056">
        <f t="shared" si="658"/>
        <v>115</v>
      </c>
      <c r="O154" s="1057">
        <f t="shared" si="658"/>
        <v>114</v>
      </c>
      <c r="P154" s="1055">
        <f t="shared" si="658"/>
        <v>102</v>
      </c>
      <c r="Q154" s="1056">
        <f t="shared" si="658"/>
        <v>97</v>
      </c>
      <c r="R154" s="1056">
        <f t="shared" si="658"/>
        <v>96</v>
      </c>
      <c r="S154" s="1057">
        <f t="shared" si="658"/>
        <v>103</v>
      </c>
      <c r="T154" s="1055">
        <f t="shared" si="658"/>
        <v>105</v>
      </c>
      <c r="U154" s="1056">
        <f t="shared" si="658"/>
        <v>113</v>
      </c>
      <c r="V154" s="1056">
        <f t="shared" si="658"/>
        <v>116</v>
      </c>
      <c r="W154" s="1057">
        <f t="shared" si="658"/>
        <v>120</v>
      </c>
      <c r="X154" s="1055">
        <f t="shared" si="658"/>
        <v>117</v>
      </c>
      <c r="Y154" s="1056">
        <f t="shared" si="658"/>
        <v>123</v>
      </c>
      <c r="Z154" s="1056">
        <f t="shared" si="658"/>
        <v>135</v>
      </c>
      <c r="AA154" s="1057">
        <f t="shared" si="658"/>
        <v>128</v>
      </c>
      <c r="AB154" s="1055">
        <f t="shared" si="658"/>
        <v>122</v>
      </c>
      <c r="AC154" s="1056">
        <f t="shared" si="658"/>
        <v>124</v>
      </c>
      <c r="AD154" s="1056">
        <f t="shared" si="658"/>
        <v>124</v>
      </c>
      <c r="AE154" s="1057">
        <f t="shared" si="658"/>
        <v>117</v>
      </c>
      <c r="AF154" s="1055">
        <f t="shared" si="658"/>
        <v>130</v>
      </c>
      <c r="AG154" s="1056">
        <f t="shared" si="658"/>
        <v>130</v>
      </c>
      <c r="AH154" s="1056">
        <f t="shared" si="658"/>
        <v>137</v>
      </c>
      <c r="AI154" s="1057">
        <f t="shared" si="658"/>
        <v>144</v>
      </c>
      <c r="AJ154" s="1055">
        <f t="shared" si="658"/>
        <v>142</v>
      </c>
      <c r="AK154" s="1056">
        <f t="shared" si="658"/>
        <v>148</v>
      </c>
      <c r="AL154" s="1056">
        <f t="shared" si="658"/>
        <v>307</v>
      </c>
      <c r="AM154" s="1057">
        <f t="shared" si="658"/>
        <v>303</v>
      </c>
      <c r="AN154" s="1055">
        <f t="shared" si="658"/>
        <v>293</v>
      </c>
      <c r="AO154" s="1056">
        <f t="shared" si="658"/>
        <v>297</v>
      </c>
      <c r="AP154" s="1056">
        <f t="shared" si="658"/>
        <v>330</v>
      </c>
      <c r="AQ154" s="1057">
        <f t="shared" si="658"/>
        <v>338</v>
      </c>
      <c r="AR154" s="1055">
        <f t="shared" ref="AR154:AU154" si="659">AR66-AR126-AR127</f>
        <v>306</v>
      </c>
      <c r="AS154" s="1122">
        <f t="shared" si="659"/>
        <v>809</v>
      </c>
      <c r="AT154" s="1122">
        <f t="shared" si="659"/>
        <v>808</v>
      </c>
      <c r="AU154" s="1057">
        <f t="shared" si="659"/>
        <v>803</v>
      </c>
      <c r="AV154" s="1055">
        <f t="shared" ref="AV154" si="660">AV66-AV126-AV127</f>
        <v>784</v>
      </c>
      <c r="AW154" s="1122">
        <f t="shared" si="658"/>
        <v>799</v>
      </c>
      <c r="AX154" s="1122">
        <f t="shared" si="658"/>
        <v>768</v>
      </c>
      <c r="AY154" s="1057">
        <f t="shared" si="658"/>
        <v>775</v>
      </c>
      <c r="AZ154" s="1055">
        <f t="shared" ref="AZ154" si="661">AZ66-AZ126-AZ127</f>
        <v>883</v>
      </c>
      <c r="BA154" s="1122">
        <f t="shared" si="658"/>
        <v>890.16864156185466</v>
      </c>
      <c r="BB154" s="1122">
        <f t="shared" si="658"/>
        <v>886.90424242358677</v>
      </c>
      <c r="BC154" s="1057">
        <f>BC66-BC126-BC127</f>
        <v>893.35303086912791</v>
      </c>
      <c r="BD154" s="1055">
        <f t="shared" ref="BD154:BF154" si="662">BD66-BD126-BD127</f>
        <v>879.16918070298561</v>
      </c>
      <c r="BE154" s="1122">
        <f t="shared" si="662"/>
        <v>868.63609642409097</v>
      </c>
      <c r="BF154" s="1122">
        <f t="shared" si="662"/>
        <v>919.41556507052815</v>
      </c>
      <c r="BG154" s="1400">
        <f>BG66-BG126-BG127</f>
        <v>1005.7371882842485</v>
      </c>
      <c r="BH154" s="1122">
        <f t="shared" ref="BH154:BJ154" si="663">BH66-BH126-BH127</f>
        <v>971.22080696583657</v>
      </c>
      <c r="BI154" s="1122">
        <f t="shared" si="663"/>
        <v>930.34136432061041</v>
      </c>
      <c r="BJ154" s="1122">
        <f t="shared" si="663"/>
        <v>955.30930613806663</v>
      </c>
      <c r="BK154" s="1057">
        <f>BK66-BK126-BK127</f>
        <v>996.93193790231953</v>
      </c>
      <c r="BL154" s="19"/>
      <c r="BM154" s="1055">
        <f t="shared" ref="BM154:BY154" si="664">BM66-BM126-BM127</f>
        <v>476</v>
      </c>
      <c r="BN154" s="1056">
        <f t="shared" si="664"/>
        <v>387</v>
      </c>
      <c r="BO154" s="1056">
        <f t="shared" si="664"/>
        <v>446</v>
      </c>
      <c r="BP154" s="1056">
        <f t="shared" si="664"/>
        <v>398</v>
      </c>
      <c r="BQ154" s="1056">
        <f t="shared" si="664"/>
        <v>454</v>
      </c>
      <c r="BR154" s="1056">
        <f t="shared" si="664"/>
        <v>503</v>
      </c>
      <c r="BS154" s="1056">
        <f t="shared" si="664"/>
        <v>487</v>
      </c>
      <c r="BT154" s="1057">
        <f t="shared" si="664"/>
        <v>541</v>
      </c>
      <c r="BU154" s="1056">
        <f t="shared" si="664"/>
        <v>900</v>
      </c>
      <c r="BV154" s="1056">
        <f t="shared" si="664"/>
        <v>1258</v>
      </c>
      <c r="BW154" s="1056">
        <f t="shared" ref="BW154" si="665">BW66-BW126-BW127</f>
        <v>2726</v>
      </c>
      <c r="BX154" s="1056">
        <f t="shared" si="664"/>
        <v>3126</v>
      </c>
      <c r="BY154" s="1122">
        <f t="shared" si="664"/>
        <v>3553.4259148545689</v>
      </c>
      <c r="BZ154" s="1122">
        <f t="shared" ref="BZ154:CA154" si="666">BZ66-BZ126-BZ127</f>
        <v>3672.9580304818537</v>
      </c>
      <c r="CA154" s="1400">
        <f t="shared" si="666"/>
        <v>3853.8034153268327</v>
      </c>
      <c r="CB154" s="19"/>
      <c r="CC154" s="1055">
        <f t="shared" ref="CC154:CN154" si="667">CC66-CC126-CC127</f>
        <v>448</v>
      </c>
      <c r="CD154" s="1056">
        <f t="shared" si="667"/>
        <v>398</v>
      </c>
      <c r="CE154" s="1056">
        <f t="shared" si="667"/>
        <v>439</v>
      </c>
      <c r="CF154" s="1056">
        <f t="shared" si="667"/>
        <v>401</v>
      </c>
      <c r="CG154" s="1056">
        <f t="shared" si="667"/>
        <v>466</v>
      </c>
      <c r="CH154" s="1056">
        <f t="shared" si="667"/>
        <v>508</v>
      </c>
      <c r="CI154" s="1055">
        <f t="shared" si="667"/>
        <v>495</v>
      </c>
      <c r="CJ154" s="1056">
        <f t="shared" si="667"/>
        <v>553</v>
      </c>
      <c r="CK154" s="1056">
        <f t="shared" si="667"/>
        <v>1051</v>
      </c>
      <c r="CL154" s="1056">
        <f t="shared" si="667"/>
        <v>1271</v>
      </c>
      <c r="CM154" s="1056">
        <f t="shared" si="667"/>
        <v>3204</v>
      </c>
      <c r="CN154" s="1122">
        <f t="shared" si="667"/>
        <v>3225</v>
      </c>
      <c r="CO154" s="1122">
        <f t="shared" ref="CO154" si="668">CO66-CO126-CO127</f>
        <v>3549.5950955575554</v>
      </c>
      <c r="CP154" s="1057">
        <f t="shared" ref="CP154" si="669">CP66-CP126-CP127</f>
        <v>3765.0096567447044</v>
      </c>
      <c r="CQ154" s="7"/>
      <c r="CX154" s="7"/>
    </row>
    <row r="155" spans="1:102" ht="14.25" customHeight="1">
      <c r="A155" s="7"/>
      <c r="B155" s="546" t="s">
        <v>337</v>
      </c>
      <c r="C155" s="523"/>
      <c r="D155" s="51">
        <f>D154/D148</f>
        <v>0.36</v>
      </c>
      <c r="E155" s="52">
        <f>E154/E148</f>
        <v>0.33149171270718231</v>
      </c>
      <c r="F155" s="52">
        <f>F154/F148</f>
        <v>0.28186274509803921</v>
      </c>
      <c r="G155" s="53">
        <f>G154/G148</f>
        <v>0.29262086513994912</v>
      </c>
      <c r="H155" s="51">
        <f t="shared" ref="H155:BC155" si="670">H154/H148</f>
        <v>0.26133333333333331</v>
      </c>
      <c r="I155" s="52">
        <f t="shared" si="670"/>
        <v>0.25</v>
      </c>
      <c r="J155" s="52">
        <f t="shared" si="670"/>
        <v>0.25459317585301838</v>
      </c>
      <c r="K155" s="53">
        <f t="shared" si="670"/>
        <v>0.24808184143222506</v>
      </c>
      <c r="L155" s="51">
        <f t="shared" si="670"/>
        <v>0.27114427860696516</v>
      </c>
      <c r="M155" s="52">
        <f t="shared" si="670"/>
        <v>0.26277372262773724</v>
      </c>
      <c r="N155" s="52">
        <f t="shared" si="670"/>
        <v>0.26195899772209569</v>
      </c>
      <c r="O155" s="53">
        <f t="shared" si="670"/>
        <v>0.25503355704697989</v>
      </c>
      <c r="P155" s="51">
        <f t="shared" si="670"/>
        <v>0.27717391304347827</v>
      </c>
      <c r="Q155" s="52">
        <f t="shared" si="670"/>
        <v>0.29846153846153844</v>
      </c>
      <c r="R155" s="52">
        <f t="shared" si="670"/>
        <v>0.26446280991735538</v>
      </c>
      <c r="S155" s="53">
        <f t="shared" si="670"/>
        <v>0.24065420560747663</v>
      </c>
      <c r="T155" s="51">
        <f t="shared" si="670"/>
        <v>0.23026315789473684</v>
      </c>
      <c r="U155" s="52">
        <f t="shared" si="670"/>
        <v>0.21941747572815534</v>
      </c>
      <c r="V155" s="52">
        <f t="shared" si="670"/>
        <v>0.21090909090909091</v>
      </c>
      <c r="W155" s="53">
        <f t="shared" si="670"/>
        <v>0.20979020979020979</v>
      </c>
      <c r="X155" s="51">
        <f t="shared" si="670"/>
        <v>0.21272727272727274</v>
      </c>
      <c r="Y155" s="52">
        <f t="shared" si="670"/>
        <v>0.21964285714285714</v>
      </c>
      <c r="Z155" s="52">
        <f t="shared" si="670"/>
        <v>0.22388059701492538</v>
      </c>
      <c r="AA155" s="53">
        <f t="shared" si="670"/>
        <v>0.20545746388443017</v>
      </c>
      <c r="AB155" s="51">
        <f t="shared" si="670"/>
        <v>0.21669626998223801</v>
      </c>
      <c r="AC155" s="52">
        <f t="shared" si="670"/>
        <v>0.21490467937608318</v>
      </c>
      <c r="AD155" s="52">
        <f t="shared" si="670"/>
        <v>0.20462046204620463</v>
      </c>
      <c r="AE155" s="53">
        <f t="shared" si="670"/>
        <v>0.18932038834951456</v>
      </c>
      <c r="AF155" s="51">
        <f t="shared" si="670"/>
        <v>0.22569444444444445</v>
      </c>
      <c r="AG155" s="52">
        <f t="shared" si="670"/>
        <v>0.23131672597864769</v>
      </c>
      <c r="AH155" s="52">
        <f t="shared" si="670"/>
        <v>0.2127329192546584</v>
      </c>
      <c r="AI155" s="53">
        <f t="shared" si="670"/>
        <v>0.1951219512195122</v>
      </c>
      <c r="AJ155" s="51">
        <f t="shared" si="670"/>
        <v>0.2002820874471086</v>
      </c>
      <c r="AK155" s="52">
        <f t="shared" si="670"/>
        <v>0.21112696148359486</v>
      </c>
      <c r="AL155" s="52">
        <f>AL154/AL148</f>
        <v>0.23853923853923853</v>
      </c>
      <c r="AM155" s="53">
        <f t="shared" si="670"/>
        <v>0.18819875776397516</v>
      </c>
      <c r="AN155" s="51">
        <f t="shared" si="670"/>
        <v>0.17682558841279419</v>
      </c>
      <c r="AO155" s="52">
        <f t="shared" si="670"/>
        <v>0.18054711246200608</v>
      </c>
      <c r="AP155" s="52">
        <f>AP154/AP148</f>
        <v>0.18857142857142858</v>
      </c>
      <c r="AQ155" s="53">
        <f t="shared" ref="AQ155:AS155" si="671">AQ154/AQ148</f>
        <v>0.18240690771721532</v>
      </c>
      <c r="AR155" s="51">
        <f t="shared" si="671"/>
        <v>0.17171717171717171</v>
      </c>
      <c r="AS155" s="52">
        <f t="shared" si="671"/>
        <v>0.22711959573273441</v>
      </c>
      <c r="AT155" s="52">
        <f>AT154/AT148</f>
        <v>0.21251972645975803</v>
      </c>
      <c r="AU155" s="53">
        <f t="shared" ref="AU155:AV155" si="672">AU154/AU148</f>
        <v>0.19368065605402798</v>
      </c>
      <c r="AV155" s="51">
        <f t="shared" si="672"/>
        <v>0.18896119546878765</v>
      </c>
      <c r="AW155" s="52">
        <f t="shared" si="670"/>
        <v>0.19019281123542014</v>
      </c>
      <c r="AX155" s="52">
        <f>AX154/AX148</f>
        <v>0.17192746809939558</v>
      </c>
      <c r="AY155" s="53">
        <f t="shared" ref="AY155:AZ155" si="673">AY154/AY148</f>
        <v>0.15985973597359737</v>
      </c>
      <c r="AZ155" s="51">
        <f t="shared" si="673"/>
        <v>0.16563496529731758</v>
      </c>
      <c r="BA155" s="52">
        <f t="shared" si="670"/>
        <v>0.177641495889447</v>
      </c>
      <c r="BB155" s="52">
        <f t="shared" si="670"/>
        <v>0.17015705857344043</v>
      </c>
      <c r="BC155" s="53">
        <f t="shared" si="670"/>
        <v>0.16001985119795617</v>
      </c>
      <c r="BD155" s="51">
        <f t="shared" ref="BD155:BG155" si="674">BD154/BD148</f>
        <v>0.1649092527146338</v>
      </c>
      <c r="BE155" s="52">
        <f t="shared" si="674"/>
        <v>0.1677477517884027</v>
      </c>
      <c r="BF155" s="52">
        <f t="shared" si="674"/>
        <v>0.1657433253577304</v>
      </c>
      <c r="BG155" s="1401">
        <f t="shared" si="674"/>
        <v>0.16280264224375046</v>
      </c>
      <c r="BH155" s="52">
        <f t="shared" ref="BH155:BK155" si="675">BH154/BH148</f>
        <v>0.16454882306315471</v>
      </c>
      <c r="BI155" s="52">
        <f t="shared" si="675"/>
        <v>0.16653452824565185</v>
      </c>
      <c r="BJ155" s="52">
        <f t="shared" si="675"/>
        <v>0.16433251541230876</v>
      </c>
      <c r="BK155" s="53">
        <f t="shared" si="675"/>
        <v>0.16125543942922818</v>
      </c>
      <c r="BL155" s="19"/>
      <c r="BM155" s="51">
        <f t="shared" ref="BM155:BV155" si="676">BM154/BM148</f>
        <v>0.3146067415730337</v>
      </c>
      <c r="BN155" s="52">
        <f t="shared" si="676"/>
        <v>0.25343811394891946</v>
      </c>
      <c r="BO155" s="52">
        <f t="shared" si="676"/>
        <v>0.26250735726898178</v>
      </c>
      <c r="BP155" s="52">
        <f t="shared" si="676"/>
        <v>0.26819407008086255</v>
      </c>
      <c r="BQ155" s="52">
        <f t="shared" si="676"/>
        <v>0.21691352126134736</v>
      </c>
      <c r="BR155" s="52">
        <f t="shared" si="676"/>
        <v>0.21532534246575341</v>
      </c>
      <c r="BS155" s="52">
        <f t="shared" si="676"/>
        <v>0.2060067681895093</v>
      </c>
      <c r="BT155" s="53">
        <f t="shared" si="676"/>
        <v>0.21468253968253967</v>
      </c>
      <c r="BU155" s="52">
        <f t="shared" si="676"/>
        <v>0.21082220660576248</v>
      </c>
      <c r="BV155" s="52">
        <f t="shared" si="676"/>
        <v>0.18218682114409848</v>
      </c>
      <c r="BW155" s="52">
        <f>BW154/BW148</f>
        <v>0.20508576587421004</v>
      </c>
      <c r="BX155" s="52">
        <f>BX154/BX148</f>
        <v>0.17696009057458251</v>
      </c>
      <c r="BY155" s="52">
        <f>BY154/BY148</f>
        <v>0.16811344067940989</v>
      </c>
      <c r="BZ155" s="52">
        <f>BZ154/BZ148</f>
        <v>0.16519310606634161</v>
      </c>
      <c r="CA155" s="1401">
        <f>CA154/CA148</f>
        <v>0.164100649027832</v>
      </c>
      <c r="CB155" s="19"/>
      <c r="CC155" s="51">
        <f t="shared" ref="CC155:CJ155" si="677">CC154/CC148</f>
        <v>0.29128738621586475</v>
      </c>
      <c r="CD155" s="52">
        <f t="shared" si="677"/>
        <v>0.25611325611325614</v>
      </c>
      <c r="CE155" s="52">
        <f t="shared" si="677"/>
        <v>0.26366366366366367</v>
      </c>
      <c r="CF155" s="52">
        <f t="shared" si="677"/>
        <v>0.25508905852417302</v>
      </c>
      <c r="CG155" s="52">
        <f t="shared" si="677"/>
        <v>0.21307727480566988</v>
      </c>
      <c r="CH155" s="52">
        <f t="shared" si="677"/>
        <v>0.216262239250745</v>
      </c>
      <c r="CI155" s="51">
        <f t="shared" si="677"/>
        <v>0.20824568784181741</v>
      </c>
      <c r="CJ155" s="52">
        <f t="shared" si="677"/>
        <v>0.20844327176781002</v>
      </c>
      <c r="CK155" s="52">
        <f t="shared" ref="CK155:CP155" si="678">CK154/CK148</f>
        <v>0.20230991337824833</v>
      </c>
      <c r="CL155" s="52">
        <f t="shared" si="678"/>
        <v>0.18079658605974394</v>
      </c>
      <c r="CM155" s="52">
        <f t="shared" si="678"/>
        <v>0.20461076697107095</v>
      </c>
      <c r="CN155" s="52">
        <f t="shared" si="678"/>
        <v>0.17111476627579986</v>
      </c>
      <c r="CO155" s="52">
        <f t="shared" si="678"/>
        <v>0.16793037515905154</v>
      </c>
      <c r="CP155" s="53">
        <f t="shared" si="678"/>
        <v>0.16509271413220608</v>
      </c>
      <c r="CQ155" s="7"/>
      <c r="CX155" s="7"/>
    </row>
    <row r="156" spans="1:102" ht="14.25" customHeight="1">
      <c r="A156" s="7"/>
      <c r="B156" s="546"/>
      <c r="C156" s="523"/>
      <c r="D156" s="51"/>
      <c r="E156" s="52"/>
      <c r="F156" s="52"/>
      <c r="G156" s="53"/>
      <c r="H156" s="51"/>
      <c r="I156" s="52"/>
      <c r="J156" s="52"/>
      <c r="K156" s="53"/>
      <c r="L156" s="51"/>
      <c r="M156" s="52"/>
      <c r="N156" s="52"/>
      <c r="O156" s="53"/>
      <c r="P156" s="51"/>
      <c r="Q156" s="52"/>
      <c r="R156" s="52"/>
      <c r="S156" s="53"/>
      <c r="T156" s="51"/>
      <c r="U156" s="52"/>
      <c r="V156" s="52"/>
      <c r="W156" s="53"/>
      <c r="X156" s="51"/>
      <c r="Y156" s="52"/>
      <c r="Z156" s="52"/>
      <c r="AA156" s="53"/>
      <c r="AB156" s="51"/>
      <c r="AC156" s="52"/>
      <c r="AD156" s="52"/>
      <c r="AE156" s="53"/>
      <c r="AF156" s="51"/>
      <c r="AG156" s="52"/>
      <c r="AH156" s="52"/>
      <c r="AI156" s="53"/>
      <c r="AJ156" s="51"/>
      <c r="AK156" s="52"/>
      <c r="AL156" s="52"/>
      <c r="AM156" s="53"/>
      <c r="AN156" s="51"/>
      <c r="AO156" s="52"/>
      <c r="AP156" s="52"/>
      <c r="AQ156" s="53"/>
      <c r="AR156" s="51"/>
      <c r="AS156" s="52"/>
      <c r="AT156" s="52"/>
      <c r="AU156" s="53"/>
      <c r="AV156" s="51"/>
      <c r="AW156" s="52"/>
      <c r="AX156" s="52"/>
      <c r="AY156" s="53"/>
      <c r="AZ156" s="51"/>
      <c r="BA156" s="52"/>
      <c r="BB156" s="52"/>
      <c r="BC156" s="53"/>
      <c r="BD156" s="51"/>
      <c r="BE156" s="52"/>
      <c r="BF156" s="52"/>
      <c r="BG156" s="1401"/>
      <c r="BH156" s="52"/>
      <c r="BI156" s="52"/>
      <c r="BJ156" s="52"/>
      <c r="BK156" s="53"/>
      <c r="BL156" s="19"/>
      <c r="BM156" s="51"/>
      <c r="BN156" s="52"/>
      <c r="BO156" s="52"/>
      <c r="BP156" s="52"/>
      <c r="BQ156" s="52"/>
      <c r="BR156" s="52"/>
      <c r="BS156" s="52"/>
      <c r="BT156" s="53"/>
      <c r="BU156" s="52"/>
      <c r="BV156" s="52"/>
      <c r="BW156" s="52"/>
      <c r="BX156" s="52"/>
      <c r="BY156" s="52"/>
      <c r="BZ156" s="52"/>
      <c r="CA156" s="1401"/>
      <c r="CB156" s="19"/>
      <c r="CC156" s="51"/>
      <c r="CD156" s="52"/>
      <c r="CE156" s="52"/>
      <c r="CF156" s="52"/>
      <c r="CG156" s="52"/>
      <c r="CH156" s="52"/>
      <c r="CI156" s="51"/>
      <c r="CJ156" s="52"/>
      <c r="CK156" s="52"/>
      <c r="CL156" s="52"/>
      <c r="CM156" s="52"/>
      <c r="CN156" s="52"/>
      <c r="CO156" s="52"/>
      <c r="CP156" s="53"/>
      <c r="CQ156" s="7"/>
      <c r="CX156" s="7"/>
    </row>
    <row r="157" spans="1:102" ht="14.25" customHeight="1">
      <c r="A157" s="7"/>
      <c r="B157" s="662" t="s">
        <v>338</v>
      </c>
      <c r="C157" s="523"/>
      <c r="D157" s="51">
        <f>+D152/D$148</f>
        <v>0.15428571428571428</v>
      </c>
      <c r="E157" s="52">
        <f t="shared" ref="E157:AO158" si="679">+E152/E$148</f>
        <v>0.13259668508287292</v>
      </c>
      <c r="F157" s="52">
        <f t="shared" si="679"/>
        <v>0.13725490196078433</v>
      </c>
      <c r="G157" s="53">
        <f t="shared" si="679"/>
        <v>0.12213740458015267</v>
      </c>
      <c r="H157" s="51">
        <f t="shared" si="679"/>
        <v>0.10933333333333334</v>
      </c>
      <c r="I157" s="52">
        <f t="shared" si="679"/>
        <v>0.12631578947368421</v>
      </c>
      <c r="J157" s="52">
        <f t="shared" si="679"/>
        <v>0.13910761154855644</v>
      </c>
      <c r="K157" s="53">
        <f t="shared" si="679"/>
        <v>0.13299232736572891</v>
      </c>
      <c r="L157" s="51">
        <f t="shared" si="679"/>
        <v>0.14925373134328357</v>
      </c>
      <c r="M157" s="52">
        <f t="shared" si="679"/>
        <v>0.145985401459854</v>
      </c>
      <c r="N157" s="52">
        <f t="shared" si="679"/>
        <v>0.15034168564920272</v>
      </c>
      <c r="O157" s="53">
        <f t="shared" si="679"/>
        <v>0.14988814317673377</v>
      </c>
      <c r="P157" s="51">
        <f t="shared" si="679"/>
        <v>0.17119565217391305</v>
      </c>
      <c r="Q157" s="52">
        <f t="shared" si="679"/>
        <v>0.1723076923076923</v>
      </c>
      <c r="R157" s="52">
        <f t="shared" si="679"/>
        <v>0.15702479338842976</v>
      </c>
      <c r="S157" s="53">
        <f t="shared" si="679"/>
        <v>0.1425233644859813</v>
      </c>
      <c r="T157" s="51">
        <f t="shared" si="679"/>
        <v>0.13157894736842105</v>
      </c>
      <c r="U157" s="52">
        <f t="shared" si="679"/>
        <v>0.13009708737864079</v>
      </c>
      <c r="V157" s="52">
        <f t="shared" si="679"/>
        <v>0.12181818181818181</v>
      </c>
      <c r="W157" s="53">
        <f t="shared" si="679"/>
        <v>0.12587412587412589</v>
      </c>
      <c r="X157" s="51">
        <f t="shared" si="679"/>
        <v>0.12727272727272726</v>
      </c>
      <c r="Y157" s="52">
        <f t="shared" si="679"/>
        <v>0.12678571428571428</v>
      </c>
      <c r="Z157" s="52">
        <f t="shared" si="679"/>
        <v>0.13101160862354891</v>
      </c>
      <c r="AA157" s="53">
        <f t="shared" si="679"/>
        <v>0.12359550561797752</v>
      </c>
      <c r="AB157" s="51">
        <f t="shared" si="679"/>
        <v>0.13499111900532859</v>
      </c>
      <c r="AC157" s="52">
        <f t="shared" si="679"/>
        <v>0.13518197573656845</v>
      </c>
      <c r="AD157" s="52">
        <f t="shared" si="679"/>
        <v>0.13366336633663367</v>
      </c>
      <c r="AE157" s="53">
        <f t="shared" si="679"/>
        <v>0.11812297734627832</v>
      </c>
      <c r="AF157" s="51">
        <f t="shared" si="679"/>
        <v>0.14930555555555555</v>
      </c>
      <c r="AG157" s="52">
        <f t="shared" si="679"/>
        <v>0.15658362989323843</v>
      </c>
      <c r="AH157" s="52">
        <f t="shared" si="679"/>
        <v>0.14130434782608695</v>
      </c>
      <c r="AI157" s="53">
        <f t="shared" si="679"/>
        <v>0.13414634146341464</v>
      </c>
      <c r="AJ157" s="51">
        <f t="shared" si="679"/>
        <v>0.1382228490832158</v>
      </c>
      <c r="AK157" s="52">
        <f t="shared" si="679"/>
        <v>0.14407988587731813</v>
      </c>
      <c r="AL157" s="52">
        <f>+AL152/AL$148</f>
        <v>0.17016317016317017</v>
      </c>
      <c r="AM157" s="53">
        <f t="shared" si="679"/>
        <v>0.13291925465838508</v>
      </c>
      <c r="AN157" s="51">
        <f t="shared" si="679"/>
        <v>0.12673506336753168</v>
      </c>
      <c r="AO157" s="52">
        <f t="shared" si="679"/>
        <v>0.13434650455927052</v>
      </c>
      <c r="AP157" s="52">
        <f>+AP152/AP$148</f>
        <v>0.14000000000000001</v>
      </c>
      <c r="AQ157" s="53">
        <f t="shared" ref="AQ157:BC158" si="680">+AQ152/AQ$148</f>
        <v>0.13869400971397733</v>
      </c>
      <c r="AR157" s="51">
        <f t="shared" si="680"/>
        <v>0.13355780022446689</v>
      </c>
      <c r="AS157" s="52">
        <f t="shared" si="680"/>
        <v>0.18613138686131386</v>
      </c>
      <c r="AT157" s="52">
        <f>+AT152/AT$148</f>
        <v>0.17543398211467648</v>
      </c>
      <c r="AU157" s="53">
        <f t="shared" ref="AU157:AV157" si="681">+AU152/AU$148</f>
        <v>0.16063675832127353</v>
      </c>
      <c r="AV157" s="51">
        <f t="shared" si="681"/>
        <v>0.16003856350927934</v>
      </c>
      <c r="AW157" s="52">
        <f t="shared" si="680"/>
        <v>0.16115210664127588</v>
      </c>
      <c r="AX157" s="52">
        <f>+AX152/AX$148</f>
        <v>0.14595925677188271</v>
      </c>
      <c r="AY157" s="53">
        <f t="shared" ref="AY157:AZ157" si="682">+AY152/AY$148</f>
        <v>0.13551980198019803</v>
      </c>
      <c r="AZ157" s="51">
        <f t="shared" si="682"/>
        <v>0.13487150628399924</v>
      </c>
      <c r="BA157" s="52">
        <f t="shared" si="680"/>
        <v>0.14470886493997256</v>
      </c>
      <c r="BB157" s="52">
        <f t="shared" si="680"/>
        <v>0.13878362927528745</v>
      </c>
      <c r="BC157" s="53">
        <f t="shared" si="680"/>
        <v>0.13099717764372262</v>
      </c>
      <c r="BD157" s="51">
        <f t="shared" ref="BD157:BG157" si="683">+BD152/BD$148</f>
        <v>0.13504844923941059</v>
      </c>
      <c r="BE157" s="52">
        <f t="shared" si="683"/>
        <v>0.13751250183166405</v>
      </c>
      <c r="BF157" s="52">
        <f t="shared" si="683"/>
        <v>0.13588626980297053</v>
      </c>
      <c r="BG157" s="1401">
        <f t="shared" si="683"/>
        <v>0.13346502906359575</v>
      </c>
      <c r="BH157" s="52">
        <f t="shared" ref="BH157:BK157" si="684">+BH152/BH$148</f>
        <v>0.13505163000370488</v>
      </c>
      <c r="BI157" s="52">
        <f t="shared" si="684"/>
        <v>0.13699553423650868</v>
      </c>
      <c r="BJ157" s="52">
        <f t="shared" si="684"/>
        <v>0.13509131000228219</v>
      </c>
      <c r="BK157" s="53">
        <f t="shared" si="684"/>
        <v>0.13238128940611532</v>
      </c>
      <c r="BL157" s="19"/>
      <c r="BM157" s="51">
        <f t="shared" ref="BM157:CN158" si="685">+BM152/BM$148</f>
        <v>0.13615333773959021</v>
      </c>
      <c r="BN157" s="52">
        <f t="shared" si="685"/>
        <v>0.12704649639816634</v>
      </c>
      <c r="BO157" s="52">
        <f t="shared" si="685"/>
        <v>0.14891112419070041</v>
      </c>
      <c r="BP157" s="52">
        <f t="shared" si="685"/>
        <v>0.15970350404312669</v>
      </c>
      <c r="BQ157" s="52">
        <f t="shared" si="685"/>
        <v>0.12709030100334448</v>
      </c>
      <c r="BR157" s="52">
        <f t="shared" si="685"/>
        <v>0.1271404109589041</v>
      </c>
      <c r="BS157" s="52">
        <f t="shared" si="685"/>
        <v>0.13028764805414553</v>
      </c>
      <c r="BT157" s="53">
        <f t="shared" si="685"/>
        <v>0.14444444444444443</v>
      </c>
      <c r="BU157" s="52">
        <f t="shared" si="685"/>
        <v>0.14804403841649097</v>
      </c>
      <c r="BV157" s="52">
        <f t="shared" si="685"/>
        <v>0.13511947863866763</v>
      </c>
      <c r="BW157" s="52">
        <f t="shared" ref="BW157" si="686">+BW152/BW$148</f>
        <v>0.16807102016250375</v>
      </c>
      <c r="BX157" s="52">
        <f t="shared" si="685"/>
        <v>0.15001415227851683</v>
      </c>
      <c r="BY157" s="52">
        <f t="shared" si="685"/>
        <v>0.13714509320879073</v>
      </c>
      <c r="BZ157" s="52">
        <f t="shared" ref="BZ157:CA157" si="687">+BZ152/BZ$148</f>
        <v>0.13539139616709553</v>
      </c>
      <c r="CA157" s="1401">
        <f t="shared" si="687"/>
        <v>0.13482089631803409</v>
      </c>
      <c r="CB157" s="19"/>
      <c r="CC157" s="51">
        <f t="shared" si="685"/>
        <v>0.12548764629388817</v>
      </c>
      <c r="CD157" s="52">
        <f t="shared" si="685"/>
        <v>0.13706563706563707</v>
      </c>
      <c r="CE157" s="52">
        <f t="shared" si="685"/>
        <v>0.15375375375375375</v>
      </c>
      <c r="CF157" s="52">
        <f t="shared" si="685"/>
        <v>0.14885496183206107</v>
      </c>
      <c r="CG157" s="52">
        <f t="shared" si="685"/>
        <v>0.12620027434842249</v>
      </c>
      <c r="CH157" s="52">
        <f t="shared" si="685"/>
        <v>0.12899106002554278</v>
      </c>
      <c r="CI157" s="51">
        <f t="shared" si="685"/>
        <v>0.13378207824989483</v>
      </c>
      <c r="CJ157" s="52">
        <f t="shared" si="685"/>
        <v>0.14172634753109686</v>
      </c>
      <c r="CK157" s="52">
        <f t="shared" si="685"/>
        <v>0.14321462945139557</v>
      </c>
      <c r="CL157" s="52">
        <f t="shared" si="685"/>
        <v>0.13669985775248933</v>
      </c>
      <c r="CM157" s="52">
        <f t="shared" si="685"/>
        <v>0.16987036209208761</v>
      </c>
      <c r="CN157" s="52">
        <f t="shared" si="685"/>
        <v>0.14352416830264764</v>
      </c>
      <c r="CO157" s="52">
        <f t="shared" ref="CO157" si="688">+CO152/CO$148</f>
        <v>0.13718969683578142</v>
      </c>
      <c r="CP157" s="53">
        <f t="shared" ref="CP157" si="689">+CP152/CP$148</f>
        <v>0.13538363127463979</v>
      </c>
      <c r="CQ157" s="7"/>
      <c r="CX157" s="7"/>
    </row>
    <row r="158" spans="1:102" ht="14.25" customHeight="1">
      <c r="A158" s="7"/>
      <c r="B158" s="662" t="s">
        <v>339</v>
      </c>
      <c r="C158" s="523"/>
      <c r="D158" s="51">
        <f>+D153/D$148</f>
        <v>0.20571428571428571</v>
      </c>
      <c r="E158" s="52">
        <f t="shared" si="679"/>
        <v>0.19889502762430938</v>
      </c>
      <c r="F158" s="52">
        <f t="shared" si="679"/>
        <v>0.14460784313725492</v>
      </c>
      <c r="G158" s="53">
        <f t="shared" si="679"/>
        <v>0.17048346055979643</v>
      </c>
      <c r="H158" s="51">
        <f t="shared" si="679"/>
        <v>0.152</v>
      </c>
      <c r="I158" s="52">
        <f t="shared" si="679"/>
        <v>0.12368421052631579</v>
      </c>
      <c r="J158" s="52">
        <f t="shared" si="679"/>
        <v>0.11548556430446194</v>
      </c>
      <c r="K158" s="53">
        <f t="shared" si="679"/>
        <v>0.11508951406649616</v>
      </c>
      <c r="L158" s="51">
        <f t="shared" si="679"/>
        <v>0.12189054726368159</v>
      </c>
      <c r="M158" s="52">
        <f t="shared" si="679"/>
        <v>0.11678832116788321</v>
      </c>
      <c r="N158" s="52">
        <f t="shared" si="679"/>
        <v>0.11161731207289294</v>
      </c>
      <c r="O158" s="53">
        <f t="shared" si="679"/>
        <v>0.10514541387024609</v>
      </c>
      <c r="P158" s="51">
        <f t="shared" si="679"/>
        <v>0.10597826086956522</v>
      </c>
      <c r="Q158" s="52">
        <f t="shared" si="679"/>
        <v>0.12615384615384614</v>
      </c>
      <c r="R158" s="52">
        <f t="shared" si="679"/>
        <v>0.10743801652892562</v>
      </c>
      <c r="S158" s="53">
        <f t="shared" si="679"/>
        <v>9.8130841121495324E-2</v>
      </c>
      <c r="T158" s="51">
        <f t="shared" si="679"/>
        <v>9.8684210526315791E-2</v>
      </c>
      <c r="U158" s="52">
        <f t="shared" si="679"/>
        <v>8.9320388349514557E-2</v>
      </c>
      <c r="V158" s="52">
        <f t="shared" si="679"/>
        <v>8.9090909090909096E-2</v>
      </c>
      <c r="W158" s="53">
        <f t="shared" si="679"/>
        <v>8.3916083916083919E-2</v>
      </c>
      <c r="X158" s="51">
        <f t="shared" si="679"/>
        <v>8.545454545454545E-2</v>
      </c>
      <c r="Y158" s="52">
        <f t="shared" si="679"/>
        <v>9.285714285714286E-2</v>
      </c>
      <c r="Z158" s="52">
        <f t="shared" si="679"/>
        <v>9.2868988391376445E-2</v>
      </c>
      <c r="AA158" s="53">
        <f t="shared" si="679"/>
        <v>8.186195826645265E-2</v>
      </c>
      <c r="AB158" s="51">
        <f t="shared" si="679"/>
        <v>8.1705150976909419E-2</v>
      </c>
      <c r="AC158" s="52">
        <f t="shared" si="679"/>
        <v>7.9722703639514725E-2</v>
      </c>
      <c r="AD158" s="52">
        <f t="shared" si="679"/>
        <v>7.0957095709570955E-2</v>
      </c>
      <c r="AE158" s="53">
        <f t="shared" si="679"/>
        <v>7.1197411003236247E-2</v>
      </c>
      <c r="AF158" s="51">
        <f t="shared" si="679"/>
        <v>7.6388888888888895E-2</v>
      </c>
      <c r="AG158" s="52">
        <f t="shared" si="679"/>
        <v>7.4733096085409248E-2</v>
      </c>
      <c r="AH158" s="52">
        <f t="shared" si="679"/>
        <v>7.1428571428571425E-2</v>
      </c>
      <c r="AI158" s="53">
        <f t="shared" si="679"/>
        <v>6.097560975609756E-2</v>
      </c>
      <c r="AJ158" s="51">
        <f t="shared" si="679"/>
        <v>6.2059238363892807E-2</v>
      </c>
      <c r="AK158" s="52">
        <f t="shared" si="679"/>
        <v>6.7047075606276749E-2</v>
      </c>
      <c r="AL158" s="52">
        <f>+AL153/AL$148</f>
        <v>6.8376068376068383E-2</v>
      </c>
      <c r="AM158" s="53">
        <f t="shared" si="679"/>
        <v>5.5279503105590065E-2</v>
      </c>
      <c r="AN158" s="51">
        <f t="shared" si="679"/>
        <v>5.009052504526252E-2</v>
      </c>
      <c r="AO158" s="52">
        <f t="shared" si="679"/>
        <v>4.6200607902735565E-2</v>
      </c>
      <c r="AP158" s="52">
        <f>+AP153/AP$148</f>
        <v>4.8571428571428571E-2</v>
      </c>
      <c r="AQ158" s="53">
        <f t="shared" si="680"/>
        <v>4.3712898003237993E-2</v>
      </c>
      <c r="AR158" s="51">
        <f t="shared" si="680"/>
        <v>3.8159371492704826E-2</v>
      </c>
      <c r="AS158" s="52">
        <f t="shared" si="680"/>
        <v>4.0988208871420552E-2</v>
      </c>
      <c r="AT158" s="52">
        <f>+AT153/AT$148</f>
        <v>3.7085744345081537E-2</v>
      </c>
      <c r="AU158" s="53">
        <f t="shared" ref="AU158:AV158" si="690">+AU153/AU$148</f>
        <v>3.3043897732754464E-2</v>
      </c>
      <c r="AV158" s="51">
        <f t="shared" si="690"/>
        <v>2.8922631959508314E-2</v>
      </c>
      <c r="AW158" s="52">
        <f t="shared" si="680"/>
        <v>2.9040704594144252E-2</v>
      </c>
      <c r="AX158" s="52">
        <f>+AX153/AX$148</f>
        <v>2.5968211327512872E-2</v>
      </c>
      <c r="AY158" s="53">
        <f t="shared" ref="AY158:AZ158" si="691">+AY153/AY$148</f>
        <v>2.433993399339934E-2</v>
      </c>
      <c r="AZ158" s="51">
        <f t="shared" si="691"/>
        <v>3.0763459013318326E-2</v>
      </c>
      <c r="BA158" s="52">
        <f t="shared" si="680"/>
        <v>3.2932630949474399E-2</v>
      </c>
      <c r="BB158" s="52">
        <f t="shared" si="680"/>
        <v>3.1373429298153017E-2</v>
      </c>
      <c r="BC158" s="53">
        <f t="shared" si="680"/>
        <v>2.9022673554233533E-2</v>
      </c>
      <c r="BD158" s="51">
        <f t="shared" ref="BD158:BG158" si="692">+BD153/BD$148</f>
        <v>2.9860803475223213E-2</v>
      </c>
      <c r="BE158" s="52">
        <f t="shared" si="692"/>
        <v>3.0235249956738656E-2</v>
      </c>
      <c r="BF158" s="52">
        <f t="shared" si="692"/>
        <v>2.9857055554759867E-2</v>
      </c>
      <c r="BG158" s="1401">
        <f t="shared" si="692"/>
        <v>2.9337613180154719E-2</v>
      </c>
      <c r="BH158" s="52">
        <f t="shared" ref="BH158:BK158" si="693">+BH153/BH$148</f>
        <v>2.9497193059449821E-2</v>
      </c>
      <c r="BI158" s="52">
        <f t="shared" si="693"/>
        <v>2.9538994009143168E-2</v>
      </c>
      <c r="BJ158" s="52">
        <f t="shared" si="693"/>
        <v>2.9241205410026568E-2</v>
      </c>
      <c r="BK158" s="53">
        <f t="shared" si="693"/>
        <v>2.8874150023112867E-2</v>
      </c>
      <c r="BL158" s="19"/>
      <c r="BM158" s="51">
        <f t="shared" si="685"/>
        <v>0.17845340383344349</v>
      </c>
      <c r="BN158" s="52">
        <f t="shared" si="685"/>
        <v>0.12639161755075312</v>
      </c>
      <c r="BO158" s="52">
        <f t="shared" si="685"/>
        <v>0.11359623307828134</v>
      </c>
      <c r="BP158" s="52">
        <f t="shared" si="685"/>
        <v>0.10849056603773585</v>
      </c>
      <c r="BQ158" s="52">
        <f t="shared" si="685"/>
        <v>8.9823220258002864E-2</v>
      </c>
      <c r="BR158" s="52">
        <f t="shared" si="685"/>
        <v>8.8184931506849321E-2</v>
      </c>
      <c r="BS158" s="52">
        <f t="shared" si="685"/>
        <v>7.571912013536379E-2</v>
      </c>
      <c r="BT158" s="53">
        <f t="shared" si="685"/>
        <v>7.0238095238095238E-2</v>
      </c>
      <c r="BU158" s="52">
        <f t="shared" si="685"/>
        <v>6.2778168189271497E-2</v>
      </c>
      <c r="BV158" s="52">
        <f t="shared" si="685"/>
        <v>4.7067342505430848E-2</v>
      </c>
      <c r="BW158" s="52">
        <f t="shared" ref="BW158" si="694">+BW153/BW$148</f>
        <v>3.7014745711706293E-2</v>
      </c>
      <c r="BX158" s="52">
        <f t="shared" si="685"/>
        <v>2.6945938296065668E-2</v>
      </c>
      <c r="BY158" s="52">
        <f t="shared" si="685"/>
        <v>3.0968347470619183E-2</v>
      </c>
      <c r="BZ158" s="52">
        <f t="shared" ref="BZ158:CA158" si="695">+BZ153/BZ$148</f>
        <v>2.9801709899246055E-2</v>
      </c>
      <c r="CA158" s="1401">
        <f t="shared" si="695"/>
        <v>2.9279752709797921E-2</v>
      </c>
      <c r="CB158" s="19"/>
      <c r="CC158" s="51">
        <f t="shared" si="685"/>
        <v>0.16579973992197658</v>
      </c>
      <c r="CD158" s="52">
        <f t="shared" si="685"/>
        <v>0.11904761904761904</v>
      </c>
      <c r="CE158" s="52">
        <f t="shared" si="685"/>
        <v>0.10990990990990991</v>
      </c>
      <c r="CF158" s="52">
        <f t="shared" si="685"/>
        <v>0.10623409669211197</v>
      </c>
      <c r="CG158" s="52">
        <f t="shared" si="685"/>
        <v>8.6877000457247375E-2</v>
      </c>
      <c r="CH158" s="52">
        <f t="shared" si="685"/>
        <v>8.7271179225202208E-2</v>
      </c>
      <c r="CI158" s="51">
        <f t="shared" si="685"/>
        <v>7.4463609591922594E-2</v>
      </c>
      <c r="CJ158" s="52">
        <f t="shared" si="685"/>
        <v>6.671692423671316E-2</v>
      </c>
      <c r="CK158" s="52">
        <f t="shared" si="685"/>
        <v>5.9095283926852746E-2</v>
      </c>
      <c r="CL158" s="52">
        <f t="shared" si="685"/>
        <v>4.4096728307254626E-2</v>
      </c>
      <c r="CM158" s="52">
        <f t="shared" si="685"/>
        <v>3.4740404878983333E-2</v>
      </c>
      <c r="CN158" s="52">
        <f t="shared" si="685"/>
        <v>2.7590597973152227E-2</v>
      </c>
      <c r="CO158" s="52">
        <f t="shared" ref="CO158" si="696">+CO153/CO$148</f>
        <v>3.0740678323270119E-2</v>
      </c>
      <c r="CP158" s="53">
        <f t="shared" ref="CP158" si="697">+CP153/CP$148</f>
        <v>2.9709082857566273E-2</v>
      </c>
      <c r="CQ158" s="7"/>
      <c r="CX158" s="7"/>
    </row>
    <row r="159" spans="1:102" ht="14.25" customHeight="1">
      <c r="A159" s="7"/>
      <c r="B159" s="546"/>
      <c r="C159" s="523"/>
      <c r="D159" s="51"/>
      <c r="E159" s="52"/>
      <c r="F159" s="52"/>
      <c r="G159" s="53"/>
      <c r="H159" s="51"/>
      <c r="I159" s="52"/>
      <c r="J159" s="52"/>
      <c r="K159" s="53"/>
      <c r="L159" s="51"/>
      <c r="M159" s="52"/>
      <c r="N159" s="52"/>
      <c r="O159" s="53"/>
      <c r="P159" s="51"/>
      <c r="Q159" s="52"/>
      <c r="R159" s="52"/>
      <c r="S159" s="53"/>
      <c r="T159" s="51"/>
      <c r="U159" s="52"/>
      <c r="V159" s="52"/>
      <c r="W159" s="53"/>
      <c r="X159" s="51"/>
      <c r="Y159" s="52"/>
      <c r="Z159" s="52"/>
      <c r="AA159" s="53"/>
      <c r="AB159" s="51"/>
      <c r="AC159" s="52"/>
      <c r="AD159" s="52"/>
      <c r="AE159" s="53"/>
      <c r="AF159" s="51"/>
      <c r="AG159" s="52"/>
      <c r="AH159" s="52"/>
      <c r="AI159" s="53"/>
      <c r="AJ159" s="51"/>
      <c r="AK159" s="52"/>
      <c r="AL159" s="52"/>
      <c r="AM159" s="53"/>
      <c r="AN159" s="51"/>
      <c r="AO159" s="52"/>
      <c r="AP159" s="52"/>
      <c r="AQ159" s="53"/>
      <c r="AR159" s="51"/>
      <c r="AS159" s="52"/>
      <c r="AT159" s="52"/>
      <c r="AU159" s="53"/>
      <c r="AV159" s="51"/>
      <c r="AW159" s="52"/>
      <c r="AX159" s="52"/>
      <c r="AY159" s="53"/>
      <c r="AZ159" s="51"/>
      <c r="BA159" s="52"/>
      <c r="BB159" s="52"/>
      <c r="BC159" s="53"/>
      <c r="BD159" s="51"/>
      <c r="BE159" s="52"/>
      <c r="BF159" s="52"/>
      <c r="BG159" s="1401"/>
      <c r="BH159" s="52"/>
      <c r="BI159" s="52"/>
      <c r="BJ159" s="52"/>
      <c r="BK159" s="53"/>
      <c r="BL159" s="19"/>
      <c r="BM159" s="51"/>
      <c r="BN159" s="52"/>
      <c r="BO159" s="52"/>
      <c r="BP159" s="52"/>
      <c r="BQ159" s="52"/>
      <c r="BR159" s="52"/>
      <c r="BS159" s="52"/>
      <c r="BT159" s="53"/>
      <c r="BU159" s="52"/>
      <c r="BV159" s="52"/>
      <c r="BW159" s="52"/>
      <c r="BX159" s="52"/>
      <c r="BY159" s="52"/>
      <c r="BZ159" s="52"/>
      <c r="CA159" s="1401"/>
      <c r="CB159" s="19"/>
      <c r="CC159" s="51"/>
      <c r="CD159" s="52"/>
      <c r="CE159" s="52"/>
      <c r="CF159" s="52"/>
      <c r="CG159" s="52"/>
      <c r="CH159" s="52"/>
      <c r="CI159" s="51"/>
      <c r="CJ159" s="52"/>
      <c r="CK159" s="52"/>
      <c r="CL159" s="52"/>
      <c r="CM159" s="52"/>
      <c r="CN159" s="52"/>
      <c r="CO159" s="52"/>
      <c r="CP159" s="53"/>
      <c r="CQ159" s="7"/>
      <c r="CX159" s="7"/>
    </row>
    <row r="160" spans="1:102" ht="14.25" customHeight="1">
      <c r="A160" s="7"/>
      <c r="B160" s="1044" t="s">
        <v>123</v>
      </c>
      <c r="C160" s="1023"/>
      <c r="D160" s="1055">
        <f>D149-D154</f>
        <v>-49</v>
      </c>
      <c r="E160" s="1056">
        <f>E149-E154</f>
        <v>20</v>
      </c>
      <c r="F160" s="1056">
        <f>F149-F154</f>
        <v>45</v>
      </c>
      <c r="G160" s="1057">
        <f>G149-G154</f>
        <v>8</v>
      </c>
      <c r="H160" s="1055">
        <f t="shared" ref="H160:BC160" si="698">H149-H154</f>
        <v>43</v>
      </c>
      <c r="I160" s="1056">
        <f t="shared" si="698"/>
        <v>56</v>
      </c>
      <c r="J160" s="1056">
        <f t="shared" si="698"/>
        <v>53</v>
      </c>
      <c r="K160" s="1057">
        <f t="shared" si="698"/>
        <v>53</v>
      </c>
      <c r="L160" s="1055">
        <f t="shared" si="698"/>
        <v>63</v>
      </c>
      <c r="M160" s="1056">
        <f t="shared" si="698"/>
        <v>66</v>
      </c>
      <c r="N160" s="1056">
        <f t="shared" si="698"/>
        <v>73</v>
      </c>
      <c r="O160" s="1057">
        <f t="shared" si="698"/>
        <v>70</v>
      </c>
      <c r="P160" s="1055">
        <f t="shared" si="698"/>
        <v>62</v>
      </c>
      <c r="Q160" s="1056">
        <f t="shared" si="698"/>
        <v>18</v>
      </c>
      <c r="R160" s="1056">
        <f t="shared" si="698"/>
        <v>62</v>
      </c>
      <c r="S160" s="1057">
        <f t="shared" si="698"/>
        <v>89</v>
      </c>
      <c r="T160" s="1055">
        <f t="shared" si="698"/>
        <v>104</v>
      </c>
      <c r="U160" s="1056">
        <f t="shared" si="698"/>
        <v>135</v>
      </c>
      <c r="V160" s="1056">
        <f t="shared" si="698"/>
        <v>164</v>
      </c>
      <c r="W160" s="1057">
        <f t="shared" si="698"/>
        <v>171</v>
      </c>
      <c r="X160" s="1055">
        <f t="shared" si="698"/>
        <v>169</v>
      </c>
      <c r="Y160" s="1056">
        <f t="shared" si="698"/>
        <v>167</v>
      </c>
      <c r="Z160" s="1056">
        <f t="shared" si="698"/>
        <v>177</v>
      </c>
      <c r="AA160" s="1057">
        <f t="shared" si="698"/>
        <v>191</v>
      </c>
      <c r="AB160" s="1055">
        <f t="shared" si="698"/>
        <v>163</v>
      </c>
      <c r="AC160" s="1056">
        <f t="shared" si="698"/>
        <v>171</v>
      </c>
      <c r="AD160" s="1056">
        <f t="shared" si="698"/>
        <v>186</v>
      </c>
      <c r="AE160" s="1057">
        <f t="shared" si="698"/>
        <v>199</v>
      </c>
      <c r="AF160" s="1055">
        <f t="shared" si="698"/>
        <v>162</v>
      </c>
      <c r="AG160" s="1056">
        <f t="shared" si="698"/>
        <v>158</v>
      </c>
      <c r="AH160" s="1056">
        <f t="shared" si="698"/>
        <v>191</v>
      </c>
      <c r="AI160" s="1057">
        <f t="shared" si="698"/>
        <v>229</v>
      </c>
      <c r="AJ160" s="1055">
        <f t="shared" si="698"/>
        <v>224</v>
      </c>
      <c r="AK160" s="1056">
        <f t="shared" si="698"/>
        <v>233</v>
      </c>
      <c r="AL160" s="1056">
        <f>AL149-AL154</f>
        <v>428</v>
      </c>
      <c r="AM160" s="1057">
        <f t="shared" si="698"/>
        <v>636</v>
      </c>
      <c r="AN160" s="1055">
        <f t="shared" si="698"/>
        <v>681</v>
      </c>
      <c r="AO160" s="1056">
        <f t="shared" si="698"/>
        <v>701</v>
      </c>
      <c r="AP160" s="1056">
        <f>AP149-AP154</f>
        <v>733</v>
      </c>
      <c r="AQ160" s="1057">
        <f t="shared" ref="AQ160:AS160" si="699">AQ149-AQ154</f>
        <v>811</v>
      </c>
      <c r="AR160" s="1055">
        <f t="shared" si="699"/>
        <v>783</v>
      </c>
      <c r="AS160" s="1122">
        <f t="shared" si="699"/>
        <v>1329</v>
      </c>
      <c r="AT160" s="1122">
        <f>AT149-AT154</f>
        <v>1489</v>
      </c>
      <c r="AU160" s="1057">
        <f t="shared" ref="AU160:AV160" si="700">AU149-AU154</f>
        <v>1719</v>
      </c>
      <c r="AV160" s="1055">
        <f t="shared" si="700"/>
        <v>1806</v>
      </c>
      <c r="AW160" s="1122">
        <f t="shared" si="698"/>
        <v>1853</v>
      </c>
      <c r="AX160" s="1122">
        <f>AX149-AX154</f>
        <v>2059</v>
      </c>
      <c r="AY160" s="1057">
        <f t="shared" ref="AY160:AZ160" si="701">AY149-AY154</f>
        <v>2293</v>
      </c>
      <c r="AZ160" s="1055">
        <f t="shared" si="701"/>
        <v>2571</v>
      </c>
      <c r="BA160" s="1122">
        <f t="shared" si="698"/>
        <v>2418.5944684381452</v>
      </c>
      <c r="BB160" s="1122">
        <f t="shared" si="698"/>
        <v>2506.0608700764133</v>
      </c>
      <c r="BC160" s="1057">
        <f t="shared" si="698"/>
        <v>2705.3534685918726</v>
      </c>
      <c r="BD160" s="1055">
        <f t="shared" ref="BD160:BG160" si="702">BD149-BD154</f>
        <v>2584.5152580186846</v>
      </c>
      <c r="BE160" s="1122">
        <f t="shared" si="702"/>
        <v>2515.613599824811</v>
      </c>
      <c r="BF160" s="1122">
        <f t="shared" si="702"/>
        <v>2703.1611434505494</v>
      </c>
      <c r="BG160" s="1400">
        <f t="shared" si="702"/>
        <v>3009.6371184223876</v>
      </c>
      <c r="BH160" s="1122">
        <f t="shared" ref="BH160:BK160" si="703">BH149-BH154</f>
        <v>2878.1965755790206</v>
      </c>
      <c r="BI160" s="1122">
        <f t="shared" si="703"/>
        <v>2717.5891608817324</v>
      </c>
      <c r="BJ160" s="1122">
        <f t="shared" si="703"/>
        <v>2845.5140403649775</v>
      </c>
      <c r="BK160" s="1057">
        <f t="shared" si="703"/>
        <v>3038.2195847637176</v>
      </c>
      <c r="BL160" s="19"/>
      <c r="BM160" s="1055">
        <f t="shared" ref="BM160:BU160" si="704">BM149-BM154</f>
        <v>24</v>
      </c>
      <c r="BN160" s="1056">
        <f t="shared" si="704"/>
        <v>205</v>
      </c>
      <c r="BO160" s="1056">
        <f t="shared" si="704"/>
        <v>272</v>
      </c>
      <c r="BP160" s="1056">
        <f t="shared" si="704"/>
        <v>231</v>
      </c>
      <c r="BQ160" s="1056">
        <f t="shared" si="704"/>
        <v>574</v>
      </c>
      <c r="BR160" s="1056">
        <f t="shared" si="704"/>
        <v>704</v>
      </c>
      <c r="BS160" s="1056">
        <f t="shared" si="704"/>
        <v>719</v>
      </c>
      <c r="BT160" s="1057">
        <f t="shared" si="704"/>
        <v>740</v>
      </c>
      <c r="BU160" s="1056">
        <f t="shared" si="704"/>
        <v>1521</v>
      </c>
      <c r="BV160" s="1056">
        <f t="shared" ref="BV160:CA160" si="705">BV149-BV154</f>
        <v>2926</v>
      </c>
      <c r="BW160" s="1056">
        <f t="shared" si="705"/>
        <v>5320</v>
      </c>
      <c r="BX160" s="1056">
        <f t="shared" si="705"/>
        <v>8011</v>
      </c>
      <c r="BY160" s="1122">
        <f t="shared" si="705"/>
        <v>10201.008807106431</v>
      </c>
      <c r="BZ160" s="1122">
        <f t="shared" si="705"/>
        <v>10812.927119716433</v>
      </c>
      <c r="CA160" s="1400">
        <f t="shared" si="705"/>
        <v>11479.519361589451</v>
      </c>
      <c r="CB160" s="19"/>
      <c r="CC160" s="1055">
        <f t="shared" ref="CC160:CJ160" si="706">CC149-CC154</f>
        <v>116</v>
      </c>
      <c r="CD160" s="1056">
        <f t="shared" si="706"/>
        <v>225</v>
      </c>
      <c r="CE160" s="1056">
        <f t="shared" si="706"/>
        <v>271</v>
      </c>
      <c r="CF160" s="1056">
        <f t="shared" si="706"/>
        <v>273</v>
      </c>
      <c r="CG160" s="1056">
        <f t="shared" si="706"/>
        <v>639</v>
      </c>
      <c r="CH160" s="1056">
        <f t="shared" si="706"/>
        <v>698</v>
      </c>
      <c r="CI160" s="1055">
        <f t="shared" si="706"/>
        <v>718</v>
      </c>
      <c r="CJ160" s="1056">
        <f t="shared" si="706"/>
        <v>802</v>
      </c>
      <c r="CK160" s="1056">
        <f t="shared" ref="CK160:CP160" si="707">CK149-CK154</f>
        <v>1978</v>
      </c>
      <c r="CL160" s="1056">
        <f t="shared" si="707"/>
        <v>3028</v>
      </c>
      <c r="CM160" s="1056">
        <f t="shared" si="707"/>
        <v>6343</v>
      </c>
      <c r="CN160" s="1122">
        <f t="shared" si="707"/>
        <v>8776</v>
      </c>
      <c r="CO160" s="1122">
        <f t="shared" si="707"/>
        <v>10214.524065125115</v>
      </c>
      <c r="CP160" s="1057">
        <f t="shared" si="707"/>
        <v>11106.608437276769</v>
      </c>
      <c r="CQ160" s="7"/>
      <c r="CX160" s="7"/>
    </row>
    <row r="161" spans="1:102" ht="14.25" customHeight="1">
      <c r="A161" s="7"/>
      <c r="B161" s="546" t="s">
        <v>251</v>
      </c>
      <c r="C161" s="523"/>
      <c r="D161" s="51">
        <f>D160/D148</f>
        <v>-0.14000000000000001</v>
      </c>
      <c r="E161" s="52">
        <f t="shared" ref="E161:AO161" si="708">E160/E148</f>
        <v>5.5248618784530384E-2</v>
      </c>
      <c r="F161" s="52">
        <f t="shared" si="708"/>
        <v>0.11029411764705882</v>
      </c>
      <c r="G161" s="53">
        <f t="shared" si="708"/>
        <v>2.0356234096692113E-2</v>
      </c>
      <c r="H161" s="51">
        <f t="shared" si="708"/>
        <v>0.11466666666666667</v>
      </c>
      <c r="I161" s="52">
        <f t="shared" si="708"/>
        <v>0.14736842105263157</v>
      </c>
      <c r="J161" s="52">
        <f t="shared" si="708"/>
        <v>0.13910761154855644</v>
      </c>
      <c r="K161" s="53">
        <f t="shared" si="708"/>
        <v>0.13554987212276215</v>
      </c>
      <c r="L161" s="51">
        <f t="shared" si="708"/>
        <v>0.15671641791044777</v>
      </c>
      <c r="M161" s="52">
        <f t="shared" si="708"/>
        <v>0.16058394160583941</v>
      </c>
      <c r="N161" s="52">
        <f t="shared" si="708"/>
        <v>0.1662870159453303</v>
      </c>
      <c r="O161" s="53">
        <f t="shared" si="708"/>
        <v>0.15659955257270694</v>
      </c>
      <c r="P161" s="51">
        <f t="shared" si="708"/>
        <v>0.16847826086956522</v>
      </c>
      <c r="Q161" s="52">
        <f t="shared" si="708"/>
        <v>5.5384615384615386E-2</v>
      </c>
      <c r="R161" s="52">
        <f t="shared" si="708"/>
        <v>0.17079889807162535</v>
      </c>
      <c r="S161" s="53">
        <f t="shared" si="708"/>
        <v>0.20794392523364486</v>
      </c>
      <c r="T161" s="51">
        <f t="shared" si="708"/>
        <v>0.22807017543859648</v>
      </c>
      <c r="U161" s="52">
        <f t="shared" si="708"/>
        <v>0.26213592233009708</v>
      </c>
      <c r="V161" s="52">
        <f t="shared" si="708"/>
        <v>0.29818181818181816</v>
      </c>
      <c r="W161" s="53">
        <f t="shared" si="708"/>
        <v>0.29895104895104896</v>
      </c>
      <c r="X161" s="51">
        <f t="shared" si="708"/>
        <v>0.30727272727272725</v>
      </c>
      <c r="Y161" s="52">
        <f t="shared" si="708"/>
        <v>0.29821428571428571</v>
      </c>
      <c r="Z161" s="52">
        <f t="shared" si="708"/>
        <v>0.29353233830845771</v>
      </c>
      <c r="AA161" s="53">
        <f t="shared" si="708"/>
        <v>0.30658105939004815</v>
      </c>
      <c r="AB161" s="51">
        <f t="shared" si="708"/>
        <v>0.28952042628774421</v>
      </c>
      <c r="AC161" s="52">
        <f t="shared" si="708"/>
        <v>0.29636048526863085</v>
      </c>
      <c r="AD161" s="52">
        <f t="shared" si="708"/>
        <v>0.30693069306930693</v>
      </c>
      <c r="AE161" s="53">
        <f t="shared" si="708"/>
        <v>0.32200647249190939</v>
      </c>
      <c r="AF161" s="51">
        <f t="shared" si="708"/>
        <v>0.28125</v>
      </c>
      <c r="AG161" s="52">
        <f t="shared" si="708"/>
        <v>0.28113879003558717</v>
      </c>
      <c r="AH161" s="52">
        <f t="shared" si="708"/>
        <v>0.296583850931677</v>
      </c>
      <c r="AI161" s="53">
        <f t="shared" si="708"/>
        <v>0.31029810298102983</v>
      </c>
      <c r="AJ161" s="51">
        <f t="shared" si="708"/>
        <v>0.31593794076163612</v>
      </c>
      <c r="AK161" s="52">
        <f t="shared" si="708"/>
        <v>0.33238231098430815</v>
      </c>
      <c r="AL161" s="52">
        <f>AL160/AL148</f>
        <v>0.33255633255633255</v>
      </c>
      <c r="AM161" s="53">
        <f t="shared" si="708"/>
        <v>0.3950310559006211</v>
      </c>
      <c r="AN161" s="51">
        <f t="shared" si="708"/>
        <v>0.41098370549185276</v>
      </c>
      <c r="AO161" s="52">
        <f t="shared" si="708"/>
        <v>0.42613981762917935</v>
      </c>
      <c r="AP161" s="52">
        <f>AP160/AP148</f>
        <v>0.41885714285714287</v>
      </c>
      <c r="AQ161" s="53">
        <f t="shared" ref="AQ161:BC161" si="709">AQ160/AQ148</f>
        <v>0.43766864543982731</v>
      </c>
      <c r="AR161" s="51">
        <f t="shared" si="709"/>
        <v>0.43939393939393939</v>
      </c>
      <c r="AS161" s="52">
        <f t="shared" si="709"/>
        <v>0.37310499719258844</v>
      </c>
      <c r="AT161" s="52">
        <f>AT160/AT148</f>
        <v>0.39163598106259861</v>
      </c>
      <c r="AU161" s="53">
        <f t="shared" ref="AU161:AV161" si="710">AU160/AU148</f>
        <v>0.41461649782923299</v>
      </c>
      <c r="AV161" s="51">
        <f t="shared" si="710"/>
        <v>0.43528561099060015</v>
      </c>
      <c r="AW161" s="52">
        <f t="shared" si="709"/>
        <v>0.44108545584384673</v>
      </c>
      <c r="AX161" s="52">
        <f>AX160/AX148</f>
        <v>0.46093575106335349</v>
      </c>
      <c r="AY161" s="53">
        <f t="shared" ref="AY161:AZ161" si="711">AY160/AY148</f>
        <v>0.47297854785478549</v>
      </c>
      <c r="AZ161" s="51">
        <f t="shared" si="711"/>
        <v>0.48227349465391106</v>
      </c>
      <c r="BA161" s="52">
        <f t="shared" si="709"/>
        <v>0.48265319543211482</v>
      </c>
      <c r="BB161" s="52">
        <f t="shared" si="709"/>
        <v>0.48080043578654869</v>
      </c>
      <c r="BC161" s="53">
        <f t="shared" si="709"/>
        <v>0.48459035176807436</v>
      </c>
      <c r="BD161" s="51">
        <f t="shared" ref="BD161:BG161" si="712">BD160/BD148</f>
        <v>0.48478778508663301</v>
      </c>
      <c r="BE161" s="52">
        <f t="shared" si="712"/>
        <v>0.4858058828963478</v>
      </c>
      <c r="BF161" s="52">
        <f t="shared" si="712"/>
        <v>0.48729968679498109</v>
      </c>
      <c r="BG161" s="1401">
        <f t="shared" si="712"/>
        <v>0.4871818212369326</v>
      </c>
      <c r="BH161" s="52">
        <f t="shared" ref="BH161:BK161" si="713">BH160/BH148</f>
        <v>0.48763767791950674</v>
      </c>
      <c r="BI161" s="52">
        <f t="shared" si="713"/>
        <v>0.4864584616243855</v>
      </c>
      <c r="BJ161" s="52">
        <f t="shared" si="713"/>
        <v>0.48948594647798499</v>
      </c>
      <c r="BK161" s="53">
        <f t="shared" si="713"/>
        <v>0.49143719405202185</v>
      </c>
      <c r="BL161" s="19"/>
      <c r="BM161" s="51">
        <f t="shared" ref="BM161:BV161" si="714">BM160/BM148</f>
        <v>1.5862524785194978E-2</v>
      </c>
      <c r="BN161" s="52">
        <f t="shared" si="714"/>
        <v>0.13425016371971185</v>
      </c>
      <c r="BO161" s="52">
        <f t="shared" si="714"/>
        <v>0.16009417304296644</v>
      </c>
      <c r="BP161" s="52">
        <f t="shared" si="714"/>
        <v>0.15566037735849056</v>
      </c>
      <c r="BQ161" s="52">
        <f t="shared" si="714"/>
        <v>0.27424749163879597</v>
      </c>
      <c r="BR161" s="52">
        <f t="shared" si="714"/>
        <v>0.30136986301369861</v>
      </c>
      <c r="BS161" s="52">
        <f t="shared" si="714"/>
        <v>0.30414551607445006</v>
      </c>
      <c r="BT161" s="53">
        <f t="shared" si="714"/>
        <v>0.29365079365079366</v>
      </c>
      <c r="BU161" s="52">
        <f t="shared" si="714"/>
        <v>0.35628952916373857</v>
      </c>
      <c r="BV161" s="52">
        <f t="shared" si="714"/>
        <v>0.42375090514120201</v>
      </c>
      <c r="BW161" s="52">
        <f>BW160/BW148</f>
        <v>0.40024074631357209</v>
      </c>
      <c r="BX161" s="52">
        <f>BX160/BX148</f>
        <v>0.4534956127936598</v>
      </c>
      <c r="BY161" s="52">
        <f>BY160/BY148</f>
        <v>0.48261219737117039</v>
      </c>
      <c r="BZ161" s="52">
        <f>BZ160/BZ148</f>
        <v>0.48631675117197148</v>
      </c>
      <c r="CA161" s="1401">
        <f>CA160/CA148</f>
        <v>0.48881491211316291</v>
      </c>
      <c r="CB161" s="19"/>
      <c r="CC161" s="51">
        <f t="shared" ref="CC161:CJ161" si="715">CC160/CC148</f>
        <v>7.5422626788036407E-2</v>
      </c>
      <c r="CD161" s="52">
        <f t="shared" si="715"/>
        <v>0.14478764478764478</v>
      </c>
      <c r="CE161" s="52">
        <f t="shared" si="715"/>
        <v>0.16276276276276277</v>
      </c>
      <c r="CF161" s="52">
        <f t="shared" si="715"/>
        <v>0.17366412213740459</v>
      </c>
      <c r="CG161" s="52">
        <f t="shared" si="715"/>
        <v>0.29218106995884774</v>
      </c>
      <c r="CH161" s="52">
        <f t="shared" si="715"/>
        <v>0.29714772243507875</v>
      </c>
      <c r="CI161" s="51">
        <f t="shared" si="715"/>
        <v>0.30206142196045438</v>
      </c>
      <c r="CJ161" s="52">
        <f t="shared" si="715"/>
        <v>0.30229928382962684</v>
      </c>
      <c r="CK161" s="52">
        <f t="shared" ref="CK161:CP161" si="716">CK160/CK148</f>
        <v>0.38075072184793068</v>
      </c>
      <c r="CL161" s="52">
        <f t="shared" si="716"/>
        <v>0.43072546230440967</v>
      </c>
      <c r="CM161" s="52">
        <f t="shared" si="716"/>
        <v>0.40507056644741041</v>
      </c>
      <c r="CN161" s="52">
        <f t="shared" si="716"/>
        <v>0.46564439963919985</v>
      </c>
      <c r="CO161" s="52">
        <f t="shared" si="716"/>
        <v>0.48324634561119828</v>
      </c>
      <c r="CP161" s="53">
        <f t="shared" si="716"/>
        <v>0.48701605012590132</v>
      </c>
      <c r="CQ161" s="7"/>
      <c r="CX161" s="7"/>
    </row>
    <row r="162" spans="1:102" ht="14.25" customHeight="1">
      <c r="A162" s="7"/>
      <c r="B162" s="546"/>
      <c r="C162" s="523"/>
      <c r="D162" s="51"/>
      <c r="E162" s="52"/>
      <c r="F162" s="52"/>
      <c r="G162" s="53"/>
      <c r="H162" s="51"/>
      <c r="I162" s="52"/>
      <c r="J162" s="52"/>
      <c r="K162" s="53"/>
      <c r="L162" s="51"/>
      <c r="M162" s="52"/>
      <c r="N162" s="52"/>
      <c r="O162" s="53"/>
      <c r="P162" s="51"/>
      <c r="Q162" s="52"/>
      <c r="R162" s="52"/>
      <c r="S162" s="53"/>
      <c r="T162" s="51"/>
      <c r="U162" s="52"/>
      <c r="V162" s="52"/>
      <c r="W162" s="53"/>
      <c r="X162" s="51"/>
      <c r="Y162" s="52"/>
      <c r="Z162" s="52"/>
      <c r="AA162" s="53"/>
      <c r="AB162" s="51"/>
      <c r="AC162" s="52"/>
      <c r="AD162" s="52"/>
      <c r="AE162" s="53"/>
      <c r="AF162" s="51"/>
      <c r="AG162" s="52"/>
      <c r="AH162" s="52"/>
      <c r="AI162" s="53"/>
      <c r="AJ162" s="51"/>
      <c r="AK162" s="52"/>
      <c r="AL162" s="52"/>
      <c r="AM162" s="53"/>
      <c r="AN162" s="51"/>
      <c r="AO162" s="52"/>
      <c r="AP162" s="52"/>
      <c r="AQ162" s="53"/>
      <c r="AR162" s="51"/>
      <c r="AS162" s="52"/>
      <c r="AT162" s="52"/>
      <c r="AU162" s="53"/>
      <c r="AV162" s="51"/>
      <c r="AW162" s="52"/>
      <c r="AX162" s="52"/>
      <c r="AY162" s="53"/>
      <c r="AZ162" s="51"/>
      <c r="BA162" s="52"/>
      <c r="BB162" s="52"/>
      <c r="BC162" s="53"/>
      <c r="BD162" s="51"/>
      <c r="BE162" s="52"/>
      <c r="BF162" s="52"/>
      <c r="BG162" s="1401"/>
      <c r="BH162" s="52"/>
      <c r="BI162" s="52"/>
      <c r="BJ162" s="52"/>
      <c r="BK162" s="53"/>
      <c r="BL162" s="19"/>
      <c r="BM162" s="51"/>
      <c r="BN162" s="52"/>
      <c r="BO162" s="52"/>
      <c r="BP162" s="52"/>
      <c r="BQ162" s="52"/>
      <c r="BR162" s="52"/>
      <c r="BS162" s="52"/>
      <c r="BT162" s="53"/>
      <c r="BU162" s="52"/>
      <c r="BV162" s="52"/>
      <c r="BW162" s="52"/>
      <c r="BX162" s="52"/>
      <c r="BY162" s="52"/>
      <c r="BZ162" s="52"/>
      <c r="CA162" s="1401"/>
      <c r="CB162" s="19"/>
      <c r="CC162" s="51"/>
      <c r="CD162" s="52"/>
      <c r="CE162" s="52"/>
      <c r="CF162" s="52"/>
      <c r="CG162" s="52"/>
      <c r="CH162" s="52"/>
      <c r="CI162" s="51"/>
      <c r="CJ162" s="52"/>
      <c r="CK162" s="52"/>
      <c r="CL162" s="52"/>
      <c r="CM162" s="52"/>
      <c r="CN162" s="52"/>
      <c r="CO162" s="52"/>
      <c r="CP162" s="53"/>
      <c r="CQ162" s="7"/>
      <c r="CX162" s="7"/>
    </row>
    <row r="163" spans="1:102" ht="14.25" customHeight="1">
      <c r="A163" s="7"/>
      <c r="B163" s="1044" t="s">
        <v>252</v>
      </c>
      <c r="C163" s="1023"/>
      <c r="D163" s="1055">
        <f t="shared" ref="D163:BC163" si="717">D80</f>
        <v>-38</v>
      </c>
      <c r="E163" s="1056">
        <f t="shared" si="717"/>
        <v>-36</v>
      </c>
      <c r="F163" s="1056">
        <f t="shared" si="717"/>
        <v>-32</v>
      </c>
      <c r="G163" s="1057">
        <f t="shared" si="717"/>
        <v>-25</v>
      </c>
      <c r="H163" s="1055">
        <f t="shared" si="717"/>
        <v>-28</v>
      </c>
      <c r="I163" s="1056">
        <f t="shared" si="717"/>
        <v>-23</v>
      </c>
      <c r="J163" s="1056">
        <f t="shared" si="717"/>
        <v>-24</v>
      </c>
      <c r="K163" s="1057">
        <f t="shared" si="717"/>
        <v>-20</v>
      </c>
      <c r="L163" s="1055">
        <f t="shared" si="717"/>
        <v>-24</v>
      </c>
      <c r="M163" s="1056">
        <f t="shared" si="717"/>
        <v>-19</v>
      </c>
      <c r="N163" s="1056">
        <f t="shared" si="717"/>
        <v>-20</v>
      </c>
      <c r="O163" s="1057">
        <f t="shared" si="717"/>
        <v>-27</v>
      </c>
      <c r="P163" s="1055">
        <f t="shared" si="717"/>
        <v>-20</v>
      </c>
      <c r="Q163" s="1056">
        <f t="shared" si="717"/>
        <v>-22</v>
      </c>
      <c r="R163" s="1056">
        <f t="shared" si="717"/>
        <v>-16</v>
      </c>
      <c r="S163" s="1057">
        <f t="shared" si="717"/>
        <v>-18</v>
      </c>
      <c r="T163" s="1055">
        <f t="shared" si="717"/>
        <v>-12</v>
      </c>
      <c r="U163" s="1056">
        <f t="shared" si="717"/>
        <v>-9</v>
      </c>
      <c r="V163" s="1056">
        <f t="shared" si="717"/>
        <v>-8</v>
      </c>
      <c r="W163" s="1057">
        <f t="shared" si="717"/>
        <v>-7</v>
      </c>
      <c r="X163" s="1055">
        <f t="shared" si="717"/>
        <v>-3</v>
      </c>
      <c r="Y163" s="1056">
        <f t="shared" si="717"/>
        <v>0</v>
      </c>
      <c r="Z163" s="1056">
        <f t="shared" si="717"/>
        <v>0</v>
      </c>
      <c r="AA163" s="1057">
        <f t="shared" si="717"/>
        <v>0</v>
      </c>
      <c r="AB163" s="1055">
        <f t="shared" si="717"/>
        <v>-2</v>
      </c>
      <c r="AC163" s="1056">
        <f t="shared" si="717"/>
        <v>3</v>
      </c>
      <c r="AD163" s="1056">
        <f t="shared" si="717"/>
        <v>1</v>
      </c>
      <c r="AE163" s="1057">
        <f t="shared" si="717"/>
        <v>1</v>
      </c>
      <c r="AF163" s="1055">
        <f t="shared" si="717"/>
        <v>2</v>
      </c>
      <c r="AG163" s="1056">
        <f t="shared" si="717"/>
        <v>0</v>
      </c>
      <c r="AH163" s="1056">
        <f t="shared" si="717"/>
        <v>4</v>
      </c>
      <c r="AI163" s="1057">
        <f t="shared" si="717"/>
        <v>11</v>
      </c>
      <c r="AJ163" s="1055">
        <f t="shared" si="717"/>
        <v>0</v>
      </c>
      <c r="AK163" s="1056">
        <f t="shared" si="717"/>
        <v>-1</v>
      </c>
      <c r="AL163" s="1056">
        <f t="shared" si="717"/>
        <v>-57</v>
      </c>
      <c r="AM163" s="1057">
        <f t="shared" si="717"/>
        <v>-38</v>
      </c>
      <c r="AN163" s="1055">
        <f t="shared" si="717"/>
        <v>-50</v>
      </c>
      <c r="AO163" s="1056">
        <f t="shared" si="717"/>
        <v>-41</v>
      </c>
      <c r="AP163" s="1056">
        <f t="shared" si="717"/>
        <v>-35</v>
      </c>
      <c r="AQ163" s="1057">
        <f t="shared" si="717"/>
        <v>-31</v>
      </c>
      <c r="AR163" s="1055">
        <f t="shared" ref="AR163:AU163" si="718">AR80</f>
        <v>-38</v>
      </c>
      <c r="AS163" s="1122">
        <f t="shared" si="718"/>
        <v>-156</v>
      </c>
      <c r="AT163" s="1122">
        <f t="shared" si="718"/>
        <v>-135</v>
      </c>
      <c r="AU163" s="1057">
        <f t="shared" si="718"/>
        <v>-97</v>
      </c>
      <c r="AV163" s="1055">
        <f t="shared" ref="AV163" si="719">AV80</f>
        <v>-102</v>
      </c>
      <c r="AW163" s="1122">
        <f t="shared" si="717"/>
        <v>-109</v>
      </c>
      <c r="AX163" s="1122">
        <f t="shared" si="717"/>
        <v>-100</v>
      </c>
      <c r="AY163" s="1057">
        <f t="shared" si="717"/>
        <v>-103</v>
      </c>
      <c r="AZ163" s="1055">
        <f t="shared" ref="AZ163" si="720">AZ80</f>
        <v>-116</v>
      </c>
      <c r="BA163" s="1122">
        <f t="shared" si="717"/>
        <v>-114</v>
      </c>
      <c r="BB163" s="1122">
        <f t="shared" si="717"/>
        <v>-112.5</v>
      </c>
      <c r="BC163" s="1057">
        <f t="shared" si="717"/>
        <v>-111</v>
      </c>
      <c r="BD163" s="1055">
        <f t="shared" ref="BD163:BG163" si="721">BD80</f>
        <v>-109.5</v>
      </c>
      <c r="BE163" s="1122">
        <f t="shared" si="721"/>
        <v>-108</v>
      </c>
      <c r="BF163" s="1122">
        <f t="shared" si="721"/>
        <v>-106.5</v>
      </c>
      <c r="BG163" s="1400">
        <f t="shared" si="721"/>
        <v>-105</v>
      </c>
      <c r="BH163" s="1122">
        <f t="shared" ref="BH163:BK163" si="722">BH80</f>
        <v>-103.5</v>
      </c>
      <c r="BI163" s="1122">
        <f t="shared" si="722"/>
        <v>-102</v>
      </c>
      <c r="BJ163" s="1122">
        <f t="shared" si="722"/>
        <v>-100.5</v>
      </c>
      <c r="BK163" s="1057">
        <f t="shared" si="722"/>
        <v>-99</v>
      </c>
      <c r="BL163" s="19"/>
      <c r="BM163" s="1055">
        <f t="shared" ref="BM163:BY163" si="723">BM80</f>
        <v>-131</v>
      </c>
      <c r="BN163" s="1056">
        <f t="shared" si="723"/>
        <v>-95</v>
      </c>
      <c r="BO163" s="1056">
        <f t="shared" si="723"/>
        <v>-90</v>
      </c>
      <c r="BP163" s="1056">
        <f t="shared" si="723"/>
        <v>-76</v>
      </c>
      <c r="BQ163" s="1056">
        <f t="shared" si="723"/>
        <v>-36</v>
      </c>
      <c r="BR163" s="1056">
        <f t="shared" si="723"/>
        <v>-3</v>
      </c>
      <c r="BS163" s="1056">
        <f t="shared" si="723"/>
        <v>3</v>
      </c>
      <c r="BT163" s="1057">
        <f t="shared" si="723"/>
        <v>17</v>
      </c>
      <c r="BU163" s="1056">
        <f t="shared" si="723"/>
        <v>-96</v>
      </c>
      <c r="BV163" s="1056">
        <f t="shared" si="723"/>
        <v>-157</v>
      </c>
      <c r="BW163" s="1056">
        <f t="shared" ref="BW163" si="724">BW80</f>
        <v>-426</v>
      </c>
      <c r="BX163" s="1056">
        <f t="shared" si="723"/>
        <v>-414</v>
      </c>
      <c r="BY163" s="1122">
        <f t="shared" si="723"/>
        <v>-453.5</v>
      </c>
      <c r="BZ163" s="1122">
        <f t="shared" ref="BZ163:CA163" si="725">BZ80</f>
        <v>-429</v>
      </c>
      <c r="CA163" s="1400">
        <f t="shared" si="725"/>
        <v>-405</v>
      </c>
      <c r="CB163" s="19"/>
      <c r="CC163" s="1055">
        <f t="shared" ref="CC163:CN163" si="726">CC80</f>
        <v>-121</v>
      </c>
      <c r="CD163" s="1056">
        <f t="shared" si="726"/>
        <v>-91</v>
      </c>
      <c r="CE163" s="1056">
        <f t="shared" si="726"/>
        <v>-86</v>
      </c>
      <c r="CF163" s="1056">
        <f t="shared" si="726"/>
        <v>-68</v>
      </c>
      <c r="CG163" s="1056">
        <f t="shared" si="726"/>
        <v>-27</v>
      </c>
      <c r="CH163" s="1056">
        <f t="shared" si="726"/>
        <v>-2</v>
      </c>
      <c r="CI163" s="1055">
        <f t="shared" si="726"/>
        <v>7</v>
      </c>
      <c r="CJ163" s="1056">
        <f t="shared" si="726"/>
        <v>15</v>
      </c>
      <c r="CK163" s="1056">
        <f t="shared" si="726"/>
        <v>-146</v>
      </c>
      <c r="CL163" s="1056">
        <f t="shared" si="726"/>
        <v>-145</v>
      </c>
      <c r="CM163" s="1056">
        <f t="shared" si="726"/>
        <v>-490</v>
      </c>
      <c r="CN163" s="1122">
        <f t="shared" si="726"/>
        <v>-428</v>
      </c>
      <c r="CO163" s="1122">
        <f t="shared" ref="CO163" si="727">CO80</f>
        <v>-447</v>
      </c>
      <c r="CP163" s="1057">
        <f t="shared" ref="CP163" si="728">CP80</f>
        <v>-423</v>
      </c>
      <c r="CQ163" s="7"/>
      <c r="CX163" s="7"/>
    </row>
    <row r="164" spans="1:102" ht="14.25" customHeight="1">
      <c r="A164" s="7"/>
      <c r="B164" s="1044" t="s">
        <v>253</v>
      </c>
      <c r="C164" s="1023"/>
      <c r="D164" s="1055">
        <f t="shared" ref="D164:BC164" si="729">D89-D129</f>
        <v>3</v>
      </c>
      <c r="E164" s="1056">
        <f t="shared" si="729"/>
        <v>1</v>
      </c>
      <c r="F164" s="1056">
        <f t="shared" si="729"/>
        <v>1</v>
      </c>
      <c r="G164" s="1057">
        <f t="shared" si="729"/>
        <v>0</v>
      </c>
      <c r="H164" s="1055">
        <f t="shared" si="729"/>
        <v>3</v>
      </c>
      <c r="I164" s="1056">
        <f t="shared" si="729"/>
        <v>0</v>
      </c>
      <c r="J164" s="1056">
        <f t="shared" si="729"/>
        <v>3</v>
      </c>
      <c r="K164" s="1057">
        <f t="shared" si="729"/>
        <v>2</v>
      </c>
      <c r="L164" s="1055">
        <f t="shared" si="729"/>
        <v>3</v>
      </c>
      <c r="M164" s="1056">
        <f t="shared" si="729"/>
        <v>4</v>
      </c>
      <c r="N164" s="1056">
        <f t="shared" si="729"/>
        <v>5</v>
      </c>
      <c r="O164" s="1057">
        <f t="shared" si="729"/>
        <v>-9</v>
      </c>
      <c r="P164" s="1055">
        <f t="shared" si="729"/>
        <v>5</v>
      </c>
      <c r="Q164" s="1056">
        <f t="shared" si="729"/>
        <v>-2</v>
      </c>
      <c r="R164" s="1056">
        <f t="shared" si="729"/>
        <v>6</v>
      </c>
      <c r="S164" s="1057">
        <f t="shared" si="729"/>
        <v>-1</v>
      </c>
      <c r="T164" s="1055">
        <f t="shared" si="729"/>
        <v>4</v>
      </c>
      <c r="U164" s="1056">
        <f t="shared" si="729"/>
        <v>9</v>
      </c>
      <c r="V164" s="1056">
        <f t="shared" si="729"/>
        <v>4</v>
      </c>
      <c r="W164" s="1057">
        <f t="shared" si="729"/>
        <v>-26</v>
      </c>
      <c r="X164" s="1055">
        <f t="shared" si="729"/>
        <v>1</v>
      </c>
      <c r="Y164" s="1056">
        <f t="shared" si="729"/>
        <v>2</v>
      </c>
      <c r="Z164" s="1056">
        <f t="shared" si="729"/>
        <v>1</v>
      </c>
      <c r="AA164" s="1057">
        <f t="shared" si="729"/>
        <v>5</v>
      </c>
      <c r="AB164" s="1055">
        <f t="shared" si="729"/>
        <v>5</v>
      </c>
      <c r="AC164" s="1056">
        <f t="shared" si="729"/>
        <v>6</v>
      </c>
      <c r="AD164" s="1056">
        <f t="shared" si="729"/>
        <v>5</v>
      </c>
      <c r="AE164" s="1057">
        <f t="shared" si="729"/>
        <v>6</v>
      </c>
      <c r="AF164" s="1055">
        <f t="shared" si="729"/>
        <v>1</v>
      </c>
      <c r="AG164" s="1056">
        <f t="shared" si="729"/>
        <v>5</v>
      </c>
      <c r="AH164" s="1056">
        <f t="shared" si="729"/>
        <v>7</v>
      </c>
      <c r="AI164" s="1057">
        <f t="shared" si="729"/>
        <v>13</v>
      </c>
      <c r="AJ164" s="1055">
        <f t="shared" si="729"/>
        <v>7</v>
      </c>
      <c r="AK164" s="1056">
        <f t="shared" si="729"/>
        <v>9</v>
      </c>
      <c r="AL164" s="1056">
        <f t="shared" si="729"/>
        <v>24</v>
      </c>
      <c r="AM164" s="1057">
        <f t="shared" si="729"/>
        <v>42</v>
      </c>
      <c r="AN164" s="1055">
        <f t="shared" si="729"/>
        <v>35</v>
      </c>
      <c r="AO164" s="1056">
        <f t="shared" si="729"/>
        <v>40</v>
      </c>
      <c r="AP164" s="1056">
        <f t="shared" si="729"/>
        <v>38</v>
      </c>
      <c r="AQ164" s="1057">
        <f t="shared" si="729"/>
        <v>43</v>
      </c>
      <c r="AR164" s="1055">
        <f t="shared" ref="AR164:AU164" si="730">AR89-AR129</f>
        <v>35</v>
      </c>
      <c r="AS164" s="1122">
        <f t="shared" si="730"/>
        <v>53</v>
      </c>
      <c r="AT164" s="1122">
        <f t="shared" si="730"/>
        <v>61</v>
      </c>
      <c r="AU164" s="1057">
        <f t="shared" si="730"/>
        <v>73</v>
      </c>
      <c r="AV164" s="1055">
        <f t="shared" ref="AV164" si="731">AV89-AV129</f>
        <v>77</v>
      </c>
      <c r="AW164" s="1122">
        <f t="shared" si="729"/>
        <v>78</v>
      </c>
      <c r="AX164" s="1122">
        <f t="shared" si="729"/>
        <v>88</v>
      </c>
      <c r="AY164" s="1057">
        <f t="shared" si="729"/>
        <v>99</v>
      </c>
      <c r="AZ164" s="1055">
        <f t="shared" ref="AZ164" si="732">AZ89-AZ129</f>
        <v>110</v>
      </c>
      <c r="BA164" s="1122">
        <f t="shared" si="729"/>
        <v>102.97911512456447</v>
      </c>
      <c r="BB164" s="1122">
        <f t="shared" si="729"/>
        <v>235.4423783186347</v>
      </c>
      <c r="BC164" s="1057">
        <f t="shared" si="729"/>
        <v>257.56694195088158</v>
      </c>
      <c r="BD164" s="1055">
        <f t="shared" ref="BD164:BG164" si="733">BD89-BD129</f>
        <v>243.77097415611135</v>
      </c>
      <c r="BE164" s="1122">
        <f t="shared" si="733"/>
        <v>235.75908678020366</v>
      </c>
      <c r="BF164" s="1122">
        <f t="shared" si="733"/>
        <v>256.72595920991211</v>
      </c>
      <c r="BG164" s="1400">
        <f t="shared" si="733"/>
        <v>291.13174438172979</v>
      </c>
      <c r="BH164" s="1122">
        <f t="shared" ref="BH164:BK164" si="734">BH89-BH129</f>
        <v>276.13771304042933</v>
      </c>
      <c r="BI164" s="1122">
        <f t="shared" si="734"/>
        <v>257.76307517963579</v>
      </c>
      <c r="BJ164" s="1122">
        <f t="shared" si="734"/>
        <v>271.99258656124249</v>
      </c>
      <c r="BK164" s="1057">
        <f t="shared" si="734"/>
        <v>293.54231307830008</v>
      </c>
      <c r="BL164" s="19"/>
      <c r="BM164" s="1055">
        <f t="shared" ref="BM164:BY164" si="735">BM89-BM129</f>
        <v>5</v>
      </c>
      <c r="BN164" s="1056">
        <f t="shared" si="735"/>
        <v>8</v>
      </c>
      <c r="BO164" s="1056">
        <f t="shared" si="735"/>
        <v>3</v>
      </c>
      <c r="BP164" s="1056">
        <f t="shared" si="735"/>
        <v>8</v>
      </c>
      <c r="BQ164" s="1056">
        <f t="shared" si="735"/>
        <v>-9</v>
      </c>
      <c r="BR164" s="1056">
        <f t="shared" si="735"/>
        <v>9</v>
      </c>
      <c r="BS164" s="1056">
        <f t="shared" si="735"/>
        <v>22</v>
      </c>
      <c r="BT164" s="1057">
        <f t="shared" si="735"/>
        <v>26</v>
      </c>
      <c r="BU164" s="1056">
        <f t="shared" si="735"/>
        <v>82</v>
      </c>
      <c r="BV164" s="1056">
        <f t="shared" si="735"/>
        <v>156</v>
      </c>
      <c r="BW164" s="1056">
        <f t="shared" ref="BW164" si="736">BW89-BW129</f>
        <v>222</v>
      </c>
      <c r="BX164" s="1056">
        <f t="shared" si="735"/>
        <v>342</v>
      </c>
      <c r="BY164" s="1122">
        <f t="shared" si="735"/>
        <v>705.98843539408085</v>
      </c>
      <c r="BZ164" s="1122">
        <f t="shared" ref="BZ164:CA164" si="737">BZ89-BZ129</f>
        <v>1027.387764527957</v>
      </c>
      <c r="CA164" s="1400">
        <f t="shared" si="737"/>
        <v>1099.4356878596077</v>
      </c>
      <c r="CB164" s="19"/>
      <c r="CC164" s="1055">
        <f t="shared" ref="CC164:CN164" si="738">CC89-CC129</f>
        <v>5</v>
      </c>
      <c r="CD164" s="1056">
        <f t="shared" si="738"/>
        <v>8</v>
      </c>
      <c r="CE164" s="1056">
        <f t="shared" si="738"/>
        <v>5</v>
      </c>
      <c r="CF164" s="1056">
        <f t="shared" si="738"/>
        <v>7</v>
      </c>
      <c r="CG164" s="1056">
        <f t="shared" si="738"/>
        <v>-12</v>
      </c>
      <c r="CH164" s="1056">
        <f t="shared" si="738"/>
        <v>13</v>
      </c>
      <c r="CI164" s="1055">
        <f t="shared" si="738"/>
        <v>18</v>
      </c>
      <c r="CJ164" s="1056">
        <f t="shared" si="738"/>
        <v>32</v>
      </c>
      <c r="CK164" s="1056">
        <f t="shared" si="738"/>
        <v>110</v>
      </c>
      <c r="CL164" s="1056">
        <f t="shared" si="738"/>
        <v>156</v>
      </c>
      <c r="CM164" s="1056">
        <f t="shared" si="738"/>
        <v>264</v>
      </c>
      <c r="CN164" s="1122">
        <f t="shared" si="738"/>
        <v>375</v>
      </c>
      <c r="CO164" s="1122">
        <f t="shared" ref="CO164" si="739">CO89-CO129</f>
        <v>839.75940955019212</v>
      </c>
      <c r="CP164" s="1057">
        <f t="shared" ref="CP164" si="740">CP89-CP129</f>
        <v>1059.754503412275</v>
      </c>
      <c r="CQ164" s="7"/>
      <c r="CX164" s="7"/>
    </row>
    <row r="165" spans="1:102" ht="14.25" customHeight="1">
      <c r="A165" s="7"/>
      <c r="B165" s="1044"/>
      <c r="C165" s="1023"/>
      <c r="D165" s="1055"/>
      <c r="E165" s="1056"/>
      <c r="F165" s="1056"/>
      <c r="G165" s="1057"/>
      <c r="H165" s="1055"/>
      <c r="I165" s="1056"/>
      <c r="J165" s="1056"/>
      <c r="K165" s="1057"/>
      <c r="L165" s="1055"/>
      <c r="M165" s="1056"/>
      <c r="N165" s="1056"/>
      <c r="O165" s="1057"/>
      <c r="P165" s="1055"/>
      <c r="Q165" s="1056"/>
      <c r="R165" s="1056"/>
      <c r="S165" s="1057"/>
      <c r="T165" s="1055"/>
      <c r="U165" s="1056"/>
      <c r="V165" s="1056"/>
      <c r="W165" s="1057"/>
      <c r="X165" s="1055"/>
      <c r="Y165" s="1056"/>
      <c r="Z165" s="1056"/>
      <c r="AA165" s="1057"/>
      <c r="AB165" s="1055"/>
      <c r="AC165" s="1056"/>
      <c r="AD165" s="1056"/>
      <c r="AE165" s="1057"/>
      <c r="AF165" s="1055"/>
      <c r="AG165" s="1056"/>
      <c r="AH165" s="1056"/>
      <c r="AI165" s="1057"/>
      <c r="AJ165" s="1055"/>
      <c r="AK165" s="1056"/>
      <c r="AL165" s="1056"/>
      <c r="AN165" s="1055"/>
      <c r="AO165" s="1056"/>
      <c r="AP165" s="1056"/>
      <c r="AR165" s="1055"/>
      <c r="AS165" s="1122"/>
      <c r="AT165" s="1122"/>
      <c r="AU165" s="1214"/>
      <c r="AV165" s="1055"/>
      <c r="AW165" s="1122"/>
      <c r="AX165" s="1122"/>
      <c r="AY165" s="1394"/>
      <c r="AZ165" s="1055"/>
      <c r="BA165" s="1122"/>
      <c r="BB165" s="1122"/>
      <c r="BC165" s="1057"/>
      <c r="BD165" s="1055"/>
      <c r="BE165" s="1122"/>
      <c r="BF165" s="1122"/>
      <c r="BG165" s="1400"/>
      <c r="BH165" s="1122"/>
      <c r="BI165" s="1122"/>
      <c r="BJ165" s="1122"/>
      <c r="BK165" s="1057"/>
      <c r="BL165" s="19"/>
      <c r="BM165" s="1055"/>
      <c r="BN165" s="1056"/>
      <c r="BO165" s="1056"/>
      <c r="BP165" s="1056"/>
      <c r="BQ165" s="1056"/>
      <c r="BR165" s="1056"/>
      <c r="BS165" s="1056"/>
      <c r="BT165" s="1057"/>
      <c r="BU165" s="1056"/>
      <c r="BV165" s="1056"/>
      <c r="BW165" s="1056"/>
      <c r="BX165" s="1056"/>
      <c r="BY165" s="1122"/>
      <c r="BZ165" s="1122"/>
      <c r="CA165" s="1400"/>
      <c r="CB165" s="19"/>
      <c r="CC165" s="1055"/>
      <c r="CD165" s="1056"/>
      <c r="CE165" s="1056"/>
      <c r="CF165" s="1056"/>
      <c r="CG165" s="1056"/>
      <c r="CH165" s="1056"/>
      <c r="CI165" s="1055"/>
      <c r="CJ165" s="1056"/>
      <c r="CK165" s="1056"/>
      <c r="CL165" s="1056"/>
      <c r="CM165" s="1056"/>
      <c r="CN165" s="1122"/>
      <c r="CO165" s="1122"/>
      <c r="CP165" s="1057"/>
      <c r="CQ165" s="7"/>
      <c r="CX165" s="7"/>
    </row>
    <row r="166" spans="1:102" ht="14.25" customHeight="1">
      <c r="A166" s="7"/>
      <c r="B166" s="1044" t="s">
        <v>125</v>
      </c>
      <c r="C166" s="1023"/>
      <c r="D166" s="1055">
        <f>D149-D154+D163-D164</f>
        <v>-90</v>
      </c>
      <c r="E166" s="1056">
        <f>E149-E154+E163-E164</f>
        <v>-17</v>
      </c>
      <c r="F166" s="1056">
        <f>F149-F154+F163-F164</f>
        <v>12</v>
      </c>
      <c r="G166" s="1057">
        <f>G149-G154+G163-G164</f>
        <v>-17</v>
      </c>
      <c r="H166" s="1055">
        <f t="shared" ref="H166:BC166" si="741">H149-H154+H163-H164</f>
        <v>12</v>
      </c>
      <c r="I166" s="1056">
        <f t="shared" si="741"/>
        <v>33</v>
      </c>
      <c r="J166" s="1056">
        <f t="shared" si="741"/>
        <v>26</v>
      </c>
      <c r="K166" s="1057">
        <f t="shared" si="741"/>
        <v>31</v>
      </c>
      <c r="L166" s="1055">
        <f t="shared" si="741"/>
        <v>36</v>
      </c>
      <c r="M166" s="1056">
        <f t="shared" si="741"/>
        <v>43</v>
      </c>
      <c r="N166" s="1056">
        <f t="shared" si="741"/>
        <v>48</v>
      </c>
      <c r="O166" s="1057">
        <f t="shared" si="741"/>
        <v>52</v>
      </c>
      <c r="P166" s="1055">
        <f t="shared" si="741"/>
        <v>37</v>
      </c>
      <c r="Q166" s="1056">
        <f t="shared" si="741"/>
        <v>-2</v>
      </c>
      <c r="R166" s="1056">
        <f t="shared" si="741"/>
        <v>40</v>
      </c>
      <c r="S166" s="1057">
        <f t="shared" si="741"/>
        <v>72</v>
      </c>
      <c r="T166" s="1055">
        <f t="shared" si="741"/>
        <v>88</v>
      </c>
      <c r="U166" s="1056">
        <f t="shared" si="741"/>
        <v>117</v>
      </c>
      <c r="V166" s="1056">
        <f t="shared" si="741"/>
        <v>152</v>
      </c>
      <c r="W166" s="1057">
        <f t="shared" si="741"/>
        <v>190</v>
      </c>
      <c r="X166" s="1055">
        <f t="shared" si="741"/>
        <v>165</v>
      </c>
      <c r="Y166" s="1056">
        <f t="shared" si="741"/>
        <v>165</v>
      </c>
      <c r="Z166" s="1056">
        <f t="shared" si="741"/>
        <v>176</v>
      </c>
      <c r="AA166" s="1057">
        <f t="shared" si="741"/>
        <v>186</v>
      </c>
      <c r="AB166" s="1055">
        <f t="shared" si="741"/>
        <v>156</v>
      </c>
      <c r="AC166" s="1056">
        <f t="shared" si="741"/>
        <v>168</v>
      </c>
      <c r="AD166" s="1056">
        <f t="shared" si="741"/>
        <v>182</v>
      </c>
      <c r="AE166" s="1057">
        <f t="shared" si="741"/>
        <v>194</v>
      </c>
      <c r="AF166" s="1055">
        <f t="shared" si="741"/>
        <v>163</v>
      </c>
      <c r="AG166" s="1056">
        <f t="shared" si="741"/>
        <v>153</v>
      </c>
      <c r="AH166" s="1056">
        <f t="shared" si="741"/>
        <v>188</v>
      </c>
      <c r="AI166" s="1057">
        <f t="shared" si="741"/>
        <v>227</v>
      </c>
      <c r="AJ166" s="1055">
        <f t="shared" si="741"/>
        <v>217</v>
      </c>
      <c r="AK166" s="1056">
        <f t="shared" si="741"/>
        <v>223</v>
      </c>
      <c r="AL166" s="1056">
        <f>AL149-AL154+AL163-AL164</f>
        <v>347</v>
      </c>
      <c r="AM166" s="1057">
        <f t="shared" si="741"/>
        <v>556</v>
      </c>
      <c r="AN166" s="1055">
        <f t="shared" si="741"/>
        <v>596</v>
      </c>
      <c r="AO166" s="1056">
        <f t="shared" si="741"/>
        <v>620</v>
      </c>
      <c r="AP166" s="1056">
        <f>AP149-AP154+AP163-AP164</f>
        <v>660</v>
      </c>
      <c r="AQ166" s="1057">
        <f t="shared" ref="AQ166:AS166" si="742">AQ149-AQ154+AQ163-AQ164</f>
        <v>737</v>
      </c>
      <c r="AR166" s="1055">
        <f t="shared" si="742"/>
        <v>710</v>
      </c>
      <c r="AS166" s="1122">
        <f t="shared" si="742"/>
        <v>1120</v>
      </c>
      <c r="AT166" s="1122">
        <f>AT149-AT154+AT163-AT164</f>
        <v>1293</v>
      </c>
      <c r="AU166" s="1057">
        <f t="shared" ref="AU166:AV166" si="743">AU149-AU154+AU163-AU164</f>
        <v>1549</v>
      </c>
      <c r="AV166" s="1055">
        <f t="shared" si="743"/>
        <v>1627</v>
      </c>
      <c r="AW166" s="1122">
        <f t="shared" si="741"/>
        <v>1666</v>
      </c>
      <c r="AX166" s="1122">
        <f>AX149-AX154+AX163-AX164</f>
        <v>1871</v>
      </c>
      <c r="AY166" s="1057">
        <f t="shared" ref="AY166:AZ166" si="744">AY149-AY154+AY163-AY164</f>
        <v>2091</v>
      </c>
      <c r="AZ166" s="1055">
        <f t="shared" si="744"/>
        <v>2345</v>
      </c>
      <c r="BA166" s="1122">
        <f t="shared" si="741"/>
        <v>2201.6153533135807</v>
      </c>
      <c r="BB166" s="1122">
        <f t="shared" si="741"/>
        <v>2158.1184917577784</v>
      </c>
      <c r="BC166" s="1057">
        <f t="shared" si="741"/>
        <v>2336.7865266409908</v>
      </c>
      <c r="BD166" s="1055">
        <f t="shared" ref="BD166:BG166" si="745">BD149-BD154+BD163-BD164</f>
        <v>2231.2442838625734</v>
      </c>
      <c r="BE166" s="1122">
        <f t="shared" si="745"/>
        <v>2171.8545130446073</v>
      </c>
      <c r="BF166" s="1122">
        <f t="shared" si="745"/>
        <v>2339.9351842406372</v>
      </c>
      <c r="BG166" s="1400">
        <f t="shared" si="745"/>
        <v>2613.5053740406579</v>
      </c>
      <c r="BH166" s="1122">
        <f t="shared" ref="BH166:BK166" si="746">BH149-BH154+BH163-BH164</f>
        <v>2498.5588625385913</v>
      </c>
      <c r="BI166" s="1122">
        <f t="shared" si="746"/>
        <v>2357.8260857020964</v>
      </c>
      <c r="BJ166" s="1122">
        <f t="shared" si="746"/>
        <v>2473.0214538037349</v>
      </c>
      <c r="BK166" s="1057">
        <f t="shared" si="746"/>
        <v>2645.6772716854175</v>
      </c>
      <c r="BL166" s="19"/>
      <c r="BM166" s="1055">
        <f t="shared" ref="BM166:BU166" si="747">BM149-BM154+BM163-BM164</f>
        <v>-112</v>
      </c>
      <c r="BN166" s="1056">
        <f t="shared" si="747"/>
        <v>102</v>
      </c>
      <c r="BO166" s="1056">
        <f t="shared" si="747"/>
        <v>179</v>
      </c>
      <c r="BP166" s="1056">
        <f t="shared" si="747"/>
        <v>147</v>
      </c>
      <c r="BQ166" s="1056">
        <f t="shared" si="747"/>
        <v>547</v>
      </c>
      <c r="BR166" s="1056">
        <f t="shared" si="747"/>
        <v>692</v>
      </c>
      <c r="BS166" s="1056">
        <f t="shared" si="747"/>
        <v>700</v>
      </c>
      <c r="BT166" s="1057">
        <f t="shared" si="747"/>
        <v>731</v>
      </c>
      <c r="BU166" s="1056">
        <f t="shared" si="747"/>
        <v>1343</v>
      </c>
      <c r="BV166" s="1056">
        <f t="shared" ref="BV166:CA166" si="748">BV149-BV154+BV163-BV164</f>
        <v>2613</v>
      </c>
      <c r="BW166" s="1122">
        <f t="shared" si="748"/>
        <v>4672</v>
      </c>
      <c r="BX166" s="1056">
        <f t="shared" si="748"/>
        <v>7255</v>
      </c>
      <c r="BY166" s="1122">
        <f t="shared" si="748"/>
        <v>9041.5203717123495</v>
      </c>
      <c r="BZ166" s="1122">
        <f t="shared" si="748"/>
        <v>9356.5393551884754</v>
      </c>
      <c r="CA166" s="1400">
        <f t="shared" si="748"/>
        <v>9975.0836737298432</v>
      </c>
      <c r="CB166" s="19"/>
      <c r="CC166" s="1055">
        <f t="shared" ref="CC166:CJ166" si="749">CC149-CC154+CC163-CC164</f>
        <v>-10</v>
      </c>
      <c r="CD166" s="1056">
        <f t="shared" si="749"/>
        <v>126</v>
      </c>
      <c r="CE166" s="1056">
        <f t="shared" si="749"/>
        <v>180</v>
      </c>
      <c r="CF166" s="1056">
        <f t="shared" si="749"/>
        <v>198</v>
      </c>
      <c r="CG166" s="1056">
        <f t="shared" si="749"/>
        <v>624</v>
      </c>
      <c r="CH166" s="1056">
        <f t="shared" si="749"/>
        <v>683</v>
      </c>
      <c r="CI166" s="1055">
        <f t="shared" si="749"/>
        <v>707</v>
      </c>
      <c r="CJ166" s="1056">
        <f t="shared" si="749"/>
        <v>785</v>
      </c>
      <c r="CK166" s="1056">
        <f t="shared" ref="CK166:CP166" si="750">CK149-CK154+CK163-CK164</f>
        <v>1722</v>
      </c>
      <c r="CL166" s="1056">
        <f t="shared" si="750"/>
        <v>2727</v>
      </c>
      <c r="CM166" s="1056">
        <f t="shared" si="750"/>
        <v>5589</v>
      </c>
      <c r="CN166" s="1122">
        <f t="shared" si="750"/>
        <v>7973</v>
      </c>
      <c r="CO166" s="1122">
        <f t="shared" si="750"/>
        <v>8927.7646555749234</v>
      </c>
      <c r="CP166" s="1057">
        <f t="shared" si="750"/>
        <v>9623.853933864495</v>
      </c>
      <c r="CQ166" s="7"/>
      <c r="CX166" s="7"/>
    </row>
    <row r="167" spans="1:102" ht="14.25" customHeight="1">
      <c r="A167" s="7"/>
      <c r="B167" s="547" t="s">
        <v>254</v>
      </c>
      <c r="C167" s="900"/>
      <c r="D167" s="560">
        <f t="shared" ref="D167:BC167" si="751">D166/D115</f>
        <v>-0.42253521126760563</v>
      </c>
      <c r="E167" s="561">
        <f t="shared" si="751"/>
        <v>-7.9812206572769953E-2</v>
      </c>
      <c r="F167" s="561">
        <f t="shared" si="751"/>
        <v>5.6338028169014086E-2</v>
      </c>
      <c r="G167" s="562">
        <f t="shared" si="751"/>
        <v>-7.9812206572769953E-2</v>
      </c>
      <c r="H167" s="560">
        <f t="shared" si="751"/>
        <v>5.6074766355140186E-2</v>
      </c>
      <c r="I167" s="561">
        <f t="shared" si="751"/>
        <v>0.1542056074766355</v>
      </c>
      <c r="J167" s="561">
        <f t="shared" si="751"/>
        <v>0.12149532710280374</v>
      </c>
      <c r="K167" s="562">
        <f t="shared" si="751"/>
        <v>0.14485981308411214</v>
      </c>
      <c r="L167" s="560">
        <f t="shared" si="751"/>
        <v>0.16438356164383561</v>
      </c>
      <c r="M167" s="561">
        <f t="shared" si="751"/>
        <v>0.19634703196347031</v>
      </c>
      <c r="N167" s="561">
        <f t="shared" si="751"/>
        <v>0.21917808219178081</v>
      </c>
      <c r="O167" s="562">
        <f t="shared" si="751"/>
        <v>0.23744292237442921</v>
      </c>
      <c r="P167" s="560">
        <f t="shared" si="751"/>
        <v>0.16894977168949771</v>
      </c>
      <c r="Q167" s="561">
        <f t="shared" si="751"/>
        <v>-9.3457943925233638E-3</v>
      </c>
      <c r="R167" s="561">
        <f t="shared" si="751"/>
        <v>0.1834862385321101</v>
      </c>
      <c r="S167" s="562">
        <f t="shared" si="751"/>
        <v>0.30638297872340425</v>
      </c>
      <c r="T167" s="560">
        <f t="shared" si="751"/>
        <v>0.36065573770491804</v>
      </c>
      <c r="U167" s="561">
        <f t="shared" si="751"/>
        <v>0.47560975609756095</v>
      </c>
      <c r="V167" s="561">
        <f t="shared" si="751"/>
        <v>0.61538461538461542</v>
      </c>
      <c r="W167" s="562">
        <f t="shared" si="751"/>
        <v>0.7661290322580645</v>
      </c>
      <c r="X167" s="560">
        <f t="shared" si="751"/>
        <v>0.66</v>
      </c>
      <c r="Y167" s="561">
        <f t="shared" si="751"/>
        <v>0.65476190476190477</v>
      </c>
      <c r="Z167" s="561">
        <f t="shared" si="751"/>
        <v>0.69565217391304346</v>
      </c>
      <c r="AA167" s="562">
        <f t="shared" si="751"/>
        <v>0.73809523809523814</v>
      </c>
      <c r="AB167" s="560">
        <f t="shared" si="751"/>
        <v>0.624</v>
      </c>
      <c r="AC167" s="561">
        <f t="shared" si="751"/>
        <v>0.67200000000000004</v>
      </c>
      <c r="AD167" s="561">
        <f t="shared" si="751"/>
        <v>0.72799999999999998</v>
      </c>
      <c r="AE167" s="562">
        <f t="shared" si="751"/>
        <v>0.77600000000000002</v>
      </c>
      <c r="AF167" s="560">
        <f t="shared" si="751"/>
        <v>0.64940239043824699</v>
      </c>
      <c r="AG167" s="561">
        <f t="shared" si="751"/>
        <v>0.6071428571428571</v>
      </c>
      <c r="AH167" s="561">
        <f t="shared" si="751"/>
        <v>0.74603174603174605</v>
      </c>
      <c r="AI167" s="562">
        <f t="shared" si="751"/>
        <v>0.8901960784313725</v>
      </c>
      <c r="AJ167" s="560">
        <f>AJ166/AJ115</f>
        <v>0.84108527131782951</v>
      </c>
      <c r="AK167" s="561">
        <f t="shared" si="751"/>
        <v>0.84790874524714832</v>
      </c>
      <c r="AL167" s="561">
        <f>AL166/AL115</f>
        <v>1.2572463768115942</v>
      </c>
      <c r="AM167" s="562">
        <f>AM166/AM115</f>
        <v>1.9857142857142858</v>
      </c>
      <c r="AN167" s="560">
        <f t="shared" si="751"/>
        <v>2.0912280701754384</v>
      </c>
      <c r="AO167" s="561">
        <f t="shared" si="751"/>
        <v>2.1305841924398625</v>
      </c>
      <c r="AP167" s="561">
        <f>AP166/AP115</f>
        <v>2.2448979591836733</v>
      </c>
      <c r="AQ167" s="562">
        <f>AQ166/AQ115</f>
        <v>2.5068027210884352</v>
      </c>
      <c r="AR167" s="560">
        <f t="shared" ref="AR167:AS167" si="752">AR166/AR115</f>
        <v>2.406779661016949</v>
      </c>
      <c r="AS167" s="561">
        <f t="shared" si="752"/>
        <v>2.5339366515837103</v>
      </c>
      <c r="AT167" s="561">
        <f>AT166/AT115</f>
        <v>2.8926174496644297</v>
      </c>
      <c r="AU167" s="562">
        <f>AU166/AU115</f>
        <v>3.465324384787472</v>
      </c>
      <c r="AV167" s="560">
        <f t="shared" ref="AV167" si="753">AV166/AV115</f>
        <v>3.6316964285714284</v>
      </c>
      <c r="AW167" s="561">
        <f t="shared" si="751"/>
        <v>3.6940133037694012</v>
      </c>
      <c r="AX167" s="561">
        <f>AX166/AX115</f>
        <v>4.1030701754385968</v>
      </c>
      <c r="AY167" s="562">
        <f>AY166/AY115</f>
        <v>4.5855263157894735</v>
      </c>
      <c r="AZ167" s="560">
        <f>AZ166/AZ115</f>
        <v>5.1200873362445414</v>
      </c>
      <c r="BA167" s="561">
        <f t="shared" si="751"/>
        <v>4.7757382935218669</v>
      </c>
      <c r="BB167" s="561">
        <f t="shared" si="751"/>
        <v>4.6763130915661506</v>
      </c>
      <c r="BC167" s="562">
        <f t="shared" si="751"/>
        <v>5.0579794948939192</v>
      </c>
      <c r="BD167" s="560">
        <f t="shared" ref="BD167:BG167" si="754">BD166/BD115</f>
        <v>4.8243119651082669</v>
      </c>
      <c r="BE167" s="561">
        <f t="shared" si="754"/>
        <v>4.6908304817378124</v>
      </c>
      <c r="BF167" s="561">
        <f t="shared" si="754"/>
        <v>5.0484038494943633</v>
      </c>
      <c r="BG167" s="562">
        <f t="shared" si="754"/>
        <v>5.632554685432452</v>
      </c>
      <c r="BH167" s="561">
        <f t="shared" ref="BH167:BK167" si="755">BH166/BH115</f>
        <v>5.3790287675750079</v>
      </c>
      <c r="BI167" s="561">
        <f t="shared" si="755"/>
        <v>5.0705937326926804</v>
      </c>
      <c r="BJ167" s="561">
        <f t="shared" si="755"/>
        <v>5.312613219771718</v>
      </c>
      <c r="BK167" s="562">
        <f t="shared" si="755"/>
        <v>5.6774190379515401</v>
      </c>
      <c r="BL167" s="19"/>
      <c r="BM167" s="560">
        <f t="shared" ref="BM167:BV167" si="756">BM166/BM115</f>
        <v>-0.5258215962441315</v>
      </c>
      <c r="BN167" s="561">
        <f t="shared" si="756"/>
        <v>0.47663551401869159</v>
      </c>
      <c r="BO167" s="561">
        <f t="shared" si="756"/>
        <v>0.81735159817351599</v>
      </c>
      <c r="BP167" s="561">
        <f t="shared" si="756"/>
        <v>0.66365688487584651</v>
      </c>
      <c r="BQ167" s="561">
        <f t="shared" si="756"/>
        <v>2.2213197969543148</v>
      </c>
      <c r="BR167" s="561">
        <f t="shared" si="756"/>
        <v>2.7487586891757698</v>
      </c>
      <c r="BS167" s="561">
        <f t="shared" si="756"/>
        <v>2.8</v>
      </c>
      <c r="BT167" s="562">
        <f t="shared" si="756"/>
        <v>2.895049504950495</v>
      </c>
      <c r="BU167" s="561">
        <f t="shared" si="756"/>
        <v>4.9879294336118845</v>
      </c>
      <c r="BV167" s="561">
        <f t="shared" si="756"/>
        <v>8.9793814432989691</v>
      </c>
      <c r="BW167" s="1187">
        <f>BW166/BW115</f>
        <v>11.458001226241569</v>
      </c>
      <c r="BX167" s="1187">
        <f>BX166/BX115</f>
        <v>16.024295969077858</v>
      </c>
      <c r="BY167" s="1187">
        <f>BY166/BY115</f>
        <v>19.628809490827354</v>
      </c>
      <c r="BZ167" s="1187">
        <f>BZ166/BZ115</f>
        <v>20.197602493661037</v>
      </c>
      <c r="CA167" s="1476">
        <f>CA166/CA115</f>
        <v>21.440265822095309</v>
      </c>
      <c r="CB167" s="19"/>
      <c r="CC167" s="560">
        <f t="shared" ref="CC167:CL167" si="757">CC166/CC115</f>
        <v>-4.6893317702227433E-2</v>
      </c>
      <c r="CD167" s="561">
        <f t="shared" si="757"/>
        <v>0.58536585365853655</v>
      </c>
      <c r="CE167" s="561">
        <f t="shared" si="757"/>
        <v>0.82191780821917804</v>
      </c>
      <c r="CF167" s="561">
        <f t="shared" si="757"/>
        <v>0.86937431394072451</v>
      </c>
      <c r="CG167" s="561">
        <f t="shared" si="757"/>
        <v>2.5186680121089808</v>
      </c>
      <c r="CH167" s="561">
        <f t="shared" si="757"/>
        <v>2.7130089374379343</v>
      </c>
      <c r="CI167" s="560">
        <f t="shared" si="757"/>
        <v>2.825174825174825</v>
      </c>
      <c r="CJ167" s="561">
        <f t="shared" si="757"/>
        <v>3.0875122910521142</v>
      </c>
      <c r="CK167" s="561">
        <f t="shared" si="757"/>
        <v>6.2391304347826084</v>
      </c>
      <c r="CL167" s="561">
        <f t="shared" si="757"/>
        <v>9.2913117546848376</v>
      </c>
      <c r="CM167" s="561">
        <f>CM166/CM115</f>
        <v>12.531390134529149</v>
      </c>
      <c r="CN167" s="561">
        <f>CN166/CN115</f>
        <v>17.513454146073585</v>
      </c>
      <c r="CO167" s="561">
        <f>CO166/CO115</f>
        <v>19.334628382403732</v>
      </c>
      <c r="CP167" s="562">
        <f>CP166/CP115</f>
        <v>20.752245679492173</v>
      </c>
      <c r="CQ167" s="7"/>
      <c r="CX167" s="7"/>
    </row>
    <row r="168" spans="1:102" ht="14.25" customHeight="1">
      <c r="A168" s="7"/>
      <c r="B168" s="545"/>
      <c r="C168" s="7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Z168" s="10"/>
      <c r="BA168" s="10"/>
      <c r="BB168" s="10"/>
      <c r="BD168" s="10"/>
      <c r="BE168" s="10"/>
      <c r="BF168" s="10"/>
      <c r="BH168" s="10"/>
      <c r="BI168" s="10"/>
      <c r="BJ168" s="10"/>
      <c r="BL168" s="7"/>
      <c r="BM168" s="10"/>
      <c r="BN168" s="7"/>
      <c r="BO168" s="7"/>
      <c r="BP168" s="7"/>
      <c r="BQ168" s="7"/>
      <c r="BR168" s="7"/>
      <c r="BS168" s="7"/>
      <c r="BT168" s="7"/>
      <c r="BU168" s="7"/>
      <c r="BV168" s="10"/>
      <c r="BW168" s="1176"/>
      <c r="BX168" s="1176"/>
      <c r="BY168" s="1283"/>
      <c r="BZ168" s="1283"/>
      <c r="CA168" s="1285"/>
      <c r="CB168" s="7"/>
      <c r="CC168" s="7"/>
      <c r="CD168" s="7"/>
      <c r="CE168" s="7"/>
      <c r="CF168" s="13"/>
      <c r="CG168" s="13"/>
      <c r="CH168" s="7"/>
      <c r="CI168" s="7"/>
      <c r="CJ168" s="7"/>
      <c r="CK168" s="7"/>
      <c r="CQ168" s="7"/>
      <c r="CX168" s="7"/>
    </row>
    <row r="169" spans="1:102" ht="14.25" customHeight="1">
      <c r="A169" s="7"/>
      <c r="B169" s="545"/>
      <c r="C169" s="7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215"/>
      <c r="AY169" s="1215"/>
      <c r="AZ169" s="1215"/>
      <c r="BA169" s="1215"/>
      <c r="BB169" s="1215"/>
      <c r="BC169" s="1215"/>
      <c r="BD169" s="1215"/>
      <c r="BE169" s="1215"/>
      <c r="BF169" s="1215"/>
      <c r="BG169" s="1215"/>
      <c r="BH169" s="1215"/>
      <c r="BI169" s="1215"/>
      <c r="BJ169" s="1215"/>
      <c r="BK169" s="1215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X169" s="757"/>
      <c r="BY169" s="1385"/>
      <c r="BZ169" s="1385"/>
      <c r="CA169" s="1385"/>
      <c r="CB169" s="7"/>
      <c r="CC169" s="7"/>
      <c r="CD169" s="7"/>
      <c r="CE169" s="7"/>
      <c r="CF169" s="13"/>
      <c r="CG169" s="13"/>
      <c r="CH169" s="7"/>
      <c r="CI169" s="7"/>
      <c r="CJ169" s="7"/>
      <c r="CQ169" s="7"/>
      <c r="CX169" s="7"/>
    </row>
    <row r="170" spans="1:102" ht="14.25" customHeight="1">
      <c r="A170" s="7"/>
      <c r="B170" s="545"/>
      <c r="C170" s="7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13"/>
      <c r="BY170" s="13"/>
      <c r="BZ170" s="13"/>
      <c r="CA170" s="7"/>
      <c r="CB170" s="7"/>
      <c r="CC170" s="7"/>
      <c r="CD170" s="7"/>
      <c r="CE170" s="7"/>
      <c r="CF170" s="13"/>
      <c r="CG170" s="13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X170" s="7"/>
    </row>
    <row r="171" spans="1:102" ht="14.25" customHeight="1">
      <c r="A171" s="7"/>
      <c r="B171" s="538" t="s">
        <v>255</v>
      </c>
      <c r="C171" s="539"/>
      <c r="D171" s="540" t="str">
        <f t="shared" ref="D171:AI171" si="758">D7</f>
        <v>F1Q06</v>
      </c>
      <c r="E171" s="541" t="str">
        <f t="shared" si="758"/>
        <v>F2Q06</v>
      </c>
      <c r="F171" s="541" t="str">
        <f t="shared" si="758"/>
        <v>F3Q06</v>
      </c>
      <c r="G171" s="542" t="str">
        <f t="shared" si="758"/>
        <v>F4Q06</v>
      </c>
      <c r="H171" s="540" t="str">
        <f t="shared" si="758"/>
        <v>F1Q07</v>
      </c>
      <c r="I171" s="541" t="str">
        <f t="shared" si="758"/>
        <v>F2Q07</v>
      </c>
      <c r="J171" s="541" t="str">
        <f t="shared" si="758"/>
        <v>F3Q07</v>
      </c>
      <c r="K171" s="542" t="str">
        <f t="shared" si="758"/>
        <v>F4Q07</v>
      </c>
      <c r="L171" s="540" t="str">
        <f t="shared" si="758"/>
        <v>F1Q08</v>
      </c>
      <c r="M171" s="541" t="str">
        <f t="shared" si="758"/>
        <v>F2Q08</v>
      </c>
      <c r="N171" s="541" t="str">
        <f t="shared" si="758"/>
        <v>F3Q08</v>
      </c>
      <c r="O171" s="542" t="str">
        <f t="shared" si="758"/>
        <v>F4Q08</v>
      </c>
      <c r="P171" s="540" t="str">
        <f t="shared" si="758"/>
        <v>F1Q09</v>
      </c>
      <c r="Q171" s="541" t="str">
        <f t="shared" si="758"/>
        <v>F2Q09</v>
      </c>
      <c r="R171" s="541" t="str">
        <f t="shared" si="758"/>
        <v>F3Q09</v>
      </c>
      <c r="S171" s="542" t="str">
        <f t="shared" si="758"/>
        <v>F4Q09</v>
      </c>
      <c r="T171" s="540" t="str">
        <f t="shared" si="758"/>
        <v>F1Q10</v>
      </c>
      <c r="U171" s="541" t="str">
        <f t="shared" si="758"/>
        <v>F2Q10</v>
      </c>
      <c r="V171" s="541" t="str">
        <f t="shared" si="758"/>
        <v>F3Q10</v>
      </c>
      <c r="W171" s="542" t="str">
        <f t="shared" si="758"/>
        <v>F4Q10</v>
      </c>
      <c r="X171" s="540" t="str">
        <f t="shared" si="758"/>
        <v>F1Q11</v>
      </c>
      <c r="Y171" s="541" t="str">
        <f t="shared" si="758"/>
        <v>F2Q11</v>
      </c>
      <c r="Z171" s="541" t="str">
        <f t="shared" si="758"/>
        <v>F3Q11</v>
      </c>
      <c r="AA171" s="542" t="str">
        <f t="shared" si="758"/>
        <v>F4Q11</v>
      </c>
      <c r="AB171" s="540" t="str">
        <f t="shared" si="758"/>
        <v>F1Q12</v>
      </c>
      <c r="AC171" s="541" t="str">
        <f t="shared" si="758"/>
        <v>F2Q12</v>
      </c>
      <c r="AD171" s="541" t="str">
        <f t="shared" si="758"/>
        <v>F3Q12</v>
      </c>
      <c r="AE171" s="542" t="str">
        <f t="shared" si="758"/>
        <v>F4Q12</v>
      </c>
      <c r="AF171" s="540" t="str">
        <f t="shared" si="758"/>
        <v>F1Q13</v>
      </c>
      <c r="AG171" s="541" t="str">
        <f t="shared" si="758"/>
        <v>F2Q13</v>
      </c>
      <c r="AH171" s="541" t="str">
        <f t="shared" si="758"/>
        <v>F3Q13</v>
      </c>
      <c r="AI171" s="542" t="str">
        <f t="shared" si="758"/>
        <v>F4Q13</v>
      </c>
      <c r="AJ171" s="540" t="str">
        <f t="shared" ref="AJ171:BC171" si="759">AJ7</f>
        <v>F1Q14</v>
      </c>
      <c r="AK171" s="541" t="str">
        <f t="shared" si="759"/>
        <v>F2Q14A</v>
      </c>
      <c r="AL171" s="541" t="str">
        <f t="shared" si="759"/>
        <v>F3Q14A</v>
      </c>
      <c r="AM171" s="542" t="str">
        <f t="shared" si="759"/>
        <v>F4Q14A</v>
      </c>
      <c r="AN171" s="540" t="str">
        <f t="shared" si="759"/>
        <v>F1Q15A</v>
      </c>
      <c r="AO171" s="541" t="str">
        <f t="shared" si="759"/>
        <v>F2Q15A</v>
      </c>
      <c r="AP171" s="541" t="str">
        <f t="shared" si="759"/>
        <v>F3Q15A</v>
      </c>
      <c r="AQ171" s="542" t="str">
        <f t="shared" si="759"/>
        <v>F4Q15A</v>
      </c>
      <c r="AR171" s="540" t="str">
        <f t="shared" ref="AR171:AU171" si="760">AR7</f>
        <v>F1Q16A</v>
      </c>
      <c r="AS171" s="541" t="str">
        <f t="shared" si="760"/>
        <v>F2Q16A</v>
      </c>
      <c r="AT171" s="541" t="str">
        <f t="shared" si="760"/>
        <v>F3Q16A</v>
      </c>
      <c r="AU171" s="542" t="str">
        <f t="shared" si="760"/>
        <v>F4Q16A</v>
      </c>
      <c r="AV171" s="540" t="str">
        <f t="shared" ref="AV171" si="761">AV7</f>
        <v>F1Q17A</v>
      </c>
      <c r="AW171" s="541" t="str">
        <f t="shared" si="759"/>
        <v>F2Q17A</v>
      </c>
      <c r="AX171" s="541" t="str">
        <f t="shared" si="759"/>
        <v>F3Q17A</v>
      </c>
      <c r="AY171" s="542" t="str">
        <f t="shared" si="759"/>
        <v>F4Q17A</v>
      </c>
      <c r="AZ171" s="540" t="str">
        <f t="shared" si="759"/>
        <v>F1Q18A</v>
      </c>
      <c r="BA171" s="541" t="str">
        <f t="shared" si="759"/>
        <v>F2Q18E</v>
      </c>
      <c r="BB171" s="541" t="str">
        <f t="shared" si="759"/>
        <v>F3Q18E</v>
      </c>
      <c r="BC171" s="542" t="str">
        <f t="shared" si="759"/>
        <v>F4Q18E</v>
      </c>
      <c r="BD171" s="540" t="str">
        <f t="shared" ref="BD171:BG171" si="762">BD7</f>
        <v>F1Q19E</v>
      </c>
      <c r="BE171" s="541" t="str">
        <f t="shared" si="762"/>
        <v>F2Q19E</v>
      </c>
      <c r="BF171" s="541" t="str">
        <f t="shared" si="762"/>
        <v>F3Q19E</v>
      </c>
      <c r="BG171" s="542" t="str">
        <f t="shared" si="762"/>
        <v>F4Q19E</v>
      </c>
      <c r="BH171" s="540" t="str">
        <f t="shared" ref="BH171:BK171" si="763">BH7</f>
        <v>F1Q20E</v>
      </c>
      <c r="BI171" s="541" t="str">
        <f t="shared" si="763"/>
        <v>F2Q20E</v>
      </c>
      <c r="BJ171" s="541" t="str">
        <f t="shared" si="763"/>
        <v>F3Q20E</v>
      </c>
      <c r="BK171" s="542" t="str">
        <f t="shared" si="763"/>
        <v>F4Q20E</v>
      </c>
      <c r="BL171" s="19"/>
      <c r="BM171" s="540" t="str">
        <f t="shared" ref="BM171:BY171" si="764">BM7</f>
        <v>FY2006</v>
      </c>
      <c r="BN171" s="541" t="str">
        <f t="shared" si="764"/>
        <v>FY2007</v>
      </c>
      <c r="BO171" s="541" t="str">
        <f t="shared" si="764"/>
        <v>FY2008</v>
      </c>
      <c r="BP171" s="541" t="str">
        <f t="shared" si="764"/>
        <v>FY2009</v>
      </c>
      <c r="BQ171" s="541" t="str">
        <f t="shared" si="764"/>
        <v>FY2010</v>
      </c>
      <c r="BR171" s="541" t="str">
        <f t="shared" si="764"/>
        <v>FY2011</v>
      </c>
      <c r="BS171" s="541" t="str">
        <f t="shared" si="764"/>
        <v>FY2012</v>
      </c>
      <c r="BT171" s="542" t="str">
        <f t="shared" si="764"/>
        <v>FY2013</v>
      </c>
      <c r="BU171" s="541" t="str">
        <f t="shared" si="764"/>
        <v>FY2014A</v>
      </c>
      <c r="BV171" s="541" t="str">
        <f t="shared" si="764"/>
        <v>FY2015A</v>
      </c>
      <c r="BW171" s="541" t="str">
        <f t="shared" ref="BW171" si="765">BW7</f>
        <v>FY2016A</v>
      </c>
      <c r="BX171" s="541" t="str">
        <f t="shared" si="764"/>
        <v>FY2017A</v>
      </c>
      <c r="BY171" s="541" t="str">
        <f t="shared" si="764"/>
        <v>FY2018E</v>
      </c>
      <c r="BZ171" s="541" t="str">
        <f t="shared" ref="BZ171:CA171" si="766">BZ7</f>
        <v>FY2019E</v>
      </c>
      <c r="CA171" s="542" t="str">
        <f t="shared" si="766"/>
        <v>FY2020E</v>
      </c>
      <c r="CB171" s="19"/>
      <c r="CC171" s="540" t="str">
        <f t="shared" ref="CC171:CN171" si="767">CC7</f>
        <v>CY2006</v>
      </c>
      <c r="CD171" s="541" t="str">
        <f t="shared" si="767"/>
        <v>CY2007</v>
      </c>
      <c r="CE171" s="541" t="str">
        <f t="shared" si="767"/>
        <v>CY2008</v>
      </c>
      <c r="CF171" s="541" t="str">
        <f t="shared" si="767"/>
        <v>CY2009</v>
      </c>
      <c r="CG171" s="541" t="str">
        <f t="shared" si="767"/>
        <v>CY2010</v>
      </c>
      <c r="CH171" s="541" t="str">
        <f t="shared" si="767"/>
        <v>CY2011</v>
      </c>
      <c r="CI171" s="541" t="str">
        <f t="shared" si="767"/>
        <v>CY2012</v>
      </c>
      <c r="CJ171" s="541" t="str">
        <f t="shared" si="767"/>
        <v>CY2013</v>
      </c>
      <c r="CK171" s="541" t="str">
        <f t="shared" si="767"/>
        <v>CY2014A</v>
      </c>
      <c r="CL171" s="541" t="str">
        <f t="shared" si="767"/>
        <v>CY2015A</v>
      </c>
      <c r="CM171" s="541" t="str">
        <f t="shared" si="767"/>
        <v>CY2016A</v>
      </c>
      <c r="CN171" s="541" t="str">
        <f t="shared" si="767"/>
        <v>CY2017A</v>
      </c>
      <c r="CO171" s="541" t="str">
        <f t="shared" ref="CO171" si="768">CO7</f>
        <v>CY2018E</v>
      </c>
      <c r="CP171" s="542" t="str">
        <f t="shared" ref="CP171" si="769">CP7</f>
        <v>CY2019E</v>
      </c>
      <c r="CQ171" s="7"/>
      <c r="CX171" s="7"/>
    </row>
    <row r="172" spans="1:102" ht="14.25" customHeight="1">
      <c r="A172" s="7"/>
      <c r="B172" s="537"/>
      <c r="C172" s="63"/>
      <c r="D172" s="21"/>
      <c r="E172" s="63"/>
      <c r="F172" s="63"/>
      <c r="G172" s="22"/>
      <c r="H172" s="21"/>
      <c r="I172" s="63"/>
      <c r="J172" s="63"/>
      <c r="K172" s="22"/>
      <c r="L172" s="21"/>
      <c r="M172" s="63"/>
      <c r="N172" s="63"/>
      <c r="O172" s="22"/>
      <c r="P172" s="21"/>
      <c r="Q172" s="63"/>
      <c r="R172" s="63"/>
      <c r="S172" s="22"/>
      <c r="T172" s="21"/>
      <c r="U172" s="63"/>
      <c r="V172" s="63"/>
      <c r="W172" s="22"/>
      <c r="X172" s="21"/>
      <c r="Y172" s="63"/>
      <c r="Z172" s="63"/>
      <c r="AA172" s="22"/>
      <c r="AB172" s="21"/>
      <c r="AC172" s="63"/>
      <c r="AD172" s="63"/>
      <c r="AE172" s="22"/>
      <c r="AF172" s="21"/>
      <c r="AG172" s="63"/>
      <c r="AH172" s="63"/>
      <c r="AI172" s="22"/>
      <c r="AJ172" s="21"/>
      <c r="AK172" s="63"/>
      <c r="AL172" s="63"/>
      <c r="AM172" s="22"/>
      <c r="AN172" s="21"/>
      <c r="AO172" s="63"/>
      <c r="AP172" s="63"/>
      <c r="AQ172" s="22"/>
      <c r="AR172" s="21"/>
      <c r="AS172" s="63"/>
      <c r="AT172" s="63"/>
      <c r="AU172" s="22"/>
      <c r="AV172" s="21"/>
      <c r="AW172" s="63"/>
      <c r="AX172" s="63"/>
      <c r="AY172" s="22"/>
      <c r="AZ172" s="21"/>
      <c r="BA172" s="63"/>
      <c r="BB172" s="63"/>
      <c r="BC172" s="22"/>
      <c r="BD172" s="21"/>
      <c r="BE172" s="63"/>
      <c r="BF172" s="63"/>
      <c r="BG172" s="22"/>
      <c r="BH172" s="21"/>
      <c r="BI172" s="63"/>
      <c r="BJ172" s="63"/>
      <c r="BK172" s="22"/>
      <c r="BL172" s="19"/>
      <c r="BM172" s="21"/>
      <c r="BN172" s="63"/>
      <c r="BO172" s="63"/>
      <c r="BP172" s="63"/>
      <c r="BQ172" s="63"/>
      <c r="BR172" s="63"/>
      <c r="BS172" s="63"/>
      <c r="BT172" s="22"/>
      <c r="BU172" s="63"/>
      <c r="BV172" s="63"/>
      <c r="BW172" s="63"/>
      <c r="BX172" s="63"/>
      <c r="BY172" s="63"/>
      <c r="BZ172" s="63"/>
      <c r="CA172" s="22"/>
      <c r="CB172" s="19"/>
      <c r="CC172" s="21"/>
      <c r="CD172" s="63"/>
      <c r="CE172" s="63"/>
      <c r="CF172" s="63"/>
      <c r="CG172" s="63"/>
      <c r="CH172" s="63"/>
      <c r="CI172" s="63"/>
      <c r="CJ172" s="62"/>
      <c r="CK172" s="62"/>
      <c r="CL172" s="62"/>
      <c r="CM172" s="63"/>
      <c r="CN172" s="63"/>
      <c r="CO172" s="63"/>
      <c r="CP172" s="22"/>
      <c r="CQ172" s="7"/>
      <c r="CX172" s="7"/>
    </row>
    <row r="173" spans="1:102" ht="14.25" customHeight="1">
      <c r="A173" s="7"/>
      <c r="B173" s="548" t="s">
        <v>256</v>
      </c>
      <c r="C173" s="13"/>
      <c r="D173" s="21"/>
      <c r="E173" s="63"/>
      <c r="F173" s="63"/>
      <c r="G173" s="22"/>
      <c r="H173" s="21"/>
      <c r="I173" s="63"/>
      <c r="J173" s="63"/>
      <c r="K173" s="22"/>
      <c r="L173" s="21"/>
      <c r="M173" s="63"/>
      <c r="N173" s="63"/>
      <c r="O173" s="22"/>
      <c r="P173" s="21"/>
      <c r="Q173" s="63"/>
      <c r="R173" s="63"/>
      <c r="S173" s="22"/>
      <c r="T173" s="21"/>
      <c r="U173" s="63"/>
      <c r="V173" s="63"/>
      <c r="W173" s="22"/>
      <c r="X173" s="21"/>
      <c r="Y173" s="63"/>
      <c r="Z173" s="63"/>
      <c r="AA173" s="22"/>
      <c r="AB173" s="21"/>
      <c r="AC173" s="63"/>
      <c r="AD173" s="63"/>
      <c r="AE173" s="22"/>
      <c r="AF173" s="21"/>
      <c r="AG173" s="63"/>
      <c r="AH173" s="63"/>
      <c r="AI173" s="22"/>
      <c r="AJ173" s="21"/>
      <c r="AK173" s="63"/>
      <c r="AL173" s="63"/>
      <c r="AM173" s="22"/>
      <c r="AN173" s="21"/>
      <c r="AO173" s="63"/>
      <c r="AP173" s="63"/>
      <c r="AQ173" s="22"/>
      <c r="AR173" s="21"/>
      <c r="AS173" s="63"/>
      <c r="AT173" s="63"/>
      <c r="AU173" s="22"/>
      <c r="AV173" s="21"/>
      <c r="AW173" s="63"/>
      <c r="AX173" s="63"/>
      <c r="AY173" s="22"/>
      <c r="AZ173" s="21"/>
      <c r="BA173" s="63"/>
      <c r="BB173" s="63"/>
      <c r="BC173" s="22"/>
      <c r="BD173" s="21"/>
      <c r="BE173" s="63"/>
      <c r="BF173" s="63"/>
      <c r="BG173" s="22"/>
      <c r="BH173" s="21"/>
      <c r="BI173" s="63"/>
      <c r="BJ173" s="63"/>
      <c r="BK173" s="22"/>
      <c r="BL173" s="19"/>
      <c r="BM173" s="20"/>
      <c r="BN173" s="13"/>
      <c r="BO173" s="13"/>
      <c r="BP173" s="13"/>
      <c r="BQ173" s="13"/>
      <c r="BR173" s="13"/>
      <c r="BS173" s="13"/>
      <c r="BT173" s="232"/>
      <c r="BU173" s="13"/>
      <c r="BV173" s="13"/>
      <c r="BW173" s="13"/>
      <c r="BX173" s="13"/>
      <c r="BY173" s="13"/>
      <c r="BZ173" s="13"/>
      <c r="CA173" s="232"/>
      <c r="CB173" s="19"/>
      <c r="CC173" s="20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232"/>
      <c r="CQ173" s="7"/>
      <c r="CX173" s="7"/>
    </row>
    <row r="174" spans="1:102" ht="14.25" customHeight="1">
      <c r="A174" s="7"/>
      <c r="B174" s="549" t="s">
        <v>105</v>
      </c>
      <c r="C174" s="1024"/>
      <c r="D174" s="1032">
        <f t="shared" ref="D174:BC174" si="770">D92</f>
        <v>-102</v>
      </c>
      <c r="E174" s="1031">
        <f t="shared" si="770"/>
        <v>-48</v>
      </c>
      <c r="F174" s="1031">
        <f t="shared" si="770"/>
        <v>-23</v>
      </c>
      <c r="G174" s="1023">
        <f t="shared" si="770"/>
        <v>-78</v>
      </c>
      <c r="H174" s="1032">
        <f t="shared" si="770"/>
        <v>6</v>
      </c>
      <c r="I174" s="1031">
        <f t="shared" si="770"/>
        <v>4</v>
      </c>
      <c r="J174" s="1031">
        <f t="shared" si="770"/>
        <v>-167</v>
      </c>
      <c r="K174" s="1023">
        <f t="shared" si="770"/>
        <v>-2</v>
      </c>
      <c r="L174" s="1032">
        <f t="shared" si="770"/>
        <v>4</v>
      </c>
      <c r="M174" s="1031">
        <f t="shared" si="770"/>
        <v>17</v>
      </c>
      <c r="N174" s="1031">
        <f t="shared" si="770"/>
        <v>44</v>
      </c>
      <c r="O174" s="1023">
        <f t="shared" si="770"/>
        <v>18</v>
      </c>
      <c r="P174" s="1032">
        <f t="shared" si="770"/>
        <v>6</v>
      </c>
      <c r="Q174" s="1031">
        <f t="shared" si="770"/>
        <v>-31</v>
      </c>
      <c r="R174" s="1031">
        <f t="shared" si="770"/>
        <v>2</v>
      </c>
      <c r="S174" s="1023">
        <f t="shared" si="770"/>
        <v>-21</v>
      </c>
      <c r="T174" s="1032">
        <f t="shared" si="770"/>
        <v>38</v>
      </c>
      <c r="U174" s="1031">
        <f t="shared" si="770"/>
        <v>90</v>
      </c>
      <c r="V174" s="1031">
        <f t="shared" si="770"/>
        <v>123</v>
      </c>
      <c r="W174" s="1023">
        <f t="shared" si="770"/>
        <v>164</v>
      </c>
      <c r="X174" s="1032">
        <f t="shared" si="770"/>
        <v>119</v>
      </c>
      <c r="Y174" s="1031">
        <f t="shared" si="770"/>
        <v>135</v>
      </c>
      <c r="Z174" s="1031">
        <f t="shared" si="770"/>
        <v>144</v>
      </c>
      <c r="AA174" s="1023">
        <f t="shared" si="770"/>
        <v>154</v>
      </c>
      <c r="AB174" s="1032">
        <f t="shared" si="770"/>
        <v>125</v>
      </c>
      <c r="AC174" s="1031">
        <f t="shared" si="770"/>
        <v>134</v>
      </c>
      <c r="AD174" s="1031">
        <f t="shared" si="770"/>
        <v>145</v>
      </c>
      <c r="AE174" s="1023">
        <f t="shared" si="770"/>
        <v>159</v>
      </c>
      <c r="AF174" s="1032">
        <f t="shared" si="770"/>
        <v>125</v>
      </c>
      <c r="AG174" s="1031">
        <f t="shared" si="770"/>
        <v>113</v>
      </c>
      <c r="AH174" s="1031">
        <f t="shared" si="770"/>
        <v>142</v>
      </c>
      <c r="AI174" s="1023">
        <f t="shared" si="770"/>
        <v>172</v>
      </c>
      <c r="AJ174" s="1032">
        <f t="shared" si="770"/>
        <v>134</v>
      </c>
      <c r="AK174" s="1031">
        <f t="shared" si="770"/>
        <v>158</v>
      </c>
      <c r="AL174" s="1031">
        <f t="shared" si="770"/>
        <v>-164</v>
      </c>
      <c r="AM174" s="1023">
        <f t="shared" si="770"/>
        <v>135</v>
      </c>
      <c r="AN174" s="1032">
        <f t="shared" si="770"/>
        <v>351</v>
      </c>
      <c r="AO174" s="1031">
        <f t="shared" si="770"/>
        <v>344</v>
      </c>
      <c r="AP174" s="1031">
        <f t="shared" si="770"/>
        <v>240</v>
      </c>
      <c r="AQ174" s="1023">
        <f t="shared" si="770"/>
        <v>429</v>
      </c>
      <c r="AR174" s="1032">
        <f t="shared" ref="AR174:AU174" si="771">AR92</f>
        <v>377</v>
      </c>
      <c r="AS174" s="1031">
        <f t="shared" si="771"/>
        <v>-1255</v>
      </c>
      <c r="AT174" s="1150">
        <f t="shared" si="771"/>
        <v>-315</v>
      </c>
      <c r="AU174" s="1023">
        <f t="shared" si="771"/>
        <v>-668</v>
      </c>
      <c r="AV174" s="1032">
        <f t="shared" ref="AV174" si="772">AV92</f>
        <v>252</v>
      </c>
      <c r="AW174" s="1150">
        <f t="shared" si="770"/>
        <v>464</v>
      </c>
      <c r="AX174" s="1031">
        <f t="shared" si="770"/>
        <v>507</v>
      </c>
      <c r="AY174" s="1023">
        <f t="shared" si="770"/>
        <v>671</v>
      </c>
      <c r="AZ174" s="1032">
        <f t="shared" si="770"/>
        <v>6566</v>
      </c>
      <c r="BA174" s="1031">
        <f t="shared" si="770"/>
        <v>1896.6153533135807</v>
      </c>
      <c r="BB174" s="1031">
        <f t="shared" si="770"/>
        <v>1848.1184917577787</v>
      </c>
      <c r="BC174" s="1023">
        <f t="shared" si="770"/>
        <v>2021.786526640991</v>
      </c>
      <c r="BD174" s="1032">
        <f t="shared" ref="BD174:BG174" si="773">BD92</f>
        <v>1913.4942838625732</v>
      </c>
      <c r="BE174" s="1150">
        <f t="shared" si="773"/>
        <v>1850.6045130446073</v>
      </c>
      <c r="BF174" s="1150">
        <f t="shared" si="773"/>
        <v>2015.1851842406372</v>
      </c>
      <c r="BG174" s="1023">
        <f t="shared" si="773"/>
        <v>2285.2553740406579</v>
      </c>
      <c r="BH174" s="1032">
        <f t="shared" ref="BH174:BK174" si="774">BH92</f>
        <v>2167.5588625385913</v>
      </c>
      <c r="BI174" s="1150">
        <f t="shared" si="774"/>
        <v>2023.3260857020966</v>
      </c>
      <c r="BJ174" s="1150">
        <f t="shared" si="774"/>
        <v>2135.0214538037349</v>
      </c>
      <c r="BK174" s="1023">
        <f t="shared" si="774"/>
        <v>2304.1772716854175</v>
      </c>
      <c r="BL174" s="19"/>
      <c r="BM174" s="34">
        <f>SUM(D174:G174)</f>
        <v>-251</v>
      </c>
      <c r="BN174" s="32">
        <f>SUM(H174:K174)</f>
        <v>-159</v>
      </c>
      <c r="BO174" s="32">
        <f>SUM(L174:O174)</f>
        <v>83</v>
      </c>
      <c r="BP174" s="32">
        <f>SUM(P174:S174)</f>
        <v>-44</v>
      </c>
      <c r="BQ174" s="32">
        <f>SUM(T174:W174)</f>
        <v>415</v>
      </c>
      <c r="BR174" s="32">
        <f>SUM(X174:AA174)</f>
        <v>552</v>
      </c>
      <c r="BS174" s="32">
        <f>SUM(AB174:AE174)</f>
        <v>563</v>
      </c>
      <c r="BT174" s="33">
        <f>SUM(AF174:AI174)</f>
        <v>552</v>
      </c>
      <c r="BU174" s="32">
        <f>SUM(AJ174:AM174)</f>
        <v>263</v>
      </c>
      <c r="BV174" s="32">
        <f>SUM(AN174:AQ174)</f>
        <v>1364</v>
      </c>
      <c r="BW174" s="32">
        <f>SUM(AR174:AU174)</f>
        <v>-1861</v>
      </c>
      <c r="BX174" s="32">
        <f>SUM(AV174:AY174)</f>
        <v>1894</v>
      </c>
      <c r="BY174" s="32">
        <f t="shared" ref="BY174:BY177" si="775">SUM(AZ174:BC174)</f>
        <v>12332.520371712351</v>
      </c>
      <c r="BZ174" s="32">
        <f t="shared" ref="BZ174:CA177" si="776">SUM(BD174:BG174)</f>
        <v>8064.5393551884754</v>
      </c>
      <c r="CA174" s="33">
        <f t="shared" si="776"/>
        <v>8318.6039338644932</v>
      </c>
      <c r="CB174" s="19"/>
      <c r="CC174" s="1032">
        <f>SUM(E174:H174)</f>
        <v>-143</v>
      </c>
      <c r="CD174" s="1031">
        <f>SUM(I174:L174)</f>
        <v>-161</v>
      </c>
      <c r="CE174" s="1031">
        <f>SUM(M174:P174)</f>
        <v>85</v>
      </c>
      <c r="CF174" s="1031">
        <f>SUM(Q174:T174)</f>
        <v>-12</v>
      </c>
      <c r="CG174" s="1031">
        <f>SUM(U174:X174)</f>
        <v>496</v>
      </c>
      <c r="CH174" s="1031">
        <f>SUM(Y174:AB174)</f>
        <v>558</v>
      </c>
      <c r="CI174" s="1031">
        <f>SUM(AC174:AF174)</f>
        <v>563</v>
      </c>
      <c r="CJ174" s="1031">
        <f>SUM(AG174:AJ174)</f>
        <v>561</v>
      </c>
      <c r="CK174" s="1031">
        <f>SUM(AK174:AN174)</f>
        <v>480</v>
      </c>
      <c r="CL174" s="1031">
        <f>SUM(AO174:AR174)</f>
        <v>1390</v>
      </c>
      <c r="CM174" s="1031">
        <f>SUM(AS174:AV174)</f>
        <v>-1986</v>
      </c>
      <c r="CN174" s="1150">
        <f>SUM(AW174:AZ174)</f>
        <v>8208</v>
      </c>
      <c r="CO174" s="1150">
        <f>SUM(BA174:BD174)</f>
        <v>7680.0146555749234</v>
      </c>
      <c r="CP174" s="1023">
        <f>SUM(BE174:BH174)</f>
        <v>8318.6039338644932</v>
      </c>
      <c r="CQ174" s="7"/>
      <c r="CX174" s="7"/>
    </row>
    <row r="175" spans="1:102" ht="14.25" customHeight="1">
      <c r="A175" s="7"/>
      <c r="B175" s="1048" t="s">
        <v>257</v>
      </c>
      <c r="C175" s="1024"/>
      <c r="D175" s="1032">
        <f>+D192</f>
        <v>15</v>
      </c>
      <c r="E175" s="1031">
        <f>+E192</f>
        <v>21</v>
      </c>
      <c r="F175" s="1031">
        <f>+F192</f>
        <v>12</v>
      </c>
      <c r="G175" s="1023">
        <f>+G192</f>
        <v>8</v>
      </c>
      <c r="H175" s="1032">
        <f t="shared" ref="H175:BC175" si="777">+H192</f>
        <v>7</v>
      </c>
      <c r="I175" s="1031">
        <f t="shared" si="777"/>
        <v>7</v>
      </c>
      <c r="J175" s="1031">
        <f t="shared" si="777"/>
        <v>7</v>
      </c>
      <c r="K175" s="1023">
        <f t="shared" si="777"/>
        <v>7</v>
      </c>
      <c r="L175" s="1032">
        <f t="shared" si="777"/>
        <v>7</v>
      </c>
      <c r="M175" s="1031">
        <f t="shared" si="777"/>
        <v>7</v>
      </c>
      <c r="N175" s="1031">
        <f t="shared" si="777"/>
        <v>7</v>
      </c>
      <c r="O175" s="1023">
        <f t="shared" si="777"/>
        <v>7</v>
      </c>
      <c r="P175" s="1032">
        <f t="shared" si="777"/>
        <v>6</v>
      </c>
      <c r="Q175" s="1031">
        <f t="shared" si="777"/>
        <v>5</v>
      </c>
      <c r="R175" s="1031">
        <f t="shared" si="777"/>
        <v>5</v>
      </c>
      <c r="S175" s="1023">
        <f t="shared" si="777"/>
        <v>5</v>
      </c>
      <c r="T175" s="1032">
        <f t="shared" si="777"/>
        <v>5</v>
      </c>
      <c r="U175" s="1031">
        <f t="shared" si="777"/>
        <v>6</v>
      </c>
      <c r="V175" s="1031">
        <f t="shared" si="777"/>
        <v>5</v>
      </c>
      <c r="W175" s="1023">
        <f t="shared" si="777"/>
        <v>5</v>
      </c>
      <c r="X175" s="1032">
        <f t="shared" si="777"/>
        <v>6</v>
      </c>
      <c r="Y175" s="1031">
        <f t="shared" si="777"/>
        <v>5</v>
      </c>
      <c r="Z175" s="1031">
        <f t="shared" si="777"/>
        <v>5</v>
      </c>
      <c r="AA175" s="1023">
        <f t="shared" si="777"/>
        <v>6</v>
      </c>
      <c r="AB175" s="1032">
        <f t="shared" si="777"/>
        <v>5</v>
      </c>
      <c r="AC175" s="1031">
        <f t="shared" si="777"/>
        <v>5</v>
      </c>
      <c r="AD175" s="1031">
        <f t="shared" si="777"/>
        <v>6</v>
      </c>
      <c r="AE175" s="1023">
        <f t="shared" si="777"/>
        <v>5</v>
      </c>
      <c r="AF175" s="1032">
        <f t="shared" si="777"/>
        <v>5</v>
      </c>
      <c r="AG175" s="1031">
        <f t="shared" si="777"/>
        <v>6</v>
      </c>
      <c r="AH175" s="1031">
        <f t="shared" si="777"/>
        <v>6</v>
      </c>
      <c r="AI175" s="1023">
        <f t="shared" si="777"/>
        <v>7</v>
      </c>
      <c r="AJ175" s="1032">
        <f t="shared" si="777"/>
        <v>7</v>
      </c>
      <c r="AK175" s="1031">
        <f t="shared" si="777"/>
        <v>8</v>
      </c>
      <c r="AL175" s="1031">
        <f>+AL192</f>
        <v>91</v>
      </c>
      <c r="AM175" s="1023">
        <f t="shared" si="777"/>
        <v>91</v>
      </c>
      <c r="AN175" s="1032">
        <f t="shared" si="777"/>
        <v>59</v>
      </c>
      <c r="AO175" s="1031">
        <f t="shared" si="777"/>
        <v>59</v>
      </c>
      <c r="AP175" s="1031">
        <f>+AP192</f>
        <v>68</v>
      </c>
      <c r="AQ175" s="1023">
        <f t="shared" ref="AQ175:AS175" si="778">+AQ192</f>
        <v>63</v>
      </c>
      <c r="AR175" s="1032">
        <f t="shared" si="778"/>
        <v>54</v>
      </c>
      <c r="AS175" s="1031">
        <f t="shared" si="778"/>
        <v>735</v>
      </c>
      <c r="AT175" s="1150">
        <f>+AT192</f>
        <v>728</v>
      </c>
      <c r="AU175" s="1023">
        <f t="shared" ref="AU175:AV175" si="779">+AU192</f>
        <v>356</v>
      </c>
      <c r="AV175" s="1032">
        <f t="shared" si="779"/>
        <v>440</v>
      </c>
      <c r="AW175" s="1150">
        <f t="shared" si="777"/>
        <v>442</v>
      </c>
      <c r="AX175" s="1031">
        <f>+AX192</f>
        <v>441</v>
      </c>
      <c r="AY175" s="1023">
        <f t="shared" si="777"/>
        <v>441</v>
      </c>
      <c r="AZ175" s="1032">
        <f t="shared" si="777"/>
        <v>339</v>
      </c>
      <c r="BA175" s="1031">
        <f t="shared" si="777"/>
        <v>0</v>
      </c>
      <c r="BB175" s="1031">
        <f t="shared" si="777"/>
        <v>0</v>
      </c>
      <c r="BC175" s="1023">
        <f t="shared" si="777"/>
        <v>0</v>
      </c>
      <c r="BD175" s="1032">
        <f t="shared" ref="BD175:BG175" si="780">+BD192</f>
        <v>0</v>
      </c>
      <c r="BE175" s="1150">
        <f t="shared" si="780"/>
        <v>0</v>
      </c>
      <c r="BF175" s="1150">
        <f t="shared" si="780"/>
        <v>0</v>
      </c>
      <c r="BG175" s="1023">
        <f t="shared" si="780"/>
        <v>0</v>
      </c>
      <c r="BH175" s="1032">
        <f t="shared" ref="BH175:BK175" si="781">+BH192</f>
        <v>0</v>
      </c>
      <c r="BI175" s="1150">
        <f t="shared" si="781"/>
        <v>0</v>
      </c>
      <c r="BJ175" s="1150">
        <f t="shared" si="781"/>
        <v>0</v>
      </c>
      <c r="BK175" s="1023">
        <f t="shared" si="781"/>
        <v>0</v>
      </c>
      <c r="BL175" s="19"/>
      <c r="BM175" s="34">
        <f>SUM(D175:G175)</f>
        <v>56</v>
      </c>
      <c r="BN175" s="32">
        <f>SUM(H175:K175)</f>
        <v>28</v>
      </c>
      <c r="BO175" s="32">
        <f>SUM(L175:O175)</f>
        <v>28</v>
      </c>
      <c r="BP175" s="32">
        <f>SUM(P175:S175)</f>
        <v>21</v>
      </c>
      <c r="BQ175" s="32">
        <f>SUM(T175:W175)</f>
        <v>21</v>
      </c>
      <c r="BR175" s="32">
        <f>SUM(X175:AA175)</f>
        <v>22</v>
      </c>
      <c r="BS175" s="32">
        <f>SUM(AB175:AE175)</f>
        <v>21</v>
      </c>
      <c r="BT175" s="33">
        <f>SUM(AF175:AI175)</f>
        <v>24</v>
      </c>
      <c r="BU175" s="32">
        <f>SUM(AJ175:AM175)</f>
        <v>197</v>
      </c>
      <c r="BV175" s="32">
        <f>SUM(AN175:AQ175)</f>
        <v>249</v>
      </c>
      <c r="BW175" s="32">
        <f>SUM(AR175:AU175)</f>
        <v>1873</v>
      </c>
      <c r="BX175" s="32">
        <f>SUM(AV175:AY175)</f>
        <v>1764</v>
      </c>
      <c r="BY175" s="32">
        <f t="shared" si="775"/>
        <v>339</v>
      </c>
      <c r="BZ175" s="32">
        <f t="shared" si="776"/>
        <v>0</v>
      </c>
      <c r="CA175" s="33">
        <f t="shared" si="776"/>
        <v>0</v>
      </c>
      <c r="CB175" s="19"/>
      <c r="CC175" s="1032">
        <f>SUM(E175:H175)</f>
        <v>48</v>
      </c>
      <c r="CD175" s="1031">
        <f>SUM(I175:L175)</f>
        <v>28</v>
      </c>
      <c r="CE175" s="1031">
        <f>SUM(M175:P175)</f>
        <v>27</v>
      </c>
      <c r="CF175" s="1031">
        <f>SUM(Q175:T175)</f>
        <v>20</v>
      </c>
      <c r="CG175" s="1031">
        <f>SUM(U175:X175)</f>
        <v>22</v>
      </c>
      <c r="CH175" s="1031">
        <f>SUM(Y175:AB175)</f>
        <v>21</v>
      </c>
      <c r="CI175" s="1031">
        <f>SUM(AC175:AF175)</f>
        <v>21</v>
      </c>
      <c r="CJ175" s="1031">
        <f>SUM(AG175:AJ175)</f>
        <v>26</v>
      </c>
      <c r="CK175" s="1031">
        <f>SUM(AK175:AN175)</f>
        <v>249</v>
      </c>
      <c r="CL175" s="1031">
        <f>SUM(AO175:AR175)</f>
        <v>244</v>
      </c>
      <c r="CM175" s="1031">
        <f>SUM(AS175:AV175)</f>
        <v>2259</v>
      </c>
      <c r="CN175" s="1150">
        <f>SUM(AW175:AZ175)</f>
        <v>1663</v>
      </c>
      <c r="CO175" s="1150">
        <f>SUM(BA175:BD175)</f>
        <v>0</v>
      </c>
      <c r="CP175" s="1023">
        <f>SUM(BE175:BH175)</f>
        <v>0</v>
      </c>
      <c r="CQ175" s="7"/>
      <c r="CX175" s="7"/>
    </row>
    <row r="176" spans="1:102" ht="14.25" customHeight="1">
      <c r="A176" s="7"/>
      <c r="B176" s="1048" t="s">
        <v>258</v>
      </c>
      <c r="C176" s="1024"/>
      <c r="D176" s="1032">
        <f t="shared" ref="D176:AN176" si="782">D17+D37+D52+D56-D63+D78-D175</f>
        <v>24</v>
      </c>
      <c r="E176" s="1031">
        <f t="shared" si="782"/>
        <v>22</v>
      </c>
      <c r="F176" s="1031">
        <f t="shared" si="782"/>
        <v>14</v>
      </c>
      <c r="G176" s="1023">
        <f t="shared" si="782"/>
        <v>24</v>
      </c>
      <c r="H176" s="1032">
        <f t="shared" si="782"/>
        <v>85</v>
      </c>
      <c r="I176" s="1031">
        <f t="shared" si="782"/>
        <v>29</v>
      </c>
      <c r="J176" s="1031">
        <f t="shared" si="782"/>
        <v>185</v>
      </c>
      <c r="K176" s="1023">
        <f t="shared" si="782"/>
        <v>32</v>
      </c>
      <c r="L176" s="1032">
        <f t="shared" si="782"/>
        <v>26</v>
      </c>
      <c r="M176" s="1031">
        <f t="shared" si="782"/>
        <v>15</v>
      </c>
      <c r="N176" s="1031">
        <f t="shared" si="782"/>
        <v>44</v>
      </c>
      <c r="O176" s="1023">
        <f t="shared" si="782"/>
        <v>10</v>
      </c>
      <c r="P176" s="1032">
        <f t="shared" si="782"/>
        <v>26</v>
      </c>
      <c r="Q176" s="1031">
        <f t="shared" si="782"/>
        <v>20</v>
      </c>
      <c r="R176" s="1031">
        <f t="shared" si="782"/>
        <v>30</v>
      </c>
      <c r="S176" s="1023">
        <f t="shared" si="782"/>
        <v>74</v>
      </c>
      <c r="T176" s="1032">
        <f t="shared" si="782"/>
        <v>16</v>
      </c>
      <c r="U176" s="1031">
        <f t="shared" si="782"/>
        <v>15</v>
      </c>
      <c r="V176" s="1031">
        <f t="shared" si="782"/>
        <v>17</v>
      </c>
      <c r="W176" s="1023">
        <f t="shared" si="782"/>
        <v>14</v>
      </c>
      <c r="X176" s="1032">
        <f t="shared" si="782"/>
        <v>14</v>
      </c>
      <c r="Y176" s="1031">
        <f t="shared" si="782"/>
        <v>15</v>
      </c>
      <c r="Z176" s="1031">
        <f t="shared" si="782"/>
        <v>16</v>
      </c>
      <c r="AA176" s="1023">
        <f t="shared" si="782"/>
        <v>15</v>
      </c>
      <c r="AB176" s="1032">
        <f t="shared" si="782"/>
        <v>15</v>
      </c>
      <c r="AC176" s="1031">
        <f t="shared" si="782"/>
        <v>16</v>
      </c>
      <c r="AD176" s="1031">
        <f t="shared" si="782"/>
        <v>16</v>
      </c>
      <c r="AE176" s="1023">
        <f t="shared" si="782"/>
        <v>16</v>
      </c>
      <c r="AF176" s="1032">
        <f t="shared" si="782"/>
        <v>15</v>
      </c>
      <c r="AG176" s="1031">
        <f t="shared" si="782"/>
        <v>17</v>
      </c>
      <c r="AH176" s="1031">
        <f t="shared" si="782"/>
        <v>25</v>
      </c>
      <c r="AI176" s="1023">
        <f t="shared" si="782"/>
        <v>30</v>
      </c>
      <c r="AJ176" s="1032">
        <f t="shared" si="782"/>
        <v>54</v>
      </c>
      <c r="AK176" s="1031">
        <f t="shared" si="782"/>
        <v>35</v>
      </c>
      <c r="AL176" s="1031">
        <f t="shared" si="782"/>
        <v>449</v>
      </c>
      <c r="AM176" s="1023">
        <f t="shared" si="782"/>
        <v>195</v>
      </c>
      <c r="AN176" s="1032">
        <f t="shared" si="782"/>
        <v>172</v>
      </c>
      <c r="AO176" s="1031">
        <f>AO17+AO37+AO52+AO56-AO63+AO78-AO175+9</f>
        <v>189</v>
      </c>
      <c r="AP176" s="1031">
        <f t="shared" ref="AP176:BC176" si="783">AP17+AP37+AP52+AP56-AP63+AP78-AP175</f>
        <v>300</v>
      </c>
      <c r="AQ176" s="1023">
        <f t="shared" si="783"/>
        <v>169</v>
      </c>
      <c r="AR176" s="1032">
        <f t="shared" si="783"/>
        <v>240</v>
      </c>
      <c r="AS176" s="1031">
        <f>AS17+AS37+AS52+AS56-AS63+AS78-AS175+9</f>
        <v>1577</v>
      </c>
      <c r="AT176" s="1150">
        <f t="shared" ref="AT176:AV176" si="784">AT17+AT37+AT52+AT56-AT63+AT78-AT175</f>
        <v>833</v>
      </c>
      <c r="AU176" s="1023">
        <f t="shared" si="784"/>
        <v>774</v>
      </c>
      <c r="AV176" s="1032">
        <f t="shared" si="784"/>
        <v>637</v>
      </c>
      <c r="AW176" s="1150">
        <f t="shared" si="783"/>
        <v>721</v>
      </c>
      <c r="AX176" s="1031">
        <f t="shared" si="783"/>
        <v>719</v>
      </c>
      <c r="AY176" s="1023">
        <f t="shared" si="783"/>
        <v>742</v>
      </c>
      <c r="AZ176" s="1032">
        <f t="shared" si="783"/>
        <v>1022</v>
      </c>
      <c r="BA176" s="1031">
        <f t="shared" si="783"/>
        <v>0</v>
      </c>
      <c r="BB176" s="1031">
        <f t="shared" si="783"/>
        <v>0</v>
      </c>
      <c r="BC176" s="1023">
        <f t="shared" si="783"/>
        <v>0</v>
      </c>
      <c r="BD176" s="1032">
        <f t="shared" ref="BD176:BG176" si="785">BD17+BD37+BD52+BD56-BD63+BD78-BD175</f>
        <v>0</v>
      </c>
      <c r="BE176" s="1150">
        <f t="shared" si="785"/>
        <v>0</v>
      </c>
      <c r="BF176" s="1150">
        <f t="shared" si="785"/>
        <v>0</v>
      </c>
      <c r="BG176" s="1023">
        <f t="shared" si="785"/>
        <v>0</v>
      </c>
      <c r="BH176" s="1032">
        <f t="shared" ref="BH176:BK176" si="786">BH17+BH37+BH52+BH56-BH63+BH78-BH175</f>
        <v>0</v>
      </c>
      <c r="BI176" s="1150">
        <f t="shared" si="786"/>
        <v>0</v>
      </c>
      <c r="BJ176" s="1150">
        <f t="shared" si="786"/>
        <v>0</v>
      </c>
      <c r="BK176" s="1023">
        <f t="shared" si="786"/>
        <v>0</v>
      </c>
      <c r="BL176" s="19"/>
      <c r="BM176" s="1032">
        <f>SUM(D176:G176)</f>
        <v>84</v>
      </c>
      <c r="BN176" s="1031">
        <f>SUM(H176:K176)</f>
        <v>331</v>
      </c>
      <c r="BO176" s="1031">
        <f>SUM(L176:O176)</f>
        <v>95</v>
      </c>
      <c r="BP176" s="1031">
        <f>SUM(P176:S176)</f>
        <v>150</v>
      </c>
      <c r="BQ176" s="1031">
        <f>SUM(T176:W176)</f>
        <v>62</v>
      </c>
      <c r="BR176" s="1031">
        <f>SUM(X176:AA176)</f>
        <v>60</v>
      </c>
      <c r="BS176" s="1031">
        <f>SUM(AB176:AE176)</f>
        <v>63</v>
      </c>
      <c r="BT176" s="1023">
        <f>SUM(AF176:AI176)</f>
        <v>87</v>
      </c>
      <c r="BU176" s="1031">
        <f>SUM(AJ176:AM176)</f>
        <v>733</v>
      </c>
      <c r="BV176" s="1031">
        <f>SUM(AN176:AQ176)</f>
        <v>830</v>
      </c>
      <c r="BW176" s="1031">
        <f>SUM(AR176:AU176)</f>
        <v>3424</v>
      </c>
      <c r="BX176" s="1031">
        <f>SUM(AV176:AY176)</f>
        <v>2819</v>
      </c>
      <c r="BY176" s="1150">
        <f t="shared" si="775"/>
        <v>1022</v>
      </c>
      <c r="BZ176" s="1150">
        <f t="shared" si="776"/>
        <v>0</v>
      </c>
      <c r="CA176" s="1023">
        <f t="shared" si="776"/>
        <v>0</v>
      </c>
      <c r="CB176" s="19"/>
      <c r="CC176" s="1032">
        <f>SUM(E176:H176)</f>
        <v>145</v>
      </c>
      <c r="CD176" s="1031">
        <f>SUM(I176:L176)</f>
        <v>272</v>
      </c>
      <c r="CE176" s="1031">
        <f>SUM(M176:P176)</f>
        <v>95</v>
      </c>
      <c r="CF176" s="1031">
        <f>SUM(Q176:T176)</f>
        <v>140</v>
      </c>
      <c r="CG176" s="1031">
        <f>SUM(U176:X176)</f>
        <v>60</v>
      </c>
      <c r="CH176" s="1031">
        <f>SUM(Y176:AB176)</f>
        <v>61</v>
      </c>
      <c r="CI176" s="1031">
        <f>SUM(AC176:AF176)</f>
        <v>63</v>
      </c>
      <c r="CJ176" s="1031">
        <f>SUM(AG176:AJ176)</f>
        <v>126</v>
      </c>
      <c r="CK176" s="1031">
        <f>SUM(AK176:AN176)</f>
        <v>851</v>
      </c>
      <c r="CL176" s="1031">
        <f>SUM(AO176:AR176)</f>
        <v>898</v>
      </c>
      <c r="CM176" s="1031">
        <f>SUM(AS176:AV176)</f>
        <v>3821</v>
      </c>
      <c r="CN176" s="1150">
        <f>SUM(AW176:AZ176)</f>
        <v>3204</v>
      </c>
      <c r="CO176" s="1150">
        <f>SUM(BA176:BD176)</f>
        <v>0</v>
      </c>
      <c r="CP176" s="1023">
        <f>SUM(BE176:BH176)</f>
        <v>0</v>
      </c>
      <c r="CQ176" s="7"/>
      <c r="CX176" s="7"/>
    </row>
    <row r="177" spans="1:102" ht="14.25" customHeight="1">
      <c r="A177" s="7"/>
      <c r="B177" s="1049" t="s">
        <v>259</v>
      </c>
      <c r="C177" s="1050"/>
      <c r="D177" s="1058">
        <f t="shared" ref="D177:BC177" si="787">D88</f>
        <v>0</v>
      </c>
      <c r="E177" s="1045">
        <f t="shared" si="787"/>
        <v>0</v>
      </c>
      <c r="F177" s="1045">
        <f t="shared" si="787"/>
        <v>0</v>
      </c>
      <c r="G177" s="1059">
        <f t="shared" si="787"/>
        <v>0</v>
      </c>
      <c r="H177" s="1058">
        <f t="shared" si="787"/>
        <v>0</v>
      </c>
      <c r="I177" s="1045">
        <f t="shared" si="787"/>
        <v>0</v>
      </c>
      <c r="J177" s="1045">
        <f t="shared" si="787"/>
        <v>0</v>
      </c>
      <c r="K177" s="1059">
        <f t="shared" si="787"/>
        <v>0</v>
      </c>
      <c r="L177" s="1058">
        <f t="shared" si="787"/>
        <v>0</v>
      </c>
      <c r="M177" s="1045">
        <f t="shared" si="787"/>
        <v>0</v>
      </c>
      <c r="N177" s="1045">
        <f t="shared" si="787"/>
        <v>0</v>
      </c>
      <c r="O177" s="1059">
        <f t="shared" si="787"/>
        <v>0</v>
      </c>
      <c r="P177" s="1058">
        <f t="shared" si="787"/>
        <v>0</v>
      </c>
      <c r="Q177" s="1045">
        <f t="shared" si="787"/>
        <v>0</v>
      </c>
      <c r="R177" s="1045">
        <f t="shared" si="787"/>
        <v>0</v>
      </c>
      <c r="S177" s="1059">
        <f t="shared" si="787"/>
        <v>0</v>
      </c>
      <c r="T177" s="1058">
        <f t="shared" si="787"/>
        <v>0</v>
      </c>
      <c r="U177" s="1045">
        <f t="shared" si="787"/>
        <v>0</v>
      </c>
      <c r="V177" s="1045">
        <f t="shared" si="787"/>
        <v>0</v>
      </c>
      <c r="W177" s="1059">
        <f t="shared" si="787"/>
        <v>0</v>
      </c>
      <c r="X177" s="1058">
        <f t="shared" si="787"/>
        <v>0</v>
      </c>
      <c r="Y177" s="1045">
        <f t="shared" si="787"/>
        <v>0</v>
      </c>
      <c r="Z177" s="1045">
        <f t="shared" si="787"/>
        <v>0</v>
      </c>
      <c r="AA177" s="1059">
        <f t="shared" si="787"/>
        <v>0</v>
      </c>
      <c r="AB177" s="1058">
        <f t="shared" si="787"/>
        <v>0</v>
      </c>
      <c r="AC177" s="1045">
        <f t="shared" si="787"/>
        <v>0</v>
      </c>
      <c r="AD177" s="1045">
        <f t="shared" si="787"/>
        <v>0</v>
      </c>
      <c r="AE177" s="1059">
        <f t="shared" si="787"/>
        <v>0</v>
      </c>
      <c r="AF177" s="1058">
        <f t="shared" si="787"/>
        <v>0</v>
      </c>
      <c r="AG177" s="1045">
        <f t="shared" si="787"/>
        <v>0</v>
      </c>
      <c r="AH177" s="1045">
        <f t="shared" si="787"/>
        <v>-5</v>
      </c>
      <c r="AI177" s="1059">
        <f t="shared" si="787"/>
        <v>-5</v>
      </c>
      <c r="AJ177" s="1058">
        <f t="shared" si="787"/>
        <v>-2</v>
      </c>
      <c r="AK177" s="1045">
        <f t="shared" si="787"/>
        <v>-8</v>
      </c>
      <c r="AL177" s="1045">
        <f t="shared" si="787"/>
        <v>-123</v>
      </c>
      <c r="AM177" s="1059">
        <f t="shared" si="787"/>
        <v>84</v>
      </c>
      <c r="AN177" s="1058">
        <f t="shared" si="787"/>
        <v>-22</v>
      </c>
      <c r="AO177" s="1045">
        <f t="shared" si="787"/>
        <v>-15</v>
      </c>
      <c r="AP177" s="1045">
        <f t="shared" si="787"/>
        <v>-15</v>
      </c>
      <c r="AQ177" s="1059">
        <f t="shared" si="787"/>
        <v>-28</v>
      </c>
      <c r="AR177" s="1058">
        <f t="shared" ref="AR177:AU177" si="788">AR88</f>
        <v>-18</v>
      </c>
      <c r="AS177" s="1045">
        <f t="shared" si="788"/>
        <v>-152</v>
      </c>
      <c r="AT177" s="1045">
        <f t="shared" si="788"/>
        <v>-178</v>
      </c>
      <c r="AU177" s="1059">
        <f t="shared" si="788"/>
        <v>768</v>
      </c>
      <c r="AV177" s="1058">
        <f t="shared" ref="AV177" si="789">AV88</f>
        <v>-67</v>
      </c>
      <c r="AW177" s="1045">
        <f t="shared" si="787"/>
        <v>-181</v>
      </c>
      <c r="AX177" s="1045">
        <f t="shared" si="787"/>
        <v>-49</v>
      </c>
      <c r="AY177" s="1059">
        <f t="shared" si="787"/>
        <v>-10</v>
      </c>
      <c r="AZ177" s="1058">
        <f t="shared" si="787"/>
        <v>-5896</v>
      </c>
      <c r="BA177" s="1045">
        <f t="shared" si="787"/>
        <v>0</v>
      </c>
      <c r="BB177" s="1045">
        <f t="shared" si="787"/>
        <v>0</v>
      </c>
      <c r="BC177" s="1059">
        <f t="shared" si="787"/>
        <v>0</v>
      </c>
      <c r="BD177" s="1058">
        <f t="shared" ref="BD177:BG177" si="790">BD88</f>
        <v>0</v>
      </c>
      <c r="BE177" s="1045">
        <f t="shared" si="790"/>
        <v>0</v>
      </c>
      <c r="BF177" s="1045">
        <f t="shared" si="790"/>
        <v>0</v>
      </c>
      <c r="BG177" s="1059">
        <f t="shared" si="790"/>
        <v>0</v>
      </c>
      <c r="BH177" s="1058">
        <f t="shared" ref="BH177:BK177" si="791">BH88</f>
        <v>0</v>
      </c>
      <c r="BI177" s="1045">
        <f t="shared" si="791"/>
        <v>0</v>
      </c>
      <c r="BJ177" s="1045">
        <f t="shared" si="791"/>
        <v>0</v>
      </c>
      <c r="BK177" s="1059">
        <f t="shared" si="791"/>
        <v>0</v>
      </c>
      <c r="BL177" s="19"/>
      <c r="BM177" s="1058">
        <f>SUM(D177:G177)</f>
        <v>0</v>
      </c>
      <c r="BN177" s="1045">
        <f>SUM(H177:K177)</f>
        <v>0</v>
      </c>
      <c r="BO177" s="1045">
        <f>SUM(L177:O177)</f>
        <v>0</v>
      </c>
      <c r="BP177" s="1045">
        <f>SUM(P177:S177)</f>
        <v>0</v>
      </c>
      <c r="BQ177" s="1045">
        <f>SUM(T177:W177)</f>
        <v>0</v>
      </c>
      <c r="BR177" s="1045">
        <f>SUM(X177:AA177)</f>
        <v>0</v>
      </c>
      <c r="BS177" s="1045">
        <f>SUM(AB177:AE177)</f>
        <v>0</v>
      </c>
      <c r="BT177" s="1059">
        <f>SUM(AF177:AI177)</f>
        <v>-10</v>
      </c>
      <c r="BU177" s="1045">
        <f>SUM(AJ177:AM177)</f>
        <v>-49</v>
      </c>
      <c r="BV177" s="1045">
        <f>SUM(AN177:AQ177)</f>
        <v>-80</v>
      </c>
      <c r="BW177" s="1045">
        <f>SUM(AR177:AU177)</f>
        <v>420</v>
      </c>
      <c r="BX177" s="1045">
        <f>SUM(AV177:AY177)</f>
        <v>-307</v>
      </c>
      <c r="BY177" s="1045">
        <f t="shared" si="775"/>
        <v>-5896</v>
      </c>
      <c r="BZ177" s="1045">
        <f t="shared" si="776"/>
        <v>0</v>
      </c>
      <c r="CA177" s="1059">
        <f t="shared" si="776"/>
        <v>0</v>
      </c>
      <c r="CB177" s="19"/>
      <c r="CC177" s="1058">
        <f>SUM(E177:H177)</f>
        <v>0</v>
      </c>
      <c r="CD177" s="1045">
        <f>SUM(I177:L177)</f>
        <v>0</v>
      </c>
      <c r="CE177" s="1045">
        <f>SUM(M177:P177)</f>
        <v>0</v>
      </c>
      <c r="CF177" s="1045">
        <f>SUM(Q177:T177)</f>
        <v>0</v>
      </c>
      <c r="CG177" s="1045">
        <f>SUM(U177:X177)</f>
        <v>0</v>
      </c>
      <c r="CH177" s="1045">
        <f>SUM(Y177:AB177)</f>
        <v>0</v>
      </c>
      <c r="CI177" s="1045">
        <f>SUM(AC177:AF177)</f>
        <v>0</v>
      </c>
      <c r="CJ177" s="1045">
        <f>SUM(AG177:AJ177)</f>
        <v>-12</v>
      </c>
      <c r="CK177" s="1045">
        <f>SUM(AK177:AN177)</f>
        <v>-69</v>
      </c>
      <c r="CL177" s="1045">
        <f>SUM(AO177:AR177)</f>
        <v>-76</v>
      </c>
      <c r="CM177" s="1045">
        <f>SUM(AS177:AV177)</f>
        <v>371</v>
      </c>
      <c r="CN177" s="1045">
        <f>SUM(AW177:AZ177)</f>
        <v>-6136</v>
      </c>
      <c r="CO177" s="1045">
        <f>SUM(BA177:BD177)</f>
        <v>0</v>
      </c>
      <c r="CP177" s="1059">
        <f>SUM(BE177:BH177)</f>
        <v>0</v>
      </c>
      <c r="CQ177" s="7"/>
      <c r="CX177" s="7"/>
    </row>
    <row r="178" spans="1:102" ht="14.25" customHeight="1">
      <c r="A178" s="7"/>
      <c r="B178" s="550" t="s">
        <v>260</v>
      </c>
      <c r="C178" s="391"/>
      <c r="D178" s="1060">
        <f>+SUM(D174:D177)</f>
        <v>-63</v>
      </c>
      <c r="E178" s="1054">
        <f>+SUM(E174:E177)</f>
        <v>-5</v>
      </c>
      <c r="F178" s="1054">
        <f>+SUM(F174:F177)</f>
        <v>3</v>
      </c>
      <c r="G178" s="1061">
        <f>+SUM(G174:G177)</f>
        <v>-46</v>
      </c>
      <c r="H178" s="1060">
        <f t="shared" ref="H178:BC178" si="792">+SUM(H174:H177)</f>
        <v>98</v>
      </c>
      <c r="I178" s="1054">
        <f t="shared" si="792"/>
        <v>40</v>
      </c>
      <c r="J178" s="1054">
        <f t="shared" si="792"/>
        <v>25</v>
      </c>
      <c r="K178" s="1061">
        <f t="shared" si="792"/>
        <v>37</v>
      </c>
      <c r="L178" s="1060">
        <f t="shared" si="792"/>
        <v>37</v>
      </c>
      <c r="M178" s="1054">
        <f t="shared" si="792"/>
        <v>39</v>
      </c>
      <c r="N178" s="1054">
        <f t="shared" si="792"/>
        <v>95</v>
      </c>
      <c r="O178" s="1061">
        <f t="shared" si="792"/>
        <v>35</v>
      </c>
      <c r="P178" s="1060">
        <f t="shared" si="792"/>
        <v>38</v>
      </c>
      <c r="Q178" s="1054">
        <f t="shared" si="792"/>
        <v>-6</v>
      </c>
      <c r="R178" s="1054">
        <f t="shared" si="792"/>
        <v>37</v>
      </c>
      <c r="S178" s="1061">
        <f t="shared" si="792"/>
        <v>58</v>
      </c>
      <c r="T178" s="1060">
        <f t="shared" si="792"/>
        <v>59</v>
      </c>
      <c r="U178" s="1054">
        <f t="shared" si="792"/>
        <v>111</v>
      </c>
      <c r="V178" s="1054">
        <f t="shared" si="792"/>
        <v>145</v>
      </c>
      <c r="W178" s="1061">
        <f t="shared" si="792"/>
        <v>183</v>
      </c>
      <c r="X178" s="1060">
        <f t="shared" si="792"/>
        <v>139</v>
      </c>
      <c r="Y178" s="1054">
        <f t="shared" si="792"/>
        <v>155</v>
      </c>
      <c r="Z178" s="1054">
        <f t="shared" si="792"/>
        <v>165</v>
      </c>
      <c r="AA178" s="1061">
        <f t="shared" si="792"/>
        <v>175</v>
      </c>
      <c r="AB178" s="1060">
        <f t="shared" si="792"/>
        <v>145</v>
      </c>
      <c r="AC178" s="1054">
        <f t="shared" si="792"/>
        <v>155</v>
      </c>
      <c r="AD178" s="1054">
        <f t="shared" si="792"/>
        <v>167</v>
      </c>
      <c r="AE178" s="1061">
        <f t="shared" si="792"/>
        <v>180</v>
      </c>
      <c r="AF178" s="1060">
        <f t="shared" si="792"/>
        <v>145</v>
      </c>
      <c r="AG178" s="1054">
        <f t="shared" si="792"/>
        <v>136</v>
      </c>
      <c r="AH178" s="1054">
        <f t="shared" si="792"/>
        <v>168</v>
      </c>
      <c r="AI178" s="1061">
        <f t="shared" si="792"/>
        <v>204</v>
      </c>
      <c r="AJ178" s="1060">
        <f t="shared" si="792"/>
        <v>193</v>
      </c>
      <c r="AK178" s="1054">
        <f t="shared" si="792"/>
        <v>193</v>
      </c>
      <c r="AL178" s="1054">
        <f>+SUM(AL174:AL177)</f>
        <v>253</v>
      </c>
      <c r="AM178" s="1061">
        <f t="shared" si="792"/>
        <v>505</v>
      </c>
      <c r="AN178" s="1060">
        <f t="shared" si="792"/>
        <v>560</v>
      </c>
      <c r="AO178" s="1054">
        <f t="shared" si="792"/>
        <v>577</v>
      </c>
      <c r="AP178" s="1054">
        <f>+SUM(AP174:AP177)</f>
        <v>593</v>
      </c>
      <c r="AQ178" s="1061">
        <f t="shared" ref="AQ178:AS178" si="793">+SUM(AQ174:AQ177)</f>
        <v>633</v>
      </c>
      <c r="AR178" s="1060">
        <f t="shared" si="793"/>
        <v>653</v>
      </c>
      <c r="AS178" s="1054">
        <f t="shared" si="793"/>
        <v>905</v>
      </c>
      <c r="AT178" s="1054">
        <f>+SUM(AT174:AT177)</f>
        <v>1068</v>
      </c>
      <c r="AU178" s="1061">
        <f t="shared" ref="AU178:AV178" si="794">+SUM(AU174:AU177)</f>
        <v>1230</v>
      </c>
      <c r="AV178" s="1060">
        <f t="shared" si="794"/>
        <v>1262</v>
      </c>
      <c r="AW178" s="1054">
        <f t="shared" si="792"/>
        <v>1446</v>
      </c>
      <c r="AX178" s="1054">
        <f>+SUM(AX174:AX177)</f>
        <v>1618</v>
      </c>
      <c r="AY178" s="1061">
        <f t="shared" si="792"/>
        <v>1844</v>
      </c>
      <c r="AZ178" s="1060">
        <f t="shared" si="792"/>
        <v>2031</v>
      </c>
      <c r="BA178" s="1054">
        <f t="shared" si="792"/>
        <v>1896.6153533135807</v>
      </c>
      <c r="BB178" s="1054">
        <f t="shared" si="792"/>
        <v>1848.1184917577787</v>
      </c>
      <c r="BC178" s="1061">
        <f t="shared" si="792"/>
        <v>2021.786526640991</v>
      </c>
      <c r="BD178" s="1060">
        <f t="shared" ref="BD178:BG178" si="795">+SUM(BD174:BD177)</f>
        <v>1913.4942838625732</v>
      </c>
      <c r="BE178" s="1054">
        <f t="shared" si="795"/>
        <v>1850.6045130446073</v>
      </c>
      <c r="BF178" s="1054">
        <f t="shared" si="795"/>
        <v>2015.1851842406372</v>
      </c>
      <c r="BG178" s="1061">
        <f t="shared" si="795"/>
        <v>2285.2553740406579</v>
      </c>
      <c r="BH178" s="1060">
        <f t="shared" ref="BH178:BK178" si="796">+SUM(BH174:BH177)</f>
        <v>2167.5588625385913</v>
      </c>
      <c r="BI178" s="1054">
        <f t="shared" si="796"/>
        <v>2023.3260857020966</v>
      </c>
      <c r="BJ178" s="1054">
        <f t="shared" si="796"/>
        <v>2135.0214538037349</v>
      </c>
      <c r="BK178" s="1061">
        <f t="shared" si="796"/>
        <v>2304.1772716854175</v>
      </c>
      <c r="BL178" s="19"/>
      <c r="BM178" s="575">
        <f t="shared" ref="BM178:BV178" si="797">+SUM(BM174:BM177)</f>
        <v>-111</v>
      </c>
      <c r="BN178" s="557">
        <f t="shared" si="797"/>
        <v>200</v>
      </c>
      <c r="BO178" s="557">
        <f t="shared" si="797"/>
        <v>206</v>
      </c>
      <c r="BP178" s="557">
        <f t="shared" si="797"/>
        <v>127</v>
      </c>
      <c r="BQ178" s="557">
        <f t="shared" si="797"/>
        <v>498</v>
      </c>
      <c r="BR178" s="557">
        <f t="shared" si="797"/>
        <v>634</v>
      </c>
      <c r="BS178" s="557">
        <f t="shared" si="797"/>
        <v>647</v>
      </c>
      <c r="BT178" s="576">
        <f t="shared" si="797"/>
        <v>653</v>
      </c>
      <c r="BU178" s="557">
        <f t="shared" si="797"/>
        <v>1144</v>
      </c>
      <c r="BV178" s="557">
        <f t="shared" si="797"/>
        <v>2363</v>
      </c>
      <c r="BW178" s="557">
        <f>+SUM(BW174:BW177)</f>
        <v>3856</v>
      </c>
      <c r="BX178" s="557">
        <f>+SUM(BX174:BX177)</f>
        <v>6170</v>
      </c>
      <c r="BY178" s="557">
        <f>+SUM(BY174:BY177)</f>
        <v>7797.5203717123513</v>
      </c>
      <c r="BZ178" s="557">
        <f>+SUM(BZ174:BZ177)</f>
        <v>8064.5393551884754</v>
      </c>
      <c r="CA178" s="576">
        <f>+SUM(CA174:CA177)</f>
        <v>8318.6039338644932</v>
      </c>
      <c r="CB178" s="19"/>
      <c r="CC178" s="1060">
        <f t="shared" ref="CC178:CJ178" si="798">+SUM(CC174:CC177)</f>
        <v>50</v>
      </c>
      <c r="CD178" s="1054">
        <f t="shared" si="798"/>
        <v>139</v>
      </c>
      <c r="CE178" s="1054">
        <f t="shared" si="798"/>
        <v>207</v>
      </c>
      <c r="CF178" s="1054">
        <f t="shared" si="798"/>
        <v>148</v>
      </c>
      <c r="CG178" s="1054">
        <f t="shared" si="798"/>
        <v>578</v>
      </c>
      <c r="CH178" s="1054">
        <f t="shared" si="798"/>
        <v>640</v>
      </c>
      <c r="CI178" s="1054">
        <f t="shared" si="798"/>
        <v>647</v>
      </c>
      <c r="CJ178" s="1054">
        <f t="shared" si="798"/>
        <v>701</v>
      </c>
      <c r="CK178" s="1054">
        <f t="shared" ref="CK178:CP178" si="799">+SUM(CK174:CK177)</f>
        <v>1511</v>
      </c>
      <c r="CL178" s="1054">
        <f t="shared" si="799"/>
        <v>2456</v>
      </c>
      <c r="CM178" s="1054">
        <f t="shared" si="799"/>
        <v>4465</v>
      </c>
      <c r="CN178" s="1054">
        <f t="shared" si="799"/>
        <v>6939</v>
      </c>
      <c r="CO178" s="1054">
        <f t="shared" si="799"/>
        <v>7680.0146555749234</v>
      </c>
      <c r="CP178" s="1061">
        <f t="shared" si="799"/>
        <v>8318.6039338644932</v>
      </c>
      <c r="CQ178" s="7"/>
      <c r="CX178" s="7"/>
    </row>
    <row r="179" spans="1:102" ht="14.25" hidden="1" customHeight="1" outlineLevel="1">
      <c r="A179" s="7"/>
      <c r="B179" s="551" t="s">
        <v>119</v>
      </c>
      <c r="C179" s="397"/>
      <c r="D179" s="1032">
        <f>+D178-D174</f>
        <v>39</v>
      </c>
      <c r="E179" s="1031">
        <f>+E178-E174</f>
        <v>43</v>
      </c>
      <c r="F179" s="1031">
        <f>+F178-F174</f>
        <v>26</v>
      </c>
      <c r="G179" s="1023">
        <f>+G178-G174</f>
        <v>32</v>
      </c>
      <c r="H179" s="1032">
        <f t="shared" ref="H179:BC179" si="800">+H178-H174</f>
        <v>92</v>
      </c>
      <c r="I179" s="1031">
        <f t="shared" si="800"/>
        <v>36</v>
      </c>
      <c r="J179" s="1031">
        <f t="shared" si="800"/>
        <v>192</v>
      </c>
      <c r="K179" s="1023">
        <f t="shared" si="800"/>
        <v>39</v>
      </c>
      <c r="L179" s="1032">
        <f t="shared" si="800"/>
        <v>33</v>
      </c>
      <c r="M179" s="1031">
        <f t="shared" si="800"/>
        <v>22</v>
      </c>
      <c r="N179" s="1031">
        <f t="shared" si="800"/>
        <v>51</v>
      </c>
      <c r="O179" s="1023">
        <f t="shared" si="800"/>
        <v>17</v>
      </c>
      <c r="P179" s="1032">
        <f t="shared" si="800"/>
        <v>32</v>
      </c>
      <c r="Q179" s="1031">
        <f t="shared" si="800"/>
        <v>25</v>
      </c>
      <c r="R179" s="1031">
        <f t="shared" si="800"/>
        <v>35</v>
      </c>
      <c r="S179" s="1023">
        <f t="shared" si="800"/>
        <v>79</v>
      </c>
      <c r="T179" s="1032">
        <f t="shared" si="800"/>
        <v>21</v>
      </c>
      <c r="U179" s="1031">
        <f t="shared" si="800"/>
        <v>21</v>
      </c>
      <c r="V179" s="1031">
        <f t="shared" si="800"/>
        <v>22</v>
      </c>
      <c r="W179" s="1023">
        <f t="shared" si="800"/>
        <v>19</v>
      </c>
      <c r="X179" s="1032">
        <f t="shared" si="800"/>
        <v>20</v>
      </c>
      <c r="Y179" s="1031">
        <f t="shared" si="800"/>
        <v>20</v>
      </c>
      <c r="Z179" s="1031">
        <f t="shared" si="800"/>
        <v>21</v>
      </c>
      <c r="AA179" s="1023">
        <f t="shared" si="800"/>
        <v>21</v>
      </c>
      <c r="AB179" s="1032">
        <f t="shared" si="800"/>
        <v>20</v>
      </c>
      <c r="AC179" s="1031">
        <f t="shared" si="800"/>
        <v>21</v>
      </c>
      <c r="AD179" s="1031">
        <f t="shared" si="800"/>
        <v>22</v>
      </c>
      <c r="AE179" s="1023">
        <f t="shared" si="800"/>
        <v>21</v>
      </c>
      <c r="AF179" s="1032">
        <f t="shared" si="800"/>
        <v>20</v>
      </c>
      <c r="AG179" s="1031">
        <f t="shared" si="800"/>
        <v>23</v>
      </c>
      <c r="AH179" s="1031">
        <f t="shared" si="800"/>
        <v>26</v>
      </c>
      <c r="AI179" s="1023">
        <f t="shared" si="800"/>
        <v>32</v>
      </c>
      <c r="AJ179" s="1032">
        <f t="shared" si="800"/>
        <v>59</v>
      </c>
      <c r="AK179" s="1031">
        <f t="shared" si="800"/>
        <v>35</v>
      </c>
      <c r="AL179" s="1031">
        <f>+AL178-AL174</f>
        <v>417</v>
      </c>
      <c r="AM179" s="1023">
        <f t="shared" si="800"/>
        <v>370</v>
      </c>
      <c r="AN179" s="1032">
        <f t="shared" si="800"/>
        <v>209</v>
      </c>
      <c r="AO179" s="1031">
        <f t="shared" si="800"/>
        <v>233</v>
      </c>
      <c r="AP179" s="1031">
        <f>+AP178-AP174</f>
        <v>353</v>
      </c>
      <c r="AQ179" s="1023">
        <f t="shared" ref="AQ179:AS179" si="801">+AQ178-AQ174</f>
        <v>204</v>
      </c>
      <c r="AR179" s="1032">
        <f t="shared" si="801"/>
        <v>276</v>
      </c>
      <c r="AS179" s="1031">
        <f t="shared" si="801"/>
        <v>2160</v>
      </c>
      <c r="AT179" s="1150">
        <f>+AT178-AT174</f>
        <v>1383</v>
      </c>
      <c r="AU179" s="1023">
        <f t="shared" ref="AU179:AV179" si="802">+AU178-AU174</f>
        <v>1898</v>
      </c>
      <c r="AV179" s="1032">
        <f t="shared" si="802"/>
        <v>1010</v>
      </c>
      <c r="AW179" s="1150">
        <f t="shared" si="800"/>
        <v>982</v>
      </c>
      <c r="AX179" s="1031">
        <f>+AX178-AX174</f>
        <v>1111</v>
      </c>
      <c r="AY179" s="1023">
        <f t="shared" si="800"/>
        <v>1173</v>
      </c>
      <c r="AZ179" s="1032">
        <f t="shared" si="800"/>
        <v>-4535</v>
      </c>
      <c r="BA179" s="1031">
        <f t="shared" si="800"/>
        <v>0</v>
      </c>
      <c r="BB179" s="1031">
        <f t="shared" si="800"/>
        <v>0</v>
      </c>
      <c r="BC179" s="1023">
        <f t="shared" si="800"/>
        <v>0</v>
      </c>
      <c r="BD179" s="1032">
        <f t="shared" ref="BD179:BG179" si="803">+BD178-BD174</f>
        <v>0</v>
      </c>
      <c r="BE179" s="1150">
        <f t="shared" si="803"/>
        <v>0</v>
      </c>
      <c r="BF179" s="1150">
        <f t="shared" si="803"/>
        <v>0</v>
      </c>
      <c r="BG179" s="1023">
        <f t="shared" si="803"/>
        <v>0</v>
      </c>
      <c r="BH179" s="1032">
        <f t="shared" ref="BH179:BK179" si="804">+BH178-BH174</f>
        <v>0</v>
      </c>
      <c r="BI179" s="1150">
        <f t="shared" si="804"/>
        <v>0</v>
      </c>
      <c r="BJ179" s="1150">
        <f t="shared" si="804"/>
        <v>0</v>
      </c>
      <c r="BK179" s="1023">
        <f t="shared" si="804"/>
        <v>0</v>
      </c>
      <c r="BL179" s="19"/>
      <c r="BM179" s="1032">
        <f>SUM(D179:G179)</f>
        <v>140</v>
      </c>
      <c r="BN179" s="1031">
        <f>SUM(H179:K179)</f>
        <v>359</v>
      </c>
      <c r="BO179" s="1031">
        <f>SUM(L179:O179)</f>
        <v>123</v>
      </c>
      <c r="BP179" s="1031">
        <f>SUM(P179:S179)</f>
        <v>171</v>
      </c>
      <c r="BQ179" s="1031">
        <f>SUM(T179:W179)</f>
        <v>83</v>
      </c>
      <c r="BR179" s="1031">
        <f>SUM(X179:AA179)</f>
        <v>82</v>
      </c>
      <c r="BS179" s="1031">
        <f>SUM(AB179:AE179)</f>
        <v>84</v>
      </c>
      <c r="BT179" s="1023">
        <f>SUM(AF179:AI179)</f>
        <v>101</v>
      </c>
      <c r="BU179" s="1031">
        <f>SUM(AJ179:AM179)</f>
        <v>881</v>
      </c>
      <c r="BV179" s="1031">
        <f>SUM(AN179:AQ179)</f>
        <v>999</v>
      </c>
      <c r="BW179" s="1031">
        <f>SUM(AR179:AU179)</f>
        <v>5717</v>
      </c>
      <c r="BX179" s="1031">
        <f>SUM(AV179:AY179)</f>
        <v>4276</v>
      </c>
      <c r="BY179" s="1150">
        <f>SUM(AZ179:BC179)</f>
        <v>-4535</v>
      </c>
      <c r="BZ179" s="1150">
        <f>SUM(BD179:BG179)</f>
        <v>0</v>
      </c>
      <c r="CA179" s="1023">
        <f>SUM(BE179:BH179)</f>
        <v>0</v>
      </c>
      <c r="CB179" s="19"/>
      <c r="CC179" s="1032">
        <f>SUM(E179:H179)</f>
        <v>193</v>
      </c>
      <c r="CD179" s="1031">
        <f>SUM(I179:L179)</f>
        <v>300</v>
      </c>
      <c r="CE179" s="1031">
        <f>SUM(M179:P179)</f>
        <v>122</v>
      </c>
      <c r="CF179" s="1031">
        <f>SUM(Q179:T179)</f>
        <v>160</v>
      </c>
      <c r="CG179" s="1031">
        <f>SUM(U179:X179)</f>
        <v>82</v>
      </c>
      <c r="CH179" s="1031">
        <f>SUM(Y179:AB179)</f>
        <v>82</v>
      </c>
      <c r="CI179" s="1031">
        <f>SUM(AC179:AF179)</f>
        <v>84</v>
      </c>
      <c r="CJ179" s="1031">
        <f>SUM(AG179:AJ179)</f>
        <v>140</v>
      </c>
      <c r="CK179" s="1031">
        <f>SUM(AK179:AN179)</f>
        <v>1031</v>
      </c>
      <c r="CL179" s="1031">
        <f>SUM(AO179:AR179)</f>
        <v>1066</v>
      </c>
      <c r="CM179" s="1031">
        <f>SUM(AS179:AV179)</f>
        <v>6451</v>
      </c>
      <c r="CN179" s="1150">
        <f>SUM(AW179:AZ179)</f>
        <v>-1269</v>
      </c>
      <c r="CO179" s="1150">
        <f>SUM(BA179:BD179)</f>
        <v>0</v>
      </c>
      <c r="CP179" s="1023">
        <f>SUM(BE179:BH179)</f>
        <v>0</v>
      </c>
      <c r="CQ179" s="7"/>
      <c r="CX179" s="7"/>
    </row>
    <row r="180" spans="1:102" ht="14.25" customHeight="1" collapsed="1">
      <c r="A180" s="7"/>
      <c r="B180" s="552"/>
      <c r="C180" s="13"/>
      <c r="D180" s="563"/>
      <c r="E180" s="564"/>
      <c r="F180" s="564"/>
      <c r="G180" s="565"/>
      <c r="H180" s="563"/>
      <c r="I180" s="564"/>
      <c r="J180" s="564"/>
      <c r="K180" s="565"/>
      <c r="L180" s="563"/>
      <c r="M180" s="564"/>
      <c r="N180" s="564"/>
      <c r="O180" s="565"/>
      <c r="P180" s="563"/>
      <c r="Q180" s="564"/>
      <c r="R180" s="564"/>
      <c r="S180" s="565"/>
      <c r="T180" s="563"/>
      <c r="U180" s="564"/>
      <c r="V180" s="564"/>
      <c r="W180" s="565"/>
      <c r="X180" s="563"/>
      <c r="Y180" s="564"/>
      <c r="Z180" s="564"/>
      <c r="AA180" s="565"/>
      <c r="AB180" s="563"/>
      <c r="AC180" s="564"/>
      <c r="AD180" s="564"/>
      <c r="AE180" s="565"/>
      <c r="AF180" s="563"/>
      <c r="AG180" s="564"/>
      <c r="AH180" s="564"/>
      <c r="AI180" s="565"/>
      <c r="AJ180" s="563"/>
      <c r="AK180" s="564"/>
      <c r="AL180" s="564"/>
      <c r="AM180" s="565"/>
      <c r="AN180" s="563"/>
      <c r="AO180" s="564"/>
      <c r="AP180" s="564"/>
      <c r="AQ180" s="565"/>
      <c r="AR180" s="563"/>
      <c r="AS180" s="564"/>
      <c r="AT180" s="564"/>
      <c r="AU180" s="565"/>
      <c r="AV180" s="563"/>
      <c r="AW180" s="564"/>
      <c r="AX180" s="564"/>
      <c r="AY180" s="565"/>
      <c r="AZ180" s="563"/>
      <c r="BA180" s="564"/>
      <c r="BB180" s="564"/>
      <c r="BC180" s="565"/>
      <c r="BD180" s="563"/>
      <c r="BE180" s="564"/>
      <c r="BF180" s="564"/>
      <c r="BG180" s="565"/>
      <c r="BH180" s="563"/>
      <c r="BI180" s="564"/>
      <c r="BJ180" s="564"/>
      <c r="BK180" s="565"/>
      <c r="BL180" s="19"/>
      <c r="BM180" s="577"/>
      <c r="BN180" s="578"/>
      <c r="BO180" s="578"/>
      <c r="BP180" s="578"/>
      <c r="BQ180" s="578"/>
      <c r="BR180" s="578"/>
      <c r="BS180" s="578"/>
      <c r="BT180" s="579"/>
      <c r="BU180" s="578"/>
      <c r="BV180" s="578"/>
      <c r="BW180" s="578"/>
      <c r="BX180" s="578"/>
      <c r="BY180" s="578"/>
      <c r="BZ180" s="578"/>
      <c r="CA180" s="579"/>
      <c r="CB180" s="19"/>
      <c r="CC180" s="577"/>
      <c r="CD180" s="578"/>
      <c r="CE180" s="578"/>
      <c r="CF180" s="578"/>
      <c r="CG180" s="578"/>
      <c r="CH180" s="578"/>
      <c r="CI180" s="578"/>
      <c r="CJ180" s="578"/>
      <c r="CK180" s="578"/>
      <c r="CL180" s="578"/>
      <c r="CM180" s="578"/>
      <c r="CN180" s="578"/>
      <c r="CO180" s="578"/>
      <c r="CP180" s="579"/>
      <c r="CQ180" s="7"/>
      <c r="CX180" s="7"/>
    </row>
    <row r="181" spans="1:102" ht="14.25" customHeight="1">
      <c r="A181" s="7"/>
      <c r="B181" s="766" t="s">
        <v>381</v>
      </c>
      <c r="C181" s="13"/>
      <c r="D181" s="563"/>
      <c r="E181" s="564"/>
      <c r="F181" s="564"/>
      <c r="G181" s="565"/>
      <c r="H181" s="563"/>
      <c r="I181" s="564"/>
      <c r="J181" s="564"/>
      <c r="K181" s="565"/>
      <c r="L181" s="563"/>
      <c r="M181" s="564"/>
      <c r="N181" s="564"/>
      <c r="O181" s="565"/>
      <c r="P181" s="563"/>
      <c r="Q181" s="564"/>
      <c r="R181" s="564"/>
      <c r="S181" s="565"/>
      <c r="T181" s="563"/>
      <c r="U181" s="564"/>
      <c r="V181" s="564"/>
      <c r="W181" s="565"/>
      <c r="X181" s="563"/>
      <c r="Y181" s="564"/>
      <c r="Z181" s="564"/>
      <c r="AA181" s="565"/>
      <c r="AB181" s="563"/>
      <c r="AC181" s="564"/>
      <c r="AD181" s="564"/>
      <c r="AE181" s="565"/>
      <c r="AF181" s="563"/>
      <c r="AG181" s="564"/>
      <c r="AH181" s="564"/>
      <c r="AI181" s="565"/>
      <c r="AJ181" s="563"/>
      <c r="AK181" s="564"/>
      <c r="AL181" s="564"/>
      <c r="AM181" s="565"/>
      <c r="AN181" s="563"/>
      <c r="AO181" s="564"/>
      <c r="AP181" s="564"/>
      <c r="AQ181" s="565"/>
      <c r="AR181" s="563"/>
      <c r="AS181" s="564"/>
      <c r="AT181" s="564"/>
      <c r="AU181" s="565"/>
      <c r="AV181" s="563"/>
      <c r="AW181" s="564"/>
      <c r="AX181" s="564"/>
      <c r="AY181" s="565"/>
      <c r="AZ181" s="563"/>
      <c r="BA181" s="564"/>
      <c r="BB181" s="564"/>
      <c r="BC181" s="565"/>
      <c r="BD181" s="563"/>
      <c r="BE181" s="564"/>
      <c r="BF181" s="564"/>
      <c r="BG181" s="565"/>
      <c r="BH181" s="563"/>
      <c r="BI181" s="564"/>
      <c r="BJ181" s="564"/>
      <c r="BK181" s="565"/>
      <c r="BL181" s="19"/>
      <c r="BM181" s="577"/>
      <c r="BN181" s="578"/>
      <c r="BO181" s="578"/>
      <c r="BP181" s="578"/>
      <c r="BQ181" s="578"/>
      <c r="BR181" s="578"/>
      <c r="BS181" s="578"/>
      <c r="BT181" s="579"/>
      <c r="BU181" s="578"/>
      <c r="BV181" s="578"/>
      <c r="BW181" s="578"/>
      <c r="BX181" s="578"/>
      <c r="BY181" s="578"/>
      <c r="BZ181" s="578"/>
      <c r="CA181" s="579"/>
      <c r="CB181" s="19"/>
      <c r="CC181" s="577"/>
      <c r="CD181" s="578"/>
      <c r="CE181" s="578"/>
      <c r="CF181" s="578"/>
      <c r="CG181" s="578"/>
      <c r="CH181" s="578"/>
      <c r="CI181" s="578"/>
      <c r="CJ181" s="578"/>
      <c r="CK181" s="578"/>
      <c r="CL181" s="578"/>
      <c r="CM181" s="578"/>
      <c r="CN181" s="578"/>
      <c r="CO181" s="578"/>
      <c r="CP181" s="579"/>
      <c r="CQ181" s="7"/>
      <c r="CX181" s="7"/>
    </row>
    <row r="182" spans="1:102" ht="14.25" customHeight="1">
      <c r="A182" s="7"/>
      <c r="B182" s="1048" t="s">
        <v>105</v>
      </c>
      <c r="C182" s="1024"/>
      <c r="D182" s="1032">
        <f t="shared" ref="D182:BC182" si="805">D92</f>
        <v>-102</v>
      </c>
      <c r="E182" s="1031">
        <f t="shared" si="805"/>
        <v>-48</v>
      </c>
      <c r="F182" s="1031">
        <f t="shared" si="805"/>
        <v>-23</v>
      </c>
      <c r="G182" s="1023">
        <f t="shared" si="805"/>
        <v>-78</v>
      </c>
      <c r="H182" s="1032">
        <f t="shared" si="805"/>
        <v>6</v>
      </c>
      <c r="I182" s="1031">
        <f t="shared" si="805"/>
        <v>4</v>
      </c>
      <c r="J182" s="1031">
        <f t="shared" si="805"/>
        <v>-167</v>
      </c>
      <c r="K182" s="1023">
        <f t="shared" si="805"/>
        <v>-2</v>
      </c>
      <c r="L182" s="1032">
        <f t="shared" si="805"/>
        <v>4</v>
      </c>
      <c r="M182" s="1031">
        <f t="shared" si="805"/>
        <v>17</v>
      </c>
      <c r="N182" s="1031">
        <f t="shared" si="805"/>
        <v>44</v>
      </c>
      <c r="O182" s="1023">
        <f t="shared" si="805"/>
        <v>18</v>
      </c>
      <c r="P182" s="1032">
        <f t="shared" si="805"/>
        <v>6</v>
      </c>
      <c r="Q182" s="1031">
        <f t="shared" si="805"/>
        <v>-31</v>
      </c>
      <c r="R182" s="1031">
        <f t="shared" si="805"/>
        <v>2</v>
      </c>
      <c r="S182" s="1023">
        <f t="shared" si="805"/>
        <v>-21</v>
      </c>
      <c r="T182" s="1032">
        <f t="shared" si="805"/>
        <v>38</v>
      </c>
      <c r="U182" s="1031">
        <f t="shared" si="805"/>
        <v>90</v>
      </c>
      <c r="V182" s="1031">
        <f t="shared" si="805"/>
        <v>123</v>
      </c>
      <c r="W182" s="1023">
        <f t="shared" si="805"/>
        <v>164</v>
      </c>
      <c r="X182" s="1032">
        <f t="shared" si="805"/>
        <v>119</v>
      </c>
      <c r="Y182" s="1031">
        <f t="shared" si="805"/>
        <v>135</v>
      </c>
      <c r="Z182" s="1031">
        <f t="shared" si="805"/>
        <v>144</v>
      </c>
      <c r="AA182" s="1023">
        <f t="shared" si="805"/>
        <v>154</v>
      </c>
      <c r="AB182" s="1032">
        <f t="shared" si="805"/>
        <v>125</v>
      </c>
      <c r="AC182" s="1031">
        <f t="shared" si="805"/>
        <v>134</v>
      </c>
      <c r="AD182" s="1031">
        <f t="shared" si="805"/>
        <v>145</v>
      </c>
      <c r="AE182" s="1023">
        <f t="shared" si="805"/>
        <v>159</v>
      </c>
      <c r="AF182" s="1032">
        <f t="shared" si="805"/>
        <v>125</v>
      </c>
      <c r="AG182" s="1031">
        <f t="shared" si="805"/>
        <v>113</v>
      </c>
      <c r="AH182" s="1031">
        <f t="shared" si="805"/>
        <v>142</v>
      </c>
      <c r="AI182" s="1023">
        <f t="shared" si="805"/>
        <v>172</v>
      </c>
      <c r="AJ182" s="1032">
        <f t="shared" si="805"/>
        <v>134</v>
      </c>
      <c r="AK182" s="1031">
        <f t="shared" si="805"/>
        <v>158</v>
      </c>
      <c r="AL182" s="1031">
        <f t="shared" si="805"/>
        <v>-164</v>
      </c>
      <c r="AM182" s="1023">
        <f t="shared" si="805"/>
        <v>135</v>
      </c>
      <c r="AN182" s="1032">
        <f t="shared" si="805"/>
        <v>351</v>
      </c>
      <c r="AO182" s="1031">
        <f t="shared" si="805"/>
        <v>344</v>
      </c>
      <c r="AP182" s="1031">
        <f t="shared" si="805"/>
        <v>240</v>
      </c>
      <c r="AQ182" s="1023">
        <f t="shared" si="805"/>
        <v>429</v>
      </c>
      <c r="AR182" s="1032">
        <f t="shared" ref="AR182:AU182" si="806">AR92</f>
        <v>377</v>
      </c>
      <c r="AS182" s="1031">
        <f t="shared" si="806"/>
        <v>-1255</v>
      </c>
      <c r="AT182" s="1150">
        <f t="shared" si="806"/>
        <v>-315</v>
      </c>
      <c r="AU182" s="1023">
        <f t="shared" si="806"/>
        <v>-668</v>
      </c>
      <c r="AV182" s="1032">
        <f t="shared" ref="AV182" si="807">AV92</f>
        <v>252</v>
      </c>
      <c r="AW182" s="1150">
        <f t="shared" si="805"/>
        <v>464</v>
      </c>
      <c r="AX182" s="1031">
        <f t="shared" si="805"/>
        <v>507</v>
      </c>
      <c r="AY182" s="1023">
        <f t="shared" si="805"/>
        <v>671</v>
      </c>
      <c r="AZ182" s="1032">
        <f t="shared" si="805"/>
        <v>6566</v>
      </c>
      <c r="BA182" s="1031">
        <f t="shared" si="805"/>
        <v>1896.6153533135807</v>
      </c>
      <c r="BB182" s="1031">
        <f t="shared" si="805"/>
        <v>1848.1184917577787</v>
      </c>
      <c r="BC182" s="1023">
        <f t="shared" si="805"/>
        <v>2021.786526640991</v>
      </c>
      <c r="BD182" s="1032">
        <f t="shared" ref="BD182:BG182" si="808">BD92</f>
        <v>1913.4942838625732</v>
      </c>
      <c r="BE182" s="1150">
        <f t="shared" si="808"/>
        <v>1850.6045130446073</v>
      </c>
      <c r="BF182" s="1150">
        <f t="shared" si="808"/>
        <v>2015.1851842406372</v>
      </c>
      <c r="BG182" s="1023">
        <f t="shared" si="808"/>
        <v>2285.2553740406579</v>
      </c>
      <c r="BH182" s="1032">
        <f t="shared" ref="BH182:BK182" si="809">BH92</f>
        <v>2167.5588625385913</v>
      </c>
      <c r="BI182" s="1150">
        <f t="shared" si="809"/>
        <v>2023.3260857020966</v>
      </c>
      <c r="BJ182" s="1150">
        <f t="shared" si="809"/>
        <v>2135.0214538037349</v>
      </c>
      <c r="BK182" s="1023">
        <f t="shared" si="809"/>
        <v>2304.1772716854175</v>
      </c>
      <c r="BL182" s="19"/>
      <c r="BM182" s="1032">
        <f>SUM(D182:G182)</f>
        <v>-251</v>
      </c>
      <c r="BN182" s="1031">
        <f>SUM(H182:K182)</f>
        <v>-159</v>
      </c>
      <c r="BO182" s="1031">
        <f>SUM(L182:O182)</f>
        <v>83</v>
      </c>
      <c r="BP182" s="1031">
        <f>SUM(P182:S182)</f>
        <v>-44</v>
      </c>
      <c r="BQ182" s="1031">
        <f>SUM(T182:W182)</f>
        <v>415</v>
      </c>
      <c r="BR182" s="1031">
        <f>SUM(X182:AA182)</f>
        <v>552</v>
      </c>
      <c r="BS182" s="1031">
        <f>SUM(AB182:AE182)</f>
        <v>563</v>
      </c>
      <c r="BT182" s="1023">
        <f>SUM(AF182:AI182)</f>
        <v>552</v>
      </c>
      <c r="BU182" s="1031">
        <f>SUM(AJ182:AM182)</f>
        <v>263</v>
      </c>
      <c r="BV182" s="1031">
        <f>SUM(AN182:AQ182)</f>
        <v>1364</v>
      </c>
      <c r="BW182" s="1031">
        <f>SUM(AR182:AU182)</f>
        <v>-1861</v>
      </c>
      <c r="BX182" s="1031">
        <f>SUM(AV182:AY182)</f>
        <v>1894</v>
      </c>
      <c r="BY182" s="1150">
        <f t="shared" ref="BY182:BY186" si="810">SUM(AZ182:BC182)</f>
        <v>12332.520371712351</v>
      </c>
      <c r="BZ182" s="1150">
        <f t="shared" ref="BZ182:CA186" si="811">SUM(BD182:BG182)</f>
        <v>8064.5393551884754</v>
      </c>
      <c r="CA182" s="1023">
        <f t="shared" si="811"/>
        <v>8318.6039338644932</v>
      </c>
      <c r="CB182" s="19"/>
      <c r="CC182" s="1032">
        <f>SUM(E182:H182)</f>
        <v>-143</v>
      </c>
      <c r="CD182" s="1031">
        <f>SUM(I182:L182)</f>
        <v>-161</v>
      </c>
      <c r="CE182" s="1031">
        <f>SUM(M182:P182)</f>
        <v>85</v>
      </c>
      <c r="CF182" s="1031">
        <f>SUM(Q182:T182)</f>
        <v>-12</v>
      </c>
      <c r="CG182" s="1031">
        <f>SUM(U182:X182)</f>
        <v>496</v>
      </c>
      <c r="CH182" s="1031">
        <f>SUM(Y182:AB182)</f>
        <v>558</v>
      </c>
      <c r="CI182" s="1031">
        <f>SUM(AC182:AF182)</f>
        <v>563</v>
      </c>
      <c r="CJ182" s="1031">
        <f>SUM(AG182:AJ182)</f>
        <v>561</v>
      </c>
      <c r="CK182" s="1031">
        <f>SUM(AK182:AN182)</f>
        <v>480</v>
      </c>
      <c r="CL182" s="1031">
        <f>SUM(AO182:AR182)</f>
        <v>1390</v>
      </c>
      <c r="CM182" s="1031">
        <f>SUM(AS182:AV182)</f>
        <v>-1986</v>
      </c>
      <c r="CN182" s="1150">
        <f>SUM(AW182:AZ182)</f>
        <v>8208</v>
      </c>
      <c r="CO182" s="1150">
        <f>SUM(BA182:BD182)</f>
        <v>7680.0146555749234</v>
      </c>
      <c r="CP182" s="1023">
        <f>SUM(BE182:BH182)</f>
        <v>8318.6039338644932</v>
      </c>
      <c r="CQ182" s="7"/>
      <c r="CX182" s="7"/>
    </row>
    <row r="183" spans="1:102" ht="14.25" customHeight="1">
      <c r="A183" s="7"/>
      <c r="B183" s="1048" t="s">
        <v>247</v>
      </c>
      <c r="C183" s="1024"/>
      <c r="D183" s="1032">
        <f t="shared" ref="D183:AO183" si="812">D128</f>
        <v>1</v>
      </c>
      <c r="E183" s="1031">
        <f t="shared" si="812"/>
        <v>0</v>
      </c>
      <c r="F183" s="1031">
        <f t="shared" si="812"/>
        <v>1</v>
      </c>
      <c r="G183" s="1023">
        <f t="shared" si="812"/>
        <v>1</v>
      </c>
      <c r="H183" s="1032">
        <f t="shared" si="812"/>
        <v>10</v>
      </c>
      <c r="I183" s="1031">
        <f t="shared" si="812"/>
        <v>3</v>
      </c>
      <c r="J183" s="1031">
        <f t="shared" si="812"/>
        <v>0</v>
      </c>
      <c r="K183" s="1023">
        <f t="shared" si="812"/>
        <v>-1</v>
      </c>
      <c r="L183" s="1032">
        <f t="shared" si="812"/>
        <v>7</v>
      </c>
      <c r="M183" s="1031">
        <f t="shared" si="812"/>
        <v>2</v>
      </c>
      <c r="N183" s="1031">
        <f t="shared" si="812"/>
        <v>3</v>
      </c>
      <c r="O183" s="1023">
        <f t="shared" si="812"/>
        <v>3</v>
      </c>
      <c r="P183" s="1032">
        <f t="shared" si="812"/>
        <v>0</v>
      </c>
      <c r="Q183" s="1031">
        <f t="shared" si="812"/>
        <v>4</v>
      </c>
      <c r="R183" s="1031">
        <f t="shared" si="812"/>
        <v>3</v>
      </c>
      <c r="S183" s="1023">
        <f t="shared" si="812"/>
        <v>5</v>
      </c>
      <c r="T183" s="1032">
        <f t="shared" si="812"/>
        <v>5</v>
      </c>
      <c r="U183" s="1031">
        <f t="shared" si="812"/>
        <v>6</v>
      </c>
      <c r="V183" s="1031">
        <f t="shared" si="812"/>
        <v>7</v>
      </c>
      <c r="W183" s="1023">
        <f t="shared" si="812"/>
        <v>7</v>
      </c>
      <c r="X183" s="1032">
        <f t="shared" si="812"/>
        <v>7</v>
      </c>
      <c r="Y183" s="1031">
        <f t="shared" si="812"/>
        <v>9</v>
      </c>
      <c r="Z183" s="1031">
        <f t="shared" si="812"/>
        <v>11</v>
      </c>
      <c r="AA183" s="1023">
        <f t="shared" si="812"/>
        <v>11</v>
      </c>
      <c r="AB183" s="1032">
        <f t="shared" si="812"/>
        <v>11</v>
      </c>
      <c r="AC183" s="1031">
        <f t="shared" si="812"/>
        <v>13</v>
      </c>
      <c r="AD183" s="1031">
        <f t="shared" si="812"/>
        <v>15</v>
      </c>
      <c r="AE183" s="1023">
        <f t="shared" si="812"/>
        <v>14</v>
      </c>
      <c r="AF183" s="1032">
        <f t="shared" si="812"/>
        <v>18</v>
      </c>
      <c r="AG183" s="1031">
        <f t="shared" si="812"/>
        <v>17</v>
      </c>
      <c r="AH183" s="1031">
        <f t="shared" si="812"/>
        <v>20</v>
      </c>
      <c r="AI183" s="1023">
        <f t="shared" si="812"/>
        <v>22</v>
      </c>
      <c r="AJ183" s="1032">
        <f t="shared" si="812"/>
        <v>24</v>
      </c>
      <c r="AK183" s="1031">
        <f t="shared" si="812"/>
        <v>30</v>
      </c>
      <c r="AL183" s="1031">
        <f>AL128</f>
        <v>50</v>
      </c>
      <c r="AM183" s="1023">
        <f t="shared" si="812"/>
        <v>49</v>
      </c>
      <c r="AN183" s="1032">
        <f t="shared" si="812"/>
        <v>49</v>
      </c>
      <c r="AO183" s="1031">
        <f t="shared" si="812"/>
        <v>57</v>
      </c>
      <c r="AP183" s="1031">
        <f>AP128</f>
        <v>63</v>
      </c>
      <c r="AQ183" s="1023">
        <f t="shared" ref="AQ183:BC183" si="813">AQ128</f>
        <v>63</v>
      </c>
      <c r="AR183" s="1032">
        <f t="shared" si="813"/>
        <v>57</v>
      </c>
      <c r="AS183" s="1031">
        <f t="shared" si="813"/>
        <v>186</v>
      </c>
      <c r="AT183" s="1150">
        <f>AT128</f>
        <v>213</v>
      </c>
      <c r="AU183" s="1023">
        <f t="shared" ref="AU183:AV183" si="814">AU128</f>
        <v>208</v>
      </c>
      <c r="AV183" s="1032">
        <f t="shared" si="814"/>
        <v>201</v>
      </c>
      <c r="AW183" s="1150">
        <f t="shared" si="813"/>
        <v>216</v>
      </c>
      <c r="AX183" s="1031">
        <f>AX128</f>
        <v>251</v>
      </c>
      <c r="AY183" s="1023">
        <f t="shared" si="813"/>
        <v>252</v>
      </c>
      <c r="AZ183" s="1032">
        <f t="shared" si="813"/>
        <v>299</v>
      </c>
      <c r="BA183" s="1031">
        <f t="shared" si="813"/>
        <v>305</v>
      </c>
      <c r="BB183" s="1031">
        <f t="shared" si="813"/>
        <v>310</v>
      </c>
      <c r="BC183" s="1023">
        <f t="shared" si="813"/>
        <v>315</v>
      </c>
      <c r="BD183" s="1032">
        <f t="shared" ref="BD183:BG183" si="815">BD128</f>
        <v>317.75</v>
      </c>
      <c r="BE183" s="1150">
        <f t="shared" si="815"/>
        <v>321.25</v>
      </c>
      <c r="BF183" s="1150">
        <f t="shared" si="815"/>
        <v>324.75</v>
      </c>
      <c r="BG183" s="1023">
        <f t="shared" si="815"/>
        <v>328.25</v>
      </c>
      <c r="BH183" s="1032">
        <f t="shared" ref="BH183:BK183" si="816">BH128</f>
        <v>331</v>
      </c>
      <c r="BI183" s="1150">
        <f t="shared" si="816"/>
        <v>334.5</v>
      </c>
      <c r="BJ183" s="1150">
        <f t="shared" si="816"/>
        <v>338</v>
      </c>
      <c r="BK183" s="1023">
        <f t="shared" si="816"/>
        <v>341.5</v>
      </c>
      <c r="BL183" s="19"/>
      <c r="BM183" s="1032">
        <f>SUM(D183:G183)</f>
        <v>3</v>
      </c>
      <c r="BN183" s="1031">
        <f>SUM(H183:K183)</f>
        <v>12</v>
      </c>
      <c r="BO183" s="1031">
        <f>SUM(L183:O183)</f>
        <v>15</v>
      </c>
      <c r="BP183" s="1031">
        <f>SUM(P183:S183)</f>
        <v>12</v>
      </c>
      <c r="BQ183" s="1031">
        <f>SUM(T183:W183)</f>
        <v>25</v>
      </c>
      <c r="BR183" s="1031">
        <f>SUM(X183:AA183)</f>
        <v>38</v>
      </c>
      <c r="BS183" s="1031">
        <f>SUM(AB183:AE183)</f>
        <v>53</v>
      </c>
      <c r="BT183" s="1023">
        <f>SUM(AF183:AI183)</f>
        <v>77</v>
      </c>
      <c r="BU183" s="1031">
        <f>SUM(AJ183:AM183)</f>
        <v>153</v>
      </c>
      <c r="BV183" s="1031">
        <f>SUM(AN183:AQ183)</f>
        <v>232</v>
      </c>
      <c r="BW183" s="1031">
        <f>SUM(AR183:AU183)</f>
        <v>664</v>
      </c>
      <c r="BX183" s="1031">
        <f>SUM(AV183:AY183)</f>
        <v>920</v>
      </c>
      <c r="BY183" s="1150">
        <f t="shared" si="810"/>
        <v>1229</v>
      </c>
      <c r="BZ183" s="1150">
        <f t="shared" si="811"/>
        <v>1292</v>
      </c>
      <c r="CA183" s="1023">
        <f t="shared" si="811"/>
        <v>1305.25</v>
      </c>
      <c r="CB183" s="19"/>
      <c r="CC183" s="1032">
        <f>SUM(E183:H183)</f>
        <v>12</v>
      </c>
      <c r="CD183" s="1031">
        <f>SUM(I183:L183)</f>
        <v>9</v>
      </c>
      <c r="CE183" s="1031">
        <f>SUM(M183:P183)</f>
        <v>8</v>
      </c>
      <c r="CF183" s="1031">
        <f>SUM(Q183:T183)</f>
        <v>17</v>
      </c>
      <c r="CG183" s="1031">
        <f>SUM(U183:X183)</f>
        <v>27</v>
      </c>
      <c r="CH183" s="1031">
        <f>SUM(Y183:AB183)</f>
        <v>42</v>
      </c>
      <c r="CI183" s="1031">
        <f>SUM(AC183:AF183)</f>
        <v>60</v>
      </c>
      <c r="CJ183" s="1031">
        <f>SUM(AG183:AJ183)</f>
        <v>83</v>
      </c>
      <c r="CK183" s="1031">
        <f>SUM(AK183:AN183)</f>
        <v>178</v>
      </c>
      <c r="CL183" s="1031">
        <f>SUM(AO183:AR183)</f>
        <v>240</v>
      </c>
      <c r="CM183" s="1031">
        <f>SUM(AS183:AV183)</f>
        <v>808</v>
      </c>
      <c r="CN183" s="1150">
        <f>SUM(AW183:AZ183)</f>
        <v>1018</v>
      </c>
      <c r="CO183" s="1150">
        <f>SUM(BA183:BD183)</f>
        <v>1247.75</v>
      </c>
      <c r="CP183" s="1023">
        <f>SUM(BE183:BH183)</f>
        <v>1305.25</v>
      </c>
      <c r="CQ183" s="7"/>
      <c r="CX183" s="7"/>
    </row>
    <row r="184" spans="1:102" ht="14.25" customHeight="1">
      <c r="A184" s="7"/>
      <c r="B184" s="1048" t="s">
        <v>257</v>
      </c>
      <c r="C184" s="1024"/>
      <c r="D184" s="1032">
        <f>+D192</f>
        <v>15</v>
      </c>
      <c r="E184" s="1031">
        <f>+E192</f>
        <v>21</v>
      </c>
      <c r="F184" s="1031">
        <f>+F192</f>
        <v>12</v>
      </c>
      <c r="G184" s="1023">
        <f>+G192</f>
        <v>8</v>
      </c>
      <c r="H184" s="1032">
        <f t="shared" ref="H184:BC184" si="817">+H192</f>
        <v>7</v>
      </c>
      <c r="I184" s="1031">
        <f t="shared" si="817"/>
        <v>7</v>
      </c>
      <c r="J184" s="1031">
        <f t="shared" si="817"/>
        <v>7</v>
      </c>
      <c r="K184" s="1023">
        <f t="shared" si="817"/>
        <v>7</v>
      </c>
      <c r="L184" s="1032">
        <f t="shared" si="817"/>
        <v>7</v>
      </c>
      <c r="M184" s="1031">
        <f t="shared" si="817"/>
        <v>7</v>
      </c>
      <c r="N184" s="1031">
        <f t="shared" si="817"/>
        <v>7</v>
      </c>
      <c r="O184" s="1023">
        <f t="shared" si="817"/>
        <v>7</v>
      </c>
      <c r="P184" s="1032">
        <f t="shared" si="817"/>
        <v>6</v>
      </c>
      <c r="Q184" s="1031">
        <f t="shared" si="817"/>
        <v>5</v>
      </c>
      <c r="R184" s="1031">
        <f t="shared" si="817"/>
        <v>5</v>
      </c>
      <c r="S184" s="1023">
        <f t="shared" si="817"/>
        <v>5</v>
      </c>
      <c r="T184" s="1032">
        <f t="shared" si="817"/>
        <v>5</v>
      </c>
      <c r="U184" s="1031">
        <f t="shared" si="817"/>
        <v>6</v>
      </c>
      <c r="V184" s="1031">
        <f t="shared" si="817"/>
        <v>5</v>
      </c>
      <c r="W184" s="1023">
        <f t="shared" si="817"/>
        <v>5</v>
      </c>
      <c r="X184" s="1032">
        <f t="shared" si="817"/>
        <v>6</v>
      </c>
      <c r="Y184" s="1031">
        <f t="shared" si="817"/>
        <v>5</v>
      </c>
      <c r="Z184" s="1031">
        <f t="shared" si="817"/>
        <v>5</v>
      </c>
      <c r="AA184" s="1023">
        <f t="shared" si="817"/>
        <v>6</v>
      </c>
      <c r="AB184" s="1032">
        <f t="shared" si="817"/>
        <v>5</v>
      </c>
      <c r="AC184" s="1031">
        <f t="shared" si="817"/>
        <v>5</v>
      </c>
      <c r="AD184" s="1031">
        <f t="shared" si="817"/>
        <v>6</v>
      </c>
      <c r="AE184" s="1023">
        <f t="shared" si="817"/>
        <v>5</v>
      </c>
      <c r="AF184" s="1032">
        <f t="shared" si="817"/>
        <v>5</v>
      </c>
      <c r="AG184" s="1031">
        <f t="shared" si="817"/>
        <v>6</v>
      </c>
      <c r="AH184" s="1031">
        <f t="shared" si="817"/>
        <v>6</v>
      </c>
      <c r="AI184" s="1023">
        <f t="shared" si="817"/>
        <v>7</v>
      </c>
      <c r="AJ184" s="1032">
        <f t="shared" si="817"/>
        <v>7</v>
      </c>
      <c r="AK184" s="1031">
        <f t="shared" si="817"/>
        <v>8</v>
      </c>
      <c r="AL184" s="1031">
        <f>+AL192</f>
        <v>91</v>
      </c>
      <c r="AM184" s="1023">
        <f t="shared" si="817"/>
        <v>91</v>
      </c>
      <c r="AN184" s="1032">
        <f t="shared" si="817"/>
        <v>59</v>
      </c>
      <c r="AO184" s="1031">
        <f t="shared" si="817"/>
        <v>59</v>
      </c>
      <c r="AP184" s="1031">
        <f>+AP192</f>
        <v>68</v>
      </c>
      <c r="AQ184" s="1023">
        <f t="shared" ref="AQ184:AS184" si="818">+AQ192</f>
        <v>63</v>
      </c>
      <c r="AR184" s="1032">
        <f t="shared" si="818"/>
        <v>54</v>
      </c>
      <c r="AS184" s="1031">
        <f t="shared" si="818"/>
        <v>735</v>
      </c>
      <c r="AT184" s="1150">
        <f>+AT192</f>
        <v>728</v>
      </c>
      <c r="AU184" s="1023">
        <f t="shared" ref="AU184:AV184" si="819">+AU192</f>
        <v>356</v>
      </c>
      <c r="AV184" s="1032">
        <f t="shared" si="819"/>
        <v>440</v>
      </c>
      <c r="AW184" s="1150">
        <f t="shared" si="817"/>
        <v>442</v>
      </c>
      <c r="AX184" s="1031">
        <f>+AX192</f>
        <v>441</v>
      </c>
      <c r="AY184" s="1023">
        <f t="shared" si="817"/>
        <v>441</v>
      </c>
      <c r="AZ184" s="1032">
        <f t="shared" si="817"/>
        <v>339</v>
      </c>
      <c r="BA184" s="1031">
        <f t="shared" si="817"/>
        <v>0</v>
      </c>
      <c r="BB184" s="1031">
        <f t="shared" si="817"/>
        <v>0</v>
      </c>
      <c r="BC184" s="1023">
        <f t="shared" si="817"/>
        <v>0</v>
      </c>
      <c r="BD184" s="1032">
        <f t="shared" ref="BD184:BG184" si="820">+BD192</f>
        <v>0</v>
      </c>
      <c r="BE184" s="1150">
        <f t="shared" si="820"/>
        <v>0</v>
      </c>
      <c r="BF184" s="1150">
        <f t="shared" si="820"/>
        <v>0</v>
      </c>
      <c r="BG184" s="1023">
        <f t="shared" si="820"/>
        <v>0</v>
      </c>
      <c r="BH184" s="1032">
        <f t="shared" ref="BH184:BK184" si="821">+BH192</f>
        <v>0</v>
      </c>
      <c r="BI184" s="1150">
        <f t="shared" si="821"/>
        <v>0</v>
      </c>
      <c r="BJ184" s="1150">
        <f t="shared" si="821"/>
        <v>0</v>
      </c>
      <c r="BK184" s="1023">
        <f t="shared" si="821"/>
        <v>0</v>
      </c>
      <c r="BL184" s="19"/>
      <c r="BM184" s="1032">
        <f>SUM(D184:G184)</f>
        <v>56</v>
      </c>
      <c r="BN184" s="1031">
        <f>SUM(H184:K184)</f>
        <v>28</v>
      </c>
      <c r="BO184" s="1031">
        <f>SUM(L184:O184)</f>
        <v>28</v>
      </c>
      <c r="BP184" s="1031">
        <f>SUM(P184:S184)</f>
        <v>21</v>
      </c>
      <c r="BQ184" s="1031">
        <f>SUM(T184:W184)</f>
        <v>21</v>
      </c>
      <c r="BR184" s="1031">
        <f>SUM(X184:AA184)</f>
        <v>22</v>
      </c>
      <c r="BS184" s="1031">
        <f>SUM(AB184:AE184)</f>
        <v>21</v>
      </c>
      <c r="BT184" s="1023">
        <f>SUM(AF184:AI184)</f>
        <v>24</v>
      </c>
      <c r="BU184" s="1031">
        <f>SUM(AJ184:AM184)</f>
        <v>197</v>
      </c>
      <c r="BV184" s="1031">
        <f>SUM(AN184:AQ184)</f>
        <v>249</v>
      </c>
      <c r="BW184" s="1031">
        <f>SUM(AR184:AU184)</f>
        <v>1873</v>
      </c>
      <c r="BX184" s="1031">
        <f>SUM(AV184:AY184)</f>
        <v>1764</v>
      </c>
      <c r="BY184" s="1150">
        <f t="shared" si="810"/>
        <v>339</v>
      </c>
      <c r="BZ184" s="1150">
        <f t="shared" si="811"/>
        <v>0</v>
      </c>
      <c r="CA184" s="1023">
        <f t="shared" si="811"/>
        <v>0</v>
      </c>
      <c r="CB184" s="19"/>
      <c r="CC184" s="1032">
        <f>SUM(E184:H184)</f>
        <v>48</v>
      </c>
      <c r="CD184" s="1031">
        <f>SUM(I184:L184)</f>
        <v>28</v>
      </c>
      <c r="CE184" s="1031">
        <f>SUM(M184:P184)</f>
        <v>27</v>
      </c>
      <c r="CF184" s="1031">
        <f>SUM(Q184:T184)</f>
        <v>20</v>
      </c>
      <c r="CG184" s="1031">
        <f>SUM(U184:X184)</f>
        <v>22</v>
      </c>
      <c r="CH184" s="1031">
        <f>SUM(Y184:AB184)</f>
        <v>21</v>
      </c>
      <c r="CI184" s="1031">
        <f>SUM(AC184:AF184)</f>
        <v>21</v>
      </c>
      <c r="CJ184" s="1031">
        <f>SUM(AG184:AJ184)</f>
        <v>26</v>
      </c>
      <c r="CK184" s="1031">
        <f>SUM(AK184:AN184)</f>
        <v>249</v>
      </c>
      <c r="CL184" s="1031">
        <f>SUM(AO184:AR184)</f>
        <v>244</v>
      </c>
      <c r="CM184" s="1031">
        <f>SUM(AS184:AV184)</f>
        <v>2259</v>
      </c>
      <c r="CN184" s="1150">
        <f>SUM(AW184:AZ184)</f>
        <v>1663</v>
      </c>
      <c r="CO184" s="1150">
        <f>SUM(BA184:BD184)</f>
        <v>0</v>
      </c>
      <c r="CP184" s="1023">
        <f>SUM(BE184:BH184)</f>
        <v>0</v>
      </c>
      <c r="CQ184" s="7"/>
      <c r="CX184" s="7"/>
    </row>
    <row r="185" spans="1:102" ht="14.25" customHeight="1">
      <c r="A185" s="7"/>
      <c r="B185" s="1048" t="s">
        <v>258</v>
      </c>
      <c r="C185" s="1024"/>
      <c r="D185" s="1055">
        <f>D176</f>
        <v>24</v>
      </c>
      <c r="E185" s="1056">
        <f>E176</f>
        <v>22</v>
      </c>
      <c r="F185" s="1056">
        <f>F176</f>
        <v>14</v>
      </c>
      <c r="G185" s="1057">
        <f>G176</f>
        <v>24</v>
      </c>
      <c r="H185" s="1055">
        <f t="shared" ref="H185:BC185" si="822">H176</f>
        <v>85</v>
      </c>
      <c r="I185" s="1056">
        <f t="shared" si="822"/>
        <v>29</v>
      </c>
      <c r="J185" s="1056">
        <f t="shared" si="822"/>
        <v>185</v>
      </c>
      <c r="K185" s="1057">
        <f t="shared" si="822"/>
        <v>32</v>
      </c>
      <c r="L185" s="1055">
        <f t="shared" si="822"/>
        <v>26</v>
      </c>
      <c r="M185" s="1056">
        <f t="shared" si="822"/>
        <v>15</v>
      </c>
      <c r="N185" s="1056">
        <f t="shared" si="822"/>
        <v>44</v>
      </c>
      <c r="O185" s="1057">
        <f t="shared" si="822"/>
        <v>10</v>
      </c>
      <c r="P185" s="1055">
        <f t="shared" si="822"/>
        <v>26</v>
      </c>
      <c r="Q185" s="1056">
        <f t="shared" si="822"/>
        <v>20</v>
      </c>
      <c r="R185" s="1056">
        <f t="shared" si="822"/>
        <v>30</v>
      </c>
      <c r="S185" s="1057">
        <f t="shared" si="822"/>
        <v>74</v>
      </c>
      <c r="T185" s="1055">
        <f t="shared" si="822"/>
        <v>16</v>
      </c>
      <c r="U185" s="1056">
        <f t="shared" si="822"/>
        <v>15</v>
      </c>
      <c r="V185" s="1056">
        <f t="shared" si="822"/>
        <v>17</v>
      </c>
      <c r="W185" s="1057">
        <f t="shared" si="822"/>
        <v>14</v>
      </c>
      <c r="X185" s="1055">
        <f t="shared" si="822"/>
        <v>14</v>
      </c>
      <c r="Y185" s="1056">
        <f t="shared" si="822"/>
        <v>15</v>
      </c>
      <c r="Z185" s="1056">
        <f t="shared" si="822"/>
        <v>16</v>
      </c>
      <c r="AA185" s="1057">
        <f t="shared" si="822"/>
        <v>15</v>
      </c>
      <c r="AB185" s="1055">
        <f t="shared" si="822"/>
        <v>15</v>
      </c>
      <c r="AC185" s="1056">
        <f t="shared" si="822"/>
        <v>16</v>
      </c>
      <c r="AD185" s="1056">
        <f t="shared" si="822"/>
        <v>16</v>
      </c>
      <c r="AE185" s="1057">
        <f t="shared" si="822"/>
        <v>16</v>
      </c>
      <c r="AF185" s="1055">
        <f t="shared" si="822"/>
        <v>15</v>
      </c>
      <c r="AG185" s="1056">
        <f t="shared" si="822"/>
        <v>17</v>
      </c>
      <c r="AH185" s="1056">
        <f t="shared" si="822"/>
        <v>25</v>
      </c>
      <c r="AI185" s="1057">
        <f t="shared" si="822"/>
        <v>30</v>
      </c>
      <c r="AJ185" s="1055">
        <f t="shared" si="822"/>
        <v>54</v>
      </c>
      <c r="AK185" s="1056">
        <f t="shared" si="822"/>
        <v>35</v>
      </c>
      <c r="AL185" s="1056">
        <f>AL176</f>
        <v>449</v>
      </c>
      <c r="AM185" s="1057">
        <f t="shared" si="822"/>
        <v>195</v>
      </c>
      <c r="AN185" s="1055">
        <f t="shared" si="822"/>
        <v>172</v>
      </c>
      <c r="AO185" s="1056">
        <f t="shared" si="822"/>
        <v>189</v>
      </c>
      <c r="AP185" s="1056">
        <f>AP176</f>
        <v>300</v>
      </c>
      <c r="AQ185" s="1057">
        <f t="shared" ref="AQ185:AS185" si="823">AQ176</f>
        <v>169</v>
      </c>
      <c r="AR185" s="1055">
        <f t="shared" si="823"/>
        <v>240</v>
      </c>
      <c r="AS185" s="1122">
        <f t="shared" si="823"/>
        <v>1577</v>
      </c>
      <c r="AT185" s="1122">
        <f>AT176</f>
        <v>833</v>
      </c>
      <c r="AU185" s="1057">
        <f t="shared" ref="AU185:AV185" si="824">AU176</f>
        <v>774</v>
      </c>
      <c r="AV185" s="1055">
        <f t="shared" si="824"/>
        <v>637</v>
      </c>
      <c r="AW185" s="1122">
        <f t="shared" si="822"/>
        <v>721</v>
      </c>
      <c r="AX185" s="1056">
        <f>AX176</f>
        <v>719</v>
      </c>
      <c r="AY185" s="1057">
        <f t="shared" si="822"/>
        <v>742</v>
      </c>
      <c r="AZ185" s="1055">
        <f t="shared" si="822"/>
        <v>1022</v>
      </c>
      <c r="BA185" s="1056">
        <f t="shared" si="822"/>
        <v>0</v>
      </c>
      <c r="BB185" s="1056">
        <f t="shared" si="822"/>
        <v>0</v>
      </c>
      <c r="BC185" s="1057">
        <f t="shared" si="822"/>
        <v>0</v>
      </c>
      <c r="BD185" s="1055">
        <f t="shared" ref="BD185:BG185" si="825">BD176</f>
        <v>0</v>
      </c>
      <c r="BE185" s="1122">
        <f t="shared" si="825"/>
        <v>0</v>
      </c>
      <c r="BF185" s="1122">
        <f t="shared" si="825"/>
        <v>0</v>
      </c>
      <c r="BG185" s="1057">
        <f t="shared" si="825"/>
        <v>0</v>
      </c>
      <c r="BH185" s="1055">
        <f t="shared" ref="BH185:BK185" si="826">BH176</f>
        <v>0</v>
      </c>
      <c r="BI185" s="1122">
        <f t="shared" si="826"/>
        <v>0</v>
      </c>
      <c r="BJ185" s="1122">
        <f t="shared" si="826"/>
        <v>0</v>
      </c>
      <c r="BK185" s="1057">
        <f t="shared" si="826"/>
        <v>0</v>
      </c>
      <c r="BL185" s="19"/>
      <c r="BM185" s="1055">
        <f>SUM(D185:G185)</f>
        <v>84</v>
      </c>
      <c r="BN185" s="1056">
        <f>SUM(H185:K185)</f>
        <v>331</v>
      </c>
      <c r="BO185" s="1056">
        <f>SUM(L185:O185)</f>
        <v>95</v>
      </c>
      <c r="BP185" s="1056">
        <f>SUM(P185:S185)</f>
        <v>150</v>
      </c>
      <c r="BQ185" s="1056">
        <f>SUM(T185:W185)</f>
        <v>62</v>
      </c>
      <c r="BR185" s="1056">
        <f>SUM(X185:AA185)</f>
        <v>60</v>
      </c>
      <c r="BS185" s="1056">
        <f>SUM(AB185:AE185)</f>
        <v>63</v>
      </c>
      <c r="BT185" s="1057">
        <f>SUM(AF185:AI185)</f>
        <v>87</v>
      </c>
      <c r="BU185" s="1056">
        <f>SUM(AJ185:AM185)</f>
        <v>733</v>
      </c>
      <c r="BV185" s="1056">
        <f>SUM(AN185:AQ185)</f>
        <v>830</v>
      </c>
      <c r="BW185" s="1056">
        <f>SUM(AR185:AU185)</f>
        <v>3424</v>
      </c>
      <c r="BX185" s="1056">
        <f>SUM(AV185:AY185)</f>
        <v>2819</v>
      </c>
      <c r="BY185" s="1122">
        <f t="shared" si="810"/>
        <v>1022</v>
      </c>
      <c r="BZ185" s="1122">
        <f t="shared" si="811"/>
        <v>0</v>
      </c>
      <c r="CA185" s="1057">
        <f t="shared" si="811"/>
        <v>0</v>
      </c>
      <c r="CB185" s="19"/>
      <c r="CC185" s="1055">
        <f>SUM(E185:H185)</f>
        <v>145</v>
      </c>
      <c r="CD185" s="1056">
        <f>SUM(I185:L185)</f>
        <v>272</v>
      </c>
      <c r="CE185" s="1056">
        <f>SUM(M185:P185)</f>
        <v>95</v>
      </c>
      <c r="CF185" s="1056">
        <f>SUM(Q185:T185)</f>
        <v>140</v>
      </c>
      <c r="CG185" s="1056">
        <f>SUM(U185:X185)</f>
        <v>60</v>
      </c>
      <c r="CH185" s="1056">
        <f>SUM(Y185:AB185)</f>
        <v>61</v>
      </c>
      <c r="CI185" s="1056">
        <f>SUM(AC185:AF185)</f>
        <v>63</v>
      </c>
      <c r="CJ185" s="1056">
        <f>SUM(AG185:AJ185)</f>
        <v>126</v>
      </c>
      <c r="CK185" s="1056">
        <f>SUM(AK185:AN185)</f>
        <v>851</v>
      </c>
      <c r="CL185" s="1056">
        <f>SUM(AO185:AR185)</f>
        <v>898</v>
      </c>
      <c r="CM185" s="1056">
        <f>SUM(AS185:AV185)</f>
        <v>3821</v>
      </c>
      <c r="CN185" s="1122">
        <f>SUM(AW185:AZ185)</f>
        <v>3204</v>
      </c>
      <c r="CO185" s="1122">
        <f>SUM(BA185:BD185)</f>
        <v>0</v>
      </c>
      <c r="CP185" s="1057">
        <f>SUM(BE185:BH185)</f>
        <v>0</v>
      </c>
      <c r="CQ185" s="7"/>
      <c r="CX185" s="7"/>
    </row>
    <row r="186" spans="1:102" ht="14.25" customHeight="1">
      <c r="A186" s="7"/>
      <c r="B186" s="1051" t="s">
        <v>4</v>
      </c>
      <c r="C186" s="1052"/>
      <c r="D186" s="1062">
        <f>D177+D129</f>
        <v>0</v>
      </c>
      <c r="E186" s="1063">
        <f>E177+E129</f>
        <v>0</v>
      </c>
      <c r="F186" s="1063">
        <f>F177+F129</f>
        <v>0</v>
      </c>
      <c r="G186" s="1064">
        <f>G177+G129</f>
        <v>0</v>
      </c>
      <c r="H186" s="1062">
        <f t="shared" ref="H186:BC186" si="827">H177+H129</f>
        <v>0</v>
      </c>
      <c r="I186" s="1063">
        <f t="shared" si="827"/>
        <v>0</v>
      </c>
      <c r="J186" s="1063">
        <f t="shared" si="827"/>
        <v>0</v>
      </c>
      <c r="K186" s="1064">
        <f t="shared" si="827"/>
        <v>0</v>
      </c>
      <c r="L186" s="1062">
        <f t="shared" si="827"/>
        <v>0</v>
      </c>
      <c r="M186" s="1063">
        <f t="shared" si="827"/>
        <v>0</v>
      </c>
      <c r="N186" s="1063">
        <f t="shared" si="827"/>
        <v>0</v>
      </c>
      <c r="O186" s="1064">
        <f t="shared" si="827"/>
        <v>0</v>
      </c>
      <c r="P186" s="1062">
        <f t="shared" si="827"/>
        <v>0</v>
      </c>
      <c r="Q186" s="1063">
        <f t="shared" si="827"/>
        <v>0</v>
      </c>
      <c r="R186" s="1063">
        <f t="shared" si="827"/>
        <v>0</v>
      </c>
      <c r="S186" s="1064">
        <f t="shared" si="827"/>
        <v>0</v>
      </c>
      <c r="T186" s="1062">
        <f t="shared" si="827"/>
        <v>0</v>
      </c>
      <c r="U186" s="1063">
        <f t="shared" si="827"/>
        <v>0</v>
      </c>
      <c r="V186" s="1063">
        <f t="shared" si="827"/>
        <v>0</v>
      </c>
      <c r="W186" s="1064">
        <f t="shared" si="827"/>
        <v>0</v>
      </c>
      <c r="X186" s="1062">
        <f t="shared" si="827"/>
        <v>0</v>
      </c>
      <c r="Y186" s="1063">
        <f t="shared" si="827"/>
        <v>0</v>
      </c>
      <c r="Z186" s="1063">
        <f t="shared" si="827"/>
        <v>0</v>
      </c>
      <c r="AA186" s="1064">
        <f t="shared" si="827"/>
        <v>0</v>
      </c>
      <c r="AB186" s="1062">
        <f t="shared" si="827"/>
        <v>0</v>
      </c>
      <c r="AC186" s="1063">
        <f t="shared" si="827"/>
        <v>0</v>
      </c>
      <c r="AD186" s="1063">
        <f t="shared" si="827"/>
        <v>0</v>
      </c>
      <c r="AE186" s="1064">
        <f t="shared" si="827"/>
        <v>0</v>
      </c>
      <c r="AF186" s="1062">
        <f t="shared" si="827"/>
        <v>0</v>
      </c>
      <c r="AG186" s="1063">
        <f t="shared" si="827"/>
        <v>0</v>
      </c>
      <c r="AH186" s="1063">
        <f t="shared" si="827"/>
        <v>-5</v>
      </c>
      <c r="AI186" s="1064">
        <f t="shared" si="827"/>
        <v>-5</v>
      </c>
      <c r="AJ186" s="1062">
        <f t="shared" si="827"/>
        <v>-2</v>
      </c>
      <c r="AK186" s="1063">
        <f t="shared" si="827"/>
        <v>-8</v>
      </c>
      <c r="AL186" s="1063">
        <f>AL177+AL129</f>
        <v>-123</v>
      </c>
      <c r="AM186" s="1064">
        <f t="shared" si="827"/>
        <v>84</v>
      </c>
      <c r="AN186" s="1062">
        <f t="shared" si="827"/>
        <v>-22</v>
      </c>
      <c r="AO186" s="1063">
        <f t="shared" si="827"/>
        <v>-15</v>
      </c>
      <c r="AP186" s="1063">
        <f>AP177+AP129</f>
        <v>-15</v>
      </c>
      <c r="AQ186" s="1064">
        <f t="shared" ref="AQ186:AS186" si="828">AQ177+AQ129</f>
        <v>-28</v>
      </c>
      <c r="AR186" s="1062">
        <f t="shared" si="828"/>
        <v>-18</v>
      </c>
      <c r="AS186" s="1063">
        <f t="shared" si="828"/>
        <v>-152</v>
      </c>
      <c r="AT186" s="1063">
        <f>AT177+AT129</f>
        <v>-178</v>
      </c>
      <c r="AU186" s="1064">
        <f t="shared" ref="AU186:AV186" si="829">AU177+AU129</f>
        <v>768</v>
      </c>
      <c r="AV186" s="1062">
        <f t="shared" si="829"/>
        <v>-67</v>
      </c>
      <c r="AW186" s="1063">
        <f t="shared" si="827"/>
        <v>-181</v>
      </c>
      <c r="AX186" s="1063">
        <f>AX177+AX129</f>
        <v>-49</v>
      </c>
      <c r="AY186" s="1064">
        <f t="shared" si="827"/>
        <v>-10</v>
      </c>
      <c r="AZ186" s="1062">
        <f t="shared" si="827"/>
        <v>-5896</v>
      </c>
      <c r="BA186" s="1063">
        <f t="shared" si="827"/>
        <v>0</v>
      </c>
      <c r="BB186" s="1063">
        <f t="shared" si="827"/>
        <v>0</v>
      </c>
      <c r="BC186" s="1064">
        <f t="shared" si="827"/>
        <v>0</v>
      </c>
      <c r="BD186" s="1062">
        <f t="shared" ref="BD186:BG186" si="830">BD177+BD129</f>
        <v>0</v>
      </c>
      <c r="BE186" s="1063">
        <f t="shared" si="830"/>
        <v>0</v>
      </c>
      <c r="BF186" s="1063">
        <f t="shared" si="830"/>
        <v>0</v>
      </c>
      <c r="BG186" s="1064">
        <f t="shared" si="830"/>
        <v>0</v>
      </c>
      <c r="BH186" s="1062">
        <f t="shared" ref="BH186:BK186" si="831">BH177+BH129</f>
        <v>0</v>
      </c>
      <c r="BI186" s="1063">
        <f t="shared" si="831"/>
        <v>0</v>
      </c>
      <c r="BJ186" s="1063">
        <f t="shared" si="831"/>
        <v>0</v>
      </c>
      <c r="BK186" s="1064">
        <f t="shared" si="831"/>
        <v>0</v>
      </c>
      <c r="BL186" s="19"/>
      <c r="BM186" s="1062">
        <f>SUM(D186:G186)</f>
        <v>0</v>
      </c>
      <c r="BN186" s="1063">
        <f>SUM(H186:K186)</f>
        <v>0</v>
      </c>
      <c r="BO186" s="1063">
        <f>SUM(L186:O186)</f>
        <v>0</v>
      </c>
      <c r="BP186" s="1063">
        <f>SUM(P186:S186)</f>
        <v>0</v>
      </c>
      <c r="BQ186" s="1063">
        <f>SUM(T186:W186)</f>
        <v>0</v>
      </c>
      <c r="BR186" s="1063">
        <f>SUM(X186:AA186)</f>
        <v>0</v>
      </c>
      <c r="BS186" s="1063">
        <f>SUM(AB186:AE186)</f>
        <v>0</v>
      </c>
      <c r="BT186" s="1064">
        <f>SUM(AF186:AI186)</f>
        <v>-10</v>
      </c>
      <c r="BU186" s="1063">
        <f>SUM(AJ186:AM186)</f>
        <v>-49</v>
      </c>
      <c r="BV186" s="1063">
        <f>SUM(AN186:AQ186)</f>
        <v>-80</v>
      </c>
      <c r="BW186" s="1063">
        <f>SUM(AR186:AU186)</f>
        <v>420</v>
      </c>
      <c r="BX186" s="1063">
        <f>SUM(AV186:AY186)</f>
        <v>-307</v>
      </c>
      <c r="BY186" s="1063">
        <f t="shared" si="810"/>
        <v>-5896</v>
      </c>
      <c r="BZ186" s="1063">
        <f t="shared" si="811"/>
        <v>0</v>
      </c>
      <c r="CA186" s="1064">
        <f t="shared" si="811"/>
        <v>0</v>
      </c>
      <c r="CB186" s="19"/>
      <c r="CC186" s="1062">
        <f>SUM(E186:H186)</f>
        <v>0</v>
      </c>
      <c r="CD186" s="1063">
        <f>SUM(I186:L186)</f>
        <v>0</v>
      </c>
      <c r="CE186" s="1063">
        <f>SUM(M186:P186)</f>
        <v>0</v>
      </c>
      <c r="CF186" s="1063">
        <f>SUM(Q186:T186)</f>
        <v>0</v>
      </c>
      <c r="CG186" s="1063">
        <f>SUM(U186:X186)</f>
        <v>0</v>
      </c>
      <c r="CH186" s="1063">
        <f>SUM(Y186:AB186)</f>
        <v>0</v>
      </c>
      <c r="CI186" s="1063">
        <f>SUM(AC186:AF186)</f>
        <v>0</v>
      </c>
      <c r="CJ186" s="1063">
        <f>SUM(AG186:AJ186)</f>
        <v>-12</v>
      </c>
      <c r="CK186" s="1063">
        <f>SUM(AK186:AN186)</f>
        <v>-69</v>
      </c>
      <c r="CL186" s="1063">
        <f>SUM(AO186:AR186)</f>
        <v>-76</v>
      </c>
      <c r="CM186" s="1063">
        <f>SUM(AS186:AV186)</f>
        <v>371</v>
      </c>
      <c r="CN186" s="1063">
        <f>SUM(AW186:AZ186)</f>
        <v>-6136</v>
      </c>
      <c r="CO186" s="1063">
        <f>SUM(BA186:BD186)</f>
        <v>0</v>
      </c>
      <c r="CP186" s="1064">
        <f>SUM(BE186:BH186)</f>
        <v>0</v>
      </c>
      <c r="CQ186" s="7"/>
      <c r="CX186" s="7"/>
    </row>
    <row r="187" spans="1:102" ht="14.25" customHeight="1">
      <c r="A187" s="7"/>
      <c r="B187" s="550" t="s">
        <v>261</v>
      </c>
      <c r="C187" s="391"/>
      <c r="D187" s="1060">
        <f>+SUM(D182:D186)</f>
        <v>-62</v>
      </c>
      <c r="E187" s="1054">
        <f>+SUM(E182:E186)</f>
        <v>-5</v>
      </c>
      <c r="F187" s="1054">
        <f>+SUM(F182:F186)</f>
        <v>4</v>
      </c>
      <c r="G187" s="1061">
        <f>+SUM(G182:G186)</f>
        <v>-45</v>
      </c>
      <c r="H187" s="1060">
        <f t="shared" ref="H187:BC187" si="832">+SUM(H182:H186)</f>
        <v>108</v>
      </c>
      <c r="I187" s="1054">
        <f t="shared" si="832"/>
        <v>43</v>
      </c>
      <c r="J187" s="1054">
        <f t="shared" si="832"/>
        <v>25</v>
      </c>
      <c r="K187" s="1061">
        <f t="shared" si="832"/>
        <v>36</v>
      </c>
      <c r="L187" s="1060">
        <f t="shared" si="832"/>
        <v>44</v>
      </c>
      <c r="M187" s="1054">
        <f t="shared" si="832"/>
        <v>41</v>
      </c>
      <c r="N187" s="1054">
        <f t="shared" si="832"/>
        <v>98</v>
      </c>
      <c r="O187" s="1061">
        <f t="shared" si="832"/>
        <v>38</v>
      </c>
      <c r="P187" s="1060">
        <f t="shared" si="832"/>
        <v>38</v>
      </c>
      <c r="Q187" s="1054">
        <f t="shared" si="832"/>
        <v>-2</v>
      </c>
      <c r="R187" s="1054">
        <f t="shared" si="832"/>
        <v>40</v>
      </c>
      <c r="S187" s="1061">
        <f t="shared" si="832"/>
        <v>63</v>
      </c>
      <c r="T187" s="1060">
        <f t="shared" si="832"/>
        <v>64</v>
      </c>
      <c r="U187" s="1054">
        <f t="shared" si="832"/>
        <v>117</v>
      </c>
      <c r="V187" s="1054">
        <f t="shared" si="832"/>
        <v>152</v>
      </c>
      <c r="W187" s="1061">
        <f t="shared" si="832"/>
        <v>190</v>
      </c>
      <c r="X187" s="1060">
        <f t="shared" si="832"/>
        <v>146</v>
      </c>
      <c r="Y187" s="1054">
        <f t="shared" si="832"/>
        <v>164</v>
      </c>
      <c r="Z187" s="1054">
        <f t="shared" si="832"/>
        <v>176</v>
      </c>
      <c r="AA187" s="1061">
        <f t="shared" si="832"/>
        <v>186</v>
      </c>
      <c r="AB187" s="1060">
        <f t="shared" si="832"/>
        <v>156</v>
      </c>
      <c r="AC187" s="1054">
        <f t="shared" si="832"/>
        <v>168</v>
      </c>
      <c r="AD187" s="1054">
        <f t="shared" si="832"/>
        <v>182</v>
      </c>
      <c r="AE187" s="1061">
        <f t="shared" si="832"/>
        <v>194</v>
      </c>
      <c r="AF187" s="1060">
        <f t="shared" si="832"/>
        <v>163</v>
      </c>
      <c r="AG187" s="1054">
        <f t="shared" si="832"/>
        <v>153</v>
      </c>
      <c r="AH187" s="1054">
        <f t="shared" si="832"/>
        <v>188</v>
      </c>
      <c r="AI187" s="1061">
        <f t="shared" si="832"/>
        <v>226</v>
      </c>
      <c r="AJ187" s="1060">
        <f t="shared" si="832"/>
        <v>217</v>
      </c>
      <c r="AK187" s="1054">
        <f t="shared" si="832"/>
        <v>223</v>
      </c>
      <c r="AL187" s="1054">
        <f>+SUM(AL182:AL186)</f>
        <v>303</v>
      </c>
      <c r="AM187" s="1061">
        <f t="shared" si="832"/>
        <v>554</v>
      </c>
      <c r="AN187" s="1060">
        <f t="shared" si="832"/>
        <v>609</v>
      </c>
      <c r="AO187" s="1054">
        <f t="shared" si="832"/>
        <v>634</v>
      </c>
      <c r="AP187" s="1054">
        <f>+SUM(AP182:AP186)</f>
        <v>656</v>
      </c>
      <c r="AQ187" s="1061">
        <f t="shared" ref="AQ187:AS187" si="833">+SUM(AQ182:AQ186)</f>
        <v>696</v>
      </c>
      <c r="AR187" s="1060">
        <f t="shared" si="833"/>
        <v>710</v>
      </c>
      <c r="AS187" s="1054">
        <f t="shared" si="833"/>
        <v>1091</v>
      </c>
      <c r="AT187" s="1054">
        <f>+SUM(AT182:AT186)</f>
        <v>1281</v>
      </c>
      <c r="AU187" s="1061">
        <f t="shared" ref="AU187:AV187" si="834">+SUM(AU182:AU186)</f>
        <v>1438</v>
      </c>
      <c r="AV187" s="1060">
        <f t="shared" si="834"/>
        <v>1463</v>
      </c>
      <c r="AW187" s="1054">
        <f t="shared" si="832"/>
        <v>1662</v>
      </c>
      <c r="AX187" s="1054">
        <f>+SUM(AX182:AX186)</f>
        <v>1869</v>
      </c>
      <c r="AY187" s="1061">
        <f t="shared" si="832"/>
        <v>2096</v>
      </c>
      <c r="AZ187" s="1060">
        <f t="shared" si="832"/>
        <v>2330</v>
      </c>
      <c r="BA187" s="1054">
        <f t="shared" si="832"/>
        <v>2201.6153533135807</v>
      </c>
      <c r="BB187" s="1054">
        <f t="shared" si="832"/>
        <v>2158.1184917577784</v>
      </c>
      <c r="BC187" s="1061">
        <f t="shared" si="832"/>
        <v>2336.7865266409908</v>
      </c>
      <c r="BD187" s="1060">
        <f t="shared" ref="BD187:BG187" si="835">+SUM(BD182:BD186)</f>
        <v>2231.244283862573</v>
      </c>
      <c r="BE187" s="1054">
        <f t="shared" si="835"/>
        <v>2171.8545130446073</v>
      </c>
      <c r="BF187" s="1054">
        <f t="shared" si="835"/>
        <v>2339.9351842406372</v>
      </c>
      <c r="BG187" s="1061">
        <f t="shared" si="835"/>
        <v>2613.5053740406579</v>
      </c>
      <c r="BH187" s="1060">
        <f t="shared" ref="BH187:BK187" si="836">+SUM(BH182:BH186)</f>
        <v>2498.5588625385913</v>
      </c>
      <c r="BI187" s="1054">
        <f t="shared" si="836"/>
        <v>2357.8260857020969</v>
      </c>
      <c r="BJ187" s="1054">
        <f t="shared" si="836"/>
        <v>2473.0214538037349</v>
      </c>
      <c r="BK187" s="1061">
        <f t="shared" si="836"/>
        <v>2645.6772716854175</v>
      </c>
      <c r="BL187" s="19"/>
      <c r="BM187" s="580">
        <f t="shared" ref="BM187:BV187" si="837">+SUM(BM182:BM186)</f>
        <v>-108</v>
      </c>
      <c r="BN187" s="391">
        <f t="shared" si="837"/>
        <v>212</v>
      </c>
      <c r="BO187" s="391">
        <f t="shared" si="837"/>
        <v>221</v>
      </c>
      <c r="BP187" s="391">
        <f t="shared" si="837"/>
        <v>139</v>
      </c>
      <c r="BQ187" s="391">
        <f t="shared" si="837"/>
        <v>523</v>
      </c>
      <c r="BR187" s="391">
        <f t="shared" si="837"/>
        <v>672</v>
      </c>
      <c r="BS187" s="391">
        <f t="shared" si="837"/>
        <v>700</v>
      </c>
      <c r="BT187" s="390">
        <f t="shared" si="837"/>
        <v>730</v>
      </c>
      <c r="BU187" s="391">
        <f t="shared" si="837"/>
        <v>1297</v>
      </c>
      <c r="BV187" s="391">
        <f t="shared" si="837"/>
        <v>2595</v>
      </c>
      <c r="BW187" s="391">
        <f>+SUM(BW182:BW186)</f>
        <v>4520</v>
      </c>
      <c r="BX187" s="391">
        <f>+SUM(BX182:BX186)</f>
        <v>7090</v>
      </c>
      <c r="BY187" s="391">
        <f>+SUM(BY182:BY186)</f>
        <v>9026.5203717123513</v>
      </c>
      <c r="BZ187" s="391">
        <f>+SUM(BZ182:BZ186)</f>
        <v>9356.5393551884754</v>
      </c>
      <c r="CA187" s="390">
        <f>+SUM(CA182:CA186)</f>
        <v>9623.8539338644932</v>
      </c>
      <c r="CB187" s="19"/>
      <c r="CC187" s="1074">
        <f t="shared" ref="CC187:CJ187" si="838">+SUM(CC182:CC186)</f>
        <v>62</v>
      </c>
      <c r="CD187" s="1039">
        <f t="shared" si="838"/>
        <v>148</v>
      </c>
      <c r="CE187" s="1039">
        <f t="shared" si="838"/>
        <v>215</v>
      </c>
      <c r="CF187" s="1039">
        <f t="shared" si="838"/>
        <v>165</v>
      </c>
      <c r="CG187" s="1039">
        <f t="shared" si="838"/>
        <v>605</v>
      </c>
      <c r="CH187" s="1039">
        <f t="shared" si="838"/>
        <v>682</v>
      </c>
      <c r="CI187" s="1039">
        <f t="shared" si="838"/>
        <v>707</v>
      </c>
      <c r="CJ187" s="1039">
        <f t="shared" si="838"/>
        <v>784</v>
      </c>
      <c r="CK187" s="1039">
        <f t="shared" ref="CK187:CP187" si="839">+SUM(CK182:CK186)</f>
        <v>1689</v>
      </c>
      <c r="CL187" s="1039">
        <f t="shared" si="839"/>
        <v>2696</v>
      </c>
      <c r="CM187" s="1039">
        <f t="shared" si="839"/>
        <v>5273</v>
      </c>
      <c r="CN187" s="1039">
        <f t="shared" si="839"/>
        <v>7957</v>
      </c>
      <c r="CO187" s="1039">
        <f t="shared" si="839"/>
        <v>8927.7646555749234</v>
      </c>
      <c r="CP187" s="1038">
        <f t="shared" si="839"/>
        <v>9623.8539338644932</v>
      </c>
      <c r="CQ187" s="7"/>
      <c r="CX187" s="7"/>
    </row>
    <row r="188" spans="1:102" ht="14.25" customHeight="1">
      <c r="A188" s="7"/>
      <c r="B188" s="553"/>
      <c r="C188" s="13"/>
      <c r="D188" s="563"/>
      <c r="E188" s="564"/>
      <c r="F188" s="564"/>
      <c r="G188" s="565"/>
      <c r="H188" s="563"/>
      <c r="I188" s="564"/>
      <c r="J188" s="564"/>
      <c r="K188" s="565"/>
      <c r="L188" s="563"/>
      <c r="M188" s="564"/>
      <c r="N188" s="564"/>
      <c r="O188" s="565"/>
      <c r="P188" s="563"/>
      <c r="Q188" s="564"/>
      <c r="R188" s="564"/>
      <c r="S188" s="565"/>
      <c r="T188" s="563"/>
      <c r="U188" s="564"/>
      <c r="V188" s="564"/>
      <c r="W188" s="565"/>
      <c r="X188" s="563"/>
      <c r="Y188" s="564"/>
      <c r="Z188" s="564"/>
      <c r="AA188" s="565"/>
      <c r="AB188" s="563"/>
      <c r="AC188" s="564"/>
      <c r="AD188" s="564"/>
      <c r="AE188" s="565"/>
      <c r="AF188" s="563"/>
      <c r="AG188" s="564"/>
      <c r="AH188" s="564"/>
      <c r="AI188" s="565"/>
      <c r="AJ188" s="563"/>
      <c r="AK188" s="564"/>
      <c r="AL188" s="564"/>
      <c r="AM188" s="565"/>
      <c r="AN188" s="563"/>
      <c r="AO188" s="564"/>
      <c r="AP188" s="564"/>
      <c r="AQ188" s="565"/>
      <c r="AR188" s="563"/>
      <c r="AS188" s="564"/>
      <c r="AT188" s="564"/>
      <c r="AU188" s="565"/>
      <c r="AV188" s="563"/>
      <c r="AW188" s="564"/>
      <c r="AX188" s="564"/>
      <c r="AY188" s="565"/>
      <c r="AZ188" s="563"/>
      <c r="BA188" s="564"/>
      <c r="BB188" s="564"/>
      <c r="BC188" s="565"/>
      <c r="BD188" s="563"/>
      <c r="BE188" s="564"/>
      <c r="BF188" s="564"/>
      <c r="BG188" s="565"/>
      <c r="BH188" s="563"/>
      <c r="BI188" s="564"/>
      <c r="BJ188" s="564"/>
      <c r="BK188" s="565"/>
      <c r="BL188" s="19"/>
      <c r="BM188" s="577"/>
      <c r="BN188" s="578"/>
      <c r="BO188" s="578"/>
      <c r="BP188" s="578"/>
      <c r="BQ188" s="578"/>
      <c r="BR188" s="578"/>
      <c r="BS188" s="578"/>
      <c r="BT188" s="579"/>
      <c r="BU188" s="578"/>
      <c r="BV188" s="578"/>
      <c r="BW188" s="578"/>
      <c r="BX188" s="578"/>
      <c r="BY188" s="578"/>
      <c r="BZ188" s="578"/>
      <c r="CA188" s="579"/>
      <c r="CB188" s="19"/>
      <c r="CC188" s="577"/>
      <c r="CD188" s="578"/>
      <c r="CE188" s="578"/>
      <c r="CF188" s="578"/>
      <c r="CG188" s="578"/>
      <c r="CH188" s="578"/>
      <c r="CI188" s="578"/>
      <c r="CJ188" s="578"/>
      <c r="CK188" s="578"/>
      <c r="CL188" s="578"/>
      <c r="CM188" s="578"/>
      <c r="CN188" s="578"/>
      <c r="CO188" s="578"/>
      <c r="CP188" s="579"/>
      <c r="CQ188" s="7"/>
      <c r="CX188" s="7"/>
    </row>
    <row r="189" spans="1:102" ht="14.25" customHeight="1">
      <c r="A189" s="7"/>
      <c r="B189" s="554" t="s">
        <v>257</v>
      </c>
      <c r="C189" s="13"/>
      <c r="D189" s="563"/>
      <c r="E189" s="564"/>
      <c r="F189" s="564"/>
      <c r="G189" s="565"/>
      <c r="H189" s="563"/>
      <c r="I189" s="564"/>
      <c r="J189" s="564"/>
      <c r="K189" s="565"/>
      <c r="L189" s="563"/>
      <c r="M189" s="564"/>
      <c r="N189" s="564"/>
      <c r="O189" s="565"/>
      <c r="P189" s="563"/>
      <c r="Q189" s="564"/>
      <c r="R189" s="564"/>
      <c r="S189" s="565"/>
      <c r="T189" s="563"/>
      <c r="U189" s="564"/>
      <c r="V189" s="564"/>
      <c r="W189" s="565"/>
      <c r="X189" s="563"/>
      <c r="Y189" s="564"/>
      <c r="Z189" s="564"/>
      <c r="AA189" s="565"/>
      <c r="AB189" s="563"/>
      <c r="AC189" s="564"/>
      <c r="AD189" s="564"/>
      <c r="AE189" s="565"/>
      <c r="AF189" s="563"/>
      <c r="AG189" s="564"/>
      <c r="AH189" s="564"/>
      <c r="AI189" s="565"/>
      <c r="AJ189" s="563"/>
      <c r="AK189" s="564"/>
      <c r="AL189" s="564"/>
      <c r="AM189" s="565"/>
      <c r="AN189" s="563"/>
      <c r="AO189" s="564"/>
      <c r="AP189" s="564"/>
      <c r="AQ189" s="565"/>
      <c r="AR189" s="563"/>
      <c r="AS189" s="564"/>
      <c r="AT189" s="564"/>
      <c r="AU189" s="565"/>
      <c r="AV189" s="563"/>
      <c r="AW189" s="564"/>
      <c r="AX189" s="564"/>
      <c r="AY189" s="565"/>
      <c r="AZ189" s="563"/>
      <c r="BA189" s="564"/>
      <c r="BB189" s="564"/>
      <c r="BC189" s="565"/>
      <c r="BD189" s="563"/>
      <c r="BE189" s="564"/>
      <c r="BF189" s="564"/>
      <c r="BG189" s="565"/>
      <c r="BH189" s="563"/>
      <c r="BI189" s="564"/>
      <c r="BJ189" s="564"/>
      <c r="BK189" s="565"/>
      <c r="BL189" s="19"/>
      <c r="BM189" s="577"/>
      <c r="BN189" s="578"/>
      <c r="BO189" s="578"/>
      <c r="BP189" s="578"/>
      <c r="BQ189" s="578"/>
      <c r="BR189" s="578"/>
      <c r="BS189" s="578"/>
      <c r="BT189" s="579"/>
      <c r="BU189" s="578"/>
      <c r="BV189" s="578"/>
      <c r="BW189" s="578"/>
      <c r="BX189" s="578"/>
      <c r="BY189" s="578"/>
      <c r="BZ189" s="578"/>
      <c r="CA189" s="579"/>
      <c r="CB189" s="19"/>
      <c r="CC189" s="577"/>
      <c r="CD189" s="578"/>
      <c r="CE189" s="578"/>
      <c r="CF189" s="578"/>
      <c r="CG189" s="578"/>
      <c r="CH189" s="578"/>
      <c r="CI189" s="578"/>
      <c r="CJ189" s="578"/>
      <c r="CK189" s="578"/>
      <c r="CL189" s="578"/>
      <c r="CM189" s="578"/>
      <c r="CN189" s="578"/>
      <c r="CO189" s="578"/>
      <c r="CP189" s="579"/>
      <c r="CQ189" s="7"/>
      <c r="CX189" s="7"/>
    </row>
    <row r="190" spans="1:102" ht="14.25" customHeight="1">
      <c r="B190" s="555" t="s">
        <v>262</v>
      </c>
      <c r="C190" s="1024"/>
      <c r="D190" s="1026">
        <v>0</v>
      </c>
      <c r="E190" s="1027">
        <v>0</v>
      </c>
      <c r="F190" s="1027">
        <v>0</v>
      </c>
      <c r="G190" s="1025">
        <v>0</v>
      </c>
      <c r="H190" s="1026">
        <v>0</v>
      </c>
      <c r="I190" s="1027">
        <v>0</v>
      </c>
      <c r="J190" s="1027">
        <v>0</v>
      </c>
      <c r="K190" s="1025">
        <v>0</v>
      </c>
      <c r="L190" s="1026">
        <v>0</v>
      </c>
      <c r="M190" s="1027">
        <v>0</v>
      </c>
      <c r="N190" s="1027">
        <v>0</v>
      </c>
      <c r="O190" s="1025">
        <v>0</v>
      </c>
      <c r="P190" s="1026">
        <v>0</v>
      </c>
      <c r="Q190" s="1027">
        <v>0</v>
      </c>
      <c r="R190" s="1027">
        <v>0</v>
      </c>
      <c r="S190" s="1025">
        <v>0</v>
      </c>
      <c r="T190" s="1026">
        <v>0</v>
      </c>
      <c r="U190" s="1027">
        <v>0</v>
      </c>
      <c r="V190" s="1027">
        <v>0</v>
      </c>
      <c r="W190" s="1025">
        <v>0</v>
      </c>
      <c r="X190" s="1026">
        <v>0</v>
      </c>
      <c r="Y190" s="1027">
        <v>0</v>
      </c>
      <c r="Z190" s="1027">
        <v>0</v>
      </c>
      <c r="AA190" s="1025">
        <v>0</v>
      </c>
      <c r="AB190" s="1026">
        <v>0</v>
      </c>
      <c r="AC190" s="1027">
        <v>0</v>
      </c>
      <c r="AD190" s="1027">
        <v>0</v>
      </c>
      <c r="AE190" s="1025">
        <v>0</v>
      </c>
      <c r="AF190" s="1026">
        <v>0</v>
      </c>
      <c r="AG190" s="1027">
        <v>0</v>
      </c>
      <c r="AH190" s="1027">
        <v>0</v>
      </c>
      <c r="AI190" s="1025">
        <v>0</v>
      </c>
      <c r="AJ190" s="1026">
        <v>0</v>
      </c>
      <c r="AK190" s="1027">
        <v>0</v>
      </c>
      <c r="AL190" s="1027">
        <v>0</v>
      </c>
      <c r="AM190" s="1025">
        <v>0</v>
      </c>
      <c r="AN190" s="1026">
        <v>0</v>
      </c>
      <c r="AO190" s="1027">
        <v>0</v>
      </c>
      <c r="AP190" s="1027">
        <v>0</v>
      </c>
      <c r="AQ190" s="1025">
        <v>0</v>
      </c>
      <c r="AR190" s="1026">
        <v>0</v>
      </c>
      <c r="AS190" s="1027">
        <v>0</v>
      </c>
      <c r="AT190" s="1027">
        <v>0</v>
      </c>
      <c r="AU190" s="1025">
        <v>0</v>
      </c>
      <c r="AV190" s="1026">
        <v>0</v>
      </c>
      <c r="AW190" s="1027">
        <v>0</v>
      </c>
      <c r="AX190" s="1027">
        <v>0</v>
      </c>
      <c r="AY190" s="1025">
        <v>0</v>
      </c>
      <c r="AZ190" s="1026">
        <v>0</v>
      </c>
      <c r="BA190" s="1027">
        <v>0</v>
      </c>
      <c r="BB190" s="1027">
        <v>0</v>
      </c>
      <c r="BC190" s="1025">
        <v>0</v>
      </c>
      <c r="BD190" s="1026">
        <v>0</v>
      </c>
      <c r="BE190" s="1027">
        <v>0</v>
      </c>
      <c r="BF190" s="1027">
        <v>0</v>
      </c>
      <c r="BG190" s="1025">
        <v>0</v>
      </c>
      <c r="BH190" s="1026">
        <v>0</v>
      </c>
      <c r="BI190" s="1027">
        <v>0</v>
      </c>
      <c r="BJ190" s="1027">
        <v>0</v>
      </c>
      <c r="BK190" s="1025">
        <v>0</v>
      </c>
      <c r="BL190" s="447"/>
      <c r="BM190" s="1032">
        <f>SUM(D190:G190)</f>
        <v>0</v>
      </c>
      <c r="BN190" s="1031">
        <f>SUM(H190:K190)</f>
        <v>0</v>
      </c>
      <c r="BO190" s="1031">
        <f>SUM(L190:O190)</f>
        <v>0</v>
      </c>
      <c r="BP190" s="1031">
        <f>SUM(P190:S190)</f>
        <v>0</v>
      </c>
      <c r="BQ190" s="1031">
        <f>SUM(T190:W190)</f>
        <v>0</v>
      </c>
      <c r="BR190" s="1031">
        <f>SUM(X190:AA190)</f>
        <v>0</v>
      </c>
      <c r="BS190" s="1031">
        <f>SUM(AB190:AE190)</f>
        <v>0</v>
      </c>
      <c r="BT190" s="1023">
        <f>SUM(AF190:AI190)</f>
        <v>0</v>
      </c>
      <c r="BU190" s="1031">
        <f>SUM(AJ190:AM190)</f>
        <v>0</v>
      </c>
      <c r="BV190" s="1031">
        <f>SUM(AN190:AQ190)</f>
        <v>0</v>
      </c>
      <c r="BW190" s="1031">
        <f>SUM(AR190:AU190)</f>
        <v>0</v>
      </c>
      <c r="BX190" s="1031">
        <f>SUM(AV190:AY190)</f>
        <v>0</v>
      </c>
      <c r="BY190" s="1150">
        <f t="shared" ref="BY190:BY191" si="840">SUM(AZ190:BC190)</f>
        <v>0</v>
      </c>
      <c r="BZ190" s="1150">
        <f>SUM(BD190:BG190)</f>
        <v>0</v>
      </c>
      <c r="CA190" s="1023">
        <f>SUM(BE190:BH190)</f>
        <v>0</v>
      </c>
      <c r="CB190" s="447"/>
      <c r="CC190" s="1032">
        <f>SUM(E190:H190)</f>
        <v>0</v>
      </c>
      <c r="CD190" s="1031">
        <f>SUM(I190:L190)</f>
        <v>0</v>
      </c>
      <c r="CE190" s="1031">
        <f>SUM(M190:P190)</f>
        <v>0</v>
      </c>
      <c r="CF190" s="1031">
        <f>SUM(Q190:T190)</f>
        <v>0</v>
      </c>
      <c r="CG190" s="1031">
        <f>SUM(U190:X190)</f>
        <v>0</v>
      </c>
      <c r="CH190" s="1031">
        <f>SUM(Y190:AB190)</f>
        <v>0</v>
      </c>
      <c r="CI190" s="1031">
        <f>SUM(AC190:AF190)</f>
        <v>0</v>
      </c>
      <c r="CJ190" s="1031">
        <f>SUM(AG190:AJ190)</f>
        <v>0</v>
      </c>
      <c r="CK190" s="1031">
        <f>SUM(AK190:AN190)</f>
        <v>0</v>
      </c>
      <c r="CL190" s="1031">
        <f>SUM(AO190:AR190)</f>
        <v>0</v>
      </c>
      <c r="CM190" s="1031">
        <f>SUM(AS190:AV190)</f>
        <v>0</v>
      </c>
      <c r="CN190" s="1150">
        <f>SUM(AW190:AZ190)</f>
        <v>0</v>
      </c>
      <c r="CO190" s="1150">
        <f>SUM(BA190:BD190)</f>
        <v>0</v>
      </c>
      <c r="CP190" s="1023">
        <f>SUM(BE190:BH190)</f>
        <v>0</v>
      </c>
      <c r="CQ190" s="7"/>
      <c r="CX190" s="7"/>
    </row>
    <row r="191" spans="1:102" ht="14.25" customHeight="1">
      <c r="A191" s="7"/>
      <c r="B191" s="1053" t="s">
        <v>263</v>
      </c>
      <c r="C191" s="1050"/>
      <c r="D191" s="1058">
        <f t="shared" ref="D191:BC191" si="841">D57</f>
        <v>15</v>
      </c>
      <c r="E191" s="1045">
        <f t="shared" si="841"/>
        <v>21</v>
      </c>
      <c r="F191" s="1045">
        <f t="shared" si="841"/>
        <v>12</v>
      </c>
      <c r="G191" s="1059">
        <f t="shared" si="841"/>
        <v>8</v>
      </c>
      <c r="H191" s="1058">
        <f t="shared" si="841"/>
        <v>7</v>
      </c>
      <c r="I191" s="1045">
        <f t="shared" si="841"/>
        <v>7</v>
      </c>
      <c r="J191" s="1045">
        <f t="shared" si="841"/>
        <v>7</v>
      </c>
      <c r="K191" s="1059">
        <f t="shared" si="841"/>
        <v>7</v>
      </c>
      <c r="L191" s="1058">
        <f t="shared" si="841"/>
        <v>7</v>
      </c>
      <c r="M191" s="1045">
        <f t="shared" si="841"/>
        <v>7</v>
      </c>
      <c r="N191" s="1045">
        <f t="shared" si="841"/>
        <v>7</v>
      </c>
      <c r="O191" s="1059">
        <f t="shared" si="841"/>
        <v>7</v>
      </c>
      <c r="P191" s="1058">
        <f t="shared" si="841"/>
        <v>6</v>
      </c>
      <c r="Q191" s="1045">
        <f t="shared" si="841"/>
        <v>5</v>
      </c>
      <c r="R191" s="1045">
        <f t="shared" si="841"/>
        <v>5</v>
      </c>
      <c r="S191" s="1059">
        <f t="shared" si="841"/>
        <v>5</v>
      </c>
      <c r="T191" s="1058">
        <f t="shared" si="841"/>
        <v>5</v>
      </c>
      <c r="U191" s="1045">
        <f t="shared" si="841"/>
        <v>6</v>
      </c>
      <c r="V191" s="1045">
        <f t="shared" si="841"/>
        <v>5</v>
      </c>
      <c r="W191" s="1059">
        <f t="shared" si="841"/>
        <v>5</v>
      </c>
      <c r="X191" s="1058">
        <f t="shared" si="841"/>
        <v>6</v>
      </c>
      <c r="Y191" s="1045">
        <f t="shared" si="841"/>
        <v>5</v>
      </c>
      <c r="Z191" s="1045">
        <f t="shared" si="841"/>
        <v>5</v>
      </c>
      <c r="AA191" s="1059">
        <f t="shared" si="841"/>
        <v>6</v>
      </c>
      <c r="AB191" s="1058">
        <f t="shared" si="841"/>
        <v>5</v>
      </c>
      <c r="AC191" s="1045">
        <f t="shared" si="841"/>
        <v>5</v>
      </c>
      <c r="AD191" s="1045">
        <f t="shared" si="841"/>
        <v>6</v>
      </c>
      <c r="AE191" s="1059">
        <f t="shared" si="841"/>
        <v>5</v>
      </c>
      <c r="AF191" s="1058">
        <f t="shared" si="841"/>
        <v>5</v>
      </c>
      <c r="AG191" s="1045">
        <f t="shared" si="841"/>
        <v>6</v>
      </c>
      <c r="AH191" s="1045">
        <f t="shared" si="841"/>
        <v>6</v>
      </c>
      <c r="AI191" s="1059">
        <f t="shared" si="841"/>
        <v>7</v>
      </c>
      <c r="AJ191" s="1058">
        <f t="shared" si="841"/>
        <v>7</v>
      </c>
      <c r="AK191" s="1045">
        <f t="shared" si="841"/>
        <v>8</v>
      </c>
      <c r="AL191" s="1045">
        <f t="shared" si="841"/>
        <v>91</v>
      </c>
      <c r="AM191" s="1059">
        <f t="shared" si="841"/>
        <v>91</v>
      </c>
      <c r="AN191" s="1058">
        <f t="shared" si="841"/>
        <v>59</v>
      </c>
      <c r="AO191" s="1045">
        <f t="shared" si="841"/>
        <v>59</v>
      </c>
      <c r="AP191" s="1045">
        <f t="shared" si="841"/>
        <v>68</v>
      </c>
      <c r="AQ191" s="1059">
        <f t="shared" si="841"/>
        <v>63</v>
      </c>
      <c r="AR191" s="1058">
        <f t="shared" ref="AR191:AU191" si="842">AR57</f>
        <v>54</v>
      </c>
      <c r="AS191" s="1045">
        <f t="shared" si="842"/>
        <v>735</v>
      </c>
      <c r="AT191" s="1045">
        <f t="shared" si="842"/>
        <v>728</v>
      </c>
      <c r="AU191" s="1059">
        <f t="shared" si="842"/>
        <v>356</v>
      </c>
      <c r="AV191" s="1058">
        <f t="shared" ref="AV191" si="843">AV57</f>
        <v>440</v>
      </c>
      <c r="AW191" s="1045">
        <f t="shared" si="841"/>
        <v>442</v>
      </c>
      <c r="AX191" s="1045">
        <f t="shared" si="841"/>
        <v>441</v>
      </c>
      <c r="AY191" s="1059">
        <f t="shared" si="841"/>
        <v>441</v>
      </c>
      <c r="AZ191" s="1058">
        <f t="shared" si="841"/>
        <v>339</v>
      </c>
      <c r="BA191" s="1045">
        <f t="shared" si="841"/>
        <v>0</v>
      </c>
      <c r="BB191" s="1045">
        <f t="shared" si="841"/>
        <v>0</v>
      </c>
      <c r="BC191" s="1059">
        <f t="shared" si="841"/>
        <v>0</v>
      </c>
      <c r="BD191" s="1058">
        <f t="shared" ref="BD191:BG191" si="844">BD57</f>
        <v>0</v>
      </c>
      <c r="BE191" s="1045">
        <f t="shared" si="844"/>
        <v>0</v>
      </c>
      <c r="BF191" s="1045">
        <f t="shared" si="844"/>
        <v>0</v>
      </c>
      <c r="BG191" s="1059">
        <f t="shared" si="844"/>
        <v>0</v>
      </c>
      <c r="BH191" s="1058">
        <f t="shared" ref="BH191:BK191" si="845">BH57</f>
        <v>0</v>
      </c>
      <c r="BI191" s="1045">
        <f t="shared" si="845"/>
        <v>0</v>
      </c>
      <c r="BJ191" s="1045">
        <f t="shared" si="845"/>
        <v>0</v>
      </c>
      <c r="BK191" s="1059">
        <f t="shared" si="845"/>
        <v>0</v>
      </c>
      <c r="BL191" s="447"/>
      <c r="BM191" s="1058">
        <f>SUM(D191:G191)</f>
        <v>56</v>
      </c>
      <c r="BN191" s="1045">
        <f>SUM(H191:K191)</f>
        <v>28</v>
      </c>
      <c r="BO191" s="1045">
        <f>SUM(L191:O191)</f>
        <v>28</v>
      </c>
      <c r="BP191" s="1045">
        <f>SUM(P191:S191)</f>
        <v>21</v>
      </c>
      <c r="BQ191" s="1045">
        <f>SUM(T191:W191)</f>
        <v>21</v>
      </c>
      <c r="BR191" s="1045">
        <f>SUM(X191:AA191)</f>
        <v>22</v>
      </c>
      <c r="BS191" s="1045">
        <f>SUM(AB191:AE191)</f>
        <v>21</v>
      </c>
      <c r="BT191" s="1059">
        <f>SUM(AF191:AI191)</f>
        <v>24</v>
      </c>
      <c r="BU191" s="1045">
        <f>SUM(AJ191:AM191)</f>
        <v>197</v>
      </c>
      <c r="BV191" s="1045">
        <f>SUM(AN191:AQ191)</f>
        <v>249</v>
      </c>
      <c r="BW191" s="1045">
        <f>SUM(AR191:AU191)</f>
        <v>1873</v>
      </c>
      <c r="BX191" s="1045">
        <f>SUM(AV191:AY191)</f>
        <v>1764</v>
      </c>
      <c r="BY191" s="1045">
        <f t="shared" si="840"/>
        <v>339</v>
      </c>
      <c r="BZ191" s="1045">
        <f>SUM(BD191:BG191)</f>
        <v>0</v>
      </c>
      <c r="CA191" s="1059">
        <f>SUM(BE191:BH191)</f>
        <v>0</v>
      </c>
      <c r="CB191" s="447"/>
      <c r="CC191" s="1058">
        <f>SUM(E191:H191)</f>
        <v>48</v>
      </c>
      <c r="CD191" s="1045">
        <f>SUM(I191:L191)</f>
        <v>28</v>
      </c>
      <c r="CE191" s="1045">
        <f>SUM(M191:P191)</f>
        <v>27</v>
      </c>
      <c r="CF191" s="1045">
        <f>SUM(Q191:T191)</f>
        <v>20</v>
      </c>
      <c r="CG191" s="1045">
        <f>SUM(U191:X191)</f>
        <v>22</v>
      </c>
      <c r="CH191" s="1045">
        <f>SUM(Y191:AB191)</f>
        <v>21</v>
      </c>
      <c r="CI191" s="1045">
        <f>SUM(AC191:AF191)</f>
        <v>21</v>
      </c>
      <c r="CJ191" s="1045">
        <f>SUM(AG191:AJ191)</f>
        <v>26</v>
      </c>
      <c r="CK191" s="1045">
        <f>SUM(AK191:AN191)</f>
        <v>249</v>
      </c>
      <c r="CL191" s="1045">
        <f>SUM(AO191:AR191)</f>
        <v>244</v>
      </c>
      <c r="CM191" s="1045">
        <f>SUM(AS191:AV191)</f>
        <v>2259</v>
      </c>
      <c r="CN191" s="1045">
        <f>SUM(AW191:AZ191)</f>
        <v>1663</v>
      </c>
      <c r="CO191" s="1045">
        <f>SUM(BA191:BD191)</f>
        <v>0</v>
      </c>
      <c r="CP191" s="1059">
        <f>SUM(BE191:BH191)</f>
        <v>0</v>
      </c>
      <c r="CQ191" s="7"/>
      <c r="CX191" s="7"/>
    </row>
    <row r="192" spans="1:102" ht="14.25" customHeight="1">
      <c r="A192" s="7"/>
      <c r="B192" s="556" t="s">
        <v>249</v>
      </c>
      <c r="C192" s="557"/>
      <c r="D192" s="1060">
        <f>+SUM(D190:D191)</f>
        <v>15</v>
      </c>
      <c r="E192" s="1054">
        <f>+SUM(E190:E191)</f>
        <v>21</v>
      </c>
      <c r="F192" s="1054">
        <f>+SUM(F190:F191)</f>
        <v>12</v>
      </c>
      <c r="G192" s="1061">
        <f>+SUM(G190:G191)</f>
        <v>8</v>
      </c>
      <c r="H192" s="1060">
        <f t="shared" ref="H192:BC192" si="846">+SUM(H190:H191)</f>
        <v>7</v>
      </c>
      <c r="I192" s="1054">
        <f t="shared" si="846"/>
        <v>7</v>
      </c>
      <c r="J192" s="1054">
        <f t="shared" si="846"/>
        <v>7</v>
      </c>
      <c r="K192" s="1061">
        <f t="shared" si="846"/>
        <v>7</v>
      </c>
      <c r="L192" s="1060">
        <f t="shared" si="846"/>
        <v>7</v>
      </c>
      <c r="M192" s="1054">
        <f t="shared" si="846"/>
        <v>7</v>
      </c>
      <c r="N192" s="1054">
        <f t="shared" si="846"/>
        <v>7</v>
      </c>
      <c r="O192" s="1061">
        <f t="shared" si="846"/>
        <v>7</v>
      </c>
      <c r="P192" s="1060">
        <f t="shared" si="846"/>
        <v>6</v>
      </c>
      <c r="Q192" s="1054">
        <f t="shared" si="846"/>
        <v>5</v>
      </c>
      <c r="R192" s="1054">
        <f t="shared" si="846"/>
        <v>5</v>
      </c>
      <c r="S192" s="1061">
        <f t="shared" si="846"/>
        <v>5</v>
      </c>
      <c r="T192" s="1060">
        <f t="shared" si="846"/>
        <v>5</v>
      </c>
      <c r="U192" s="1054">
        <f t="shared" si="846"/>
        <v>6</v>
      </c>
      <c r="V192" s="1054">
        <f t="shared" si="846"/>
        <v>5</v>
      </c>
      <c r="W192" s="1061">
        <f t="shared" si="846"/>
        <v>5</v>
      </c>
      <c r="X192" s="1060">
        <f t="shared" si="846"/>
        <v>6</v>
      </c>
      <c r="Y192" s="1054">
        <f t="shared" si="846"/>
        <v>5</v>
      </c>
      <c r="Z192" s="1054">
        <f t="shared" si="846"/>
        <v>5</v>
      </c>
      <c r="AA192" s="1061">
        <f t="shared" si="846"/>
        <v>6</v>
      </c>
      <c r="AB192" s="1060">
        <f t="shared" si="846"/>
        <v>5</v>
      </c>
      <c r="AC192" s="1054">
        <f t="shared" si="846"/>
        <v>5</v>
      </c>
      <c r="AD192" s="1054">
        <f t="shared" si="846"/>
        <v>6</v>
      </c>
      <c r="AE192" s="1061">
        <f t="shared" si="846"/>
        <v>5</v>
      </c>
      <c r="AF192" s="1060">
        <f t="shared" si="846"/>
        <v>5</v>
      </c>
      <c r="AG192" s="1054">
        <f t="shared" si="846"/>
        <v>6</v>
      </c>
      <c r="AH192" s="1054">
        <f t="shared" si="846"/>
        <v>6</v>
      </c>
      <c r="AI192" s="1061">
        <f t="shared" si="846"/>
        <v>7</v>
      </c>
      <c r="AJ192" s="1060">
        <f t="shared" si="846"/>
        <v>7</v>
      </c>
      <c r="AK192" s="1054">
        <f t="shared" si="846"/>
        <v>8</v>
      </c>
      <c r="AL192" s="1054">
        <f>+SUM(AL190:AL191)</f>
        <v>91</v>
      </c>
      <c r="AM192" s="1061">
        <f t="shared" si="846"/>
        <v>91</v>
      </c>
      <c r="AN192" s="1060">
        <f t="shared" si="846"/>
        <v>59</v>
      </c>
      <c r="AO192" s="1054">
        <f t="shared" si="846"/>
        <v>59</v>
      </c>
      <c r="AP192" s="1054">
        <f>+SUM(AP190:AP191)</f>
        <v>68</v>
      </c>
      <c r="AQ192" s="1061">
        <f t="shared" ref="AQ192:AS192" si="847">+SUM(AQ190:AQ191)</f>
        <v>63</v>
      </c>
      <c r="AR192" s="1060">
        <f t="shared" si="847"/>
        <v>54</v>
      </c>
      <c r="AS192" s="1054">
        <f t="shared" si="847"/>
        <v>735</v>
      </c>
      <c r="AT192" s="1054">
        <f>+SUM(AT190:AT191)</f>
        <v>728</v>
      </c>
      <c r="AU192" s="1061">
        <f t="shared" ref="AU192:AV192" si="848">+SUM(AU190:AU191)</f>
        <v>356</v>
      </c>
      <c r="AV192" s="1060">
        <f t="shared" si="848"/>
        <v>440</v>
      </c>
      <c r="AW192" s="1054">
        <f t="shared" si="846"/>
        <v>442</v>
      </c>
      <c r="AX192" s="1054">
        <f>+SUM(AX190:AX191)</f>
        <v>441</v>
      </c>
      <c r="AY192" s="1061">
        <f t="shared" si="846"/>
        <v>441</v>
      </c>
      <c r="AZ192" s="1060">
        <f t="shared" si="846"/>
        <v>339</v>
      </c>
      <c r="BA192" s="1054">
        <f t="shared" si="846"/>
        <v>0</v>
      </c>
      <c r="BB192" s="1054">
        <f t="shared" si="846"/>
        <v>0</v>
      </c>
      <c r="BC192" s="1061">
        <f t="shared" si="846"/>
        <v>0</v>
      </c>
      <c r="BD192" s="1060">
        <f t="shared" ref="BD192:BG192" si="849">+SUM(BD190:BD191)</f>
        <v>0</v>
      </c>
      <c r="BE192" s="1054">
        <f t="shared" si="849"/>
        <v>0</v>
      </c>
      <c r="BF192" s="1054">
        <f t="shared" si="849"/>
        <v>0</v>
      </c>
      <c r="BG192" s="1061">
        <f t="shared" si="849"/>
        <v>0</v>
      </c>
      <c r="BH192" s="1060">
        <f t="shared" ref="BH192:BK192" si="850">+SUM(BH190:BH191)</f>
        <v>0</v>
      </c>
      <c r="BI192" s="1054">
        <f t="shared" si="850"/>
        <v>0</v>
      </c>
      <c r="BJ192" s="1054">
        <f t="shared" si="850"/>
        <v>0</v>
      </c>
      <c r="BK192" s="1061">
        <f t="shared" si="850"/>
        <v>0</v>
      </c>
      <c r="BL192" s="447"/>
      <c r="BM192" s="575">
        <f t="shared" ref="BM192:BV192" si="851">+SUM(BM190:BM191)</f>
        <v>56</v>
      </c>
      <c r="BN192" s="557">
        <f t="shared" si="851"/>
        <v>28</v>
      </c>
      <c r="BO192" s="557">
        <f t="shared" si="851"/>
        <v>28</v>
      </c>
      <c r="BP192" s="557">
        <f t="shared" si="851"/>
        <v>21</v>
      </c>
      <c r="BQ192" s="557">
        <f t="shared" si="851"/>
        <v>21</v>
      </c>
      <c r="BR192" s="557">
        <f t="shared" si="851"/>
        <v>22</v>
      </c>
      <c r="BS192" s="557">
        <f t="shared" si="851"/>
        <v>21</v>
      </c>
      <c r="BT192" s="576">
        <f t="shared" si="851"/>
        <v>24</v>
      </c>
      <c r="BU192" s="557">
        <f t="shared" si="851"/>
        <v>197</v>
      </c>
      <c r="BV192" s="557">
        <f t="shared" si="851"/>
        <v>249</v>
      </c>
      <c r="BW192" s="557">
        <f>+SUM(BW190:BW191)</f>
        <v>1873</v>
      </c>
      <c r="BX192" s="557">
        <f>+SUM(BX190:BX191)</f>
        <v>1764</v>
      </c>
      <c r="BY192" s="557">
        <f>+SUM(BY190:BY191)</f>
        <v>339</v>
      </c>
      <c r="BZ192" s="557">
        <f>+SUM(BZ190:BZ191)</f>
        <v>0</v>
      </c>
      <c r="CA192" s="576">
        <f>+SUM(CA190:CA191)</f>
        <v>0</v>
      </c>
      <c r="CB192" s="447"/>
      <c r="CC192" s="1060">
        <f t="shared" ref="CC192:CJ192" si="852">+SUM(CC190:CC191)</f>
        <v>48</v>
      </c>
      <c r="CD192" s="1054">
        <f t="shared" si="852"/>
        <v>28</v>
      </c>
      <c r="CE192" s="1054">
        <f t="shared" si="852"/>
        <v>27</v>
      </c>
      <c r="CF192" s="1054">
        <f t="shared" si="852"/>
        <v>20</v>
      </c>
      <c r="CG192" s="1054">
        <f t="shared" si="852"/>
        <v>22</v>
      </c>
      <c r="CH192" s="1054">
        <f t="shared" si="852"/>
        <v>21</v>
      </c>
      <c r="CI192" s="1054">
        <f t="shared" si="852"/>
        <v>21</v>
      </c>
      <c r="CJ192" s="1054">
        <f t="shared" si="852"/>
        <v>26</v>
      </c>
      <c r="CK192" s="1054">
        <f t="shared" ref="CK192:CP192" si="853">+SUM(CK190:CK191)</f>
        <v>249</v>
      </c>
      <c r="CL192" s="1054">
        <f t="shared" si="853"/>
        <v>244</v>
      </c>
      <c r="CM192" s="1054">
        <f t="shared" si="853"/>
        <v>2259</v>
      </c>
      <c r="CN192" s="1054">
        <f t="shared" si="853"/>
        <v>1663</v>
      </c>
      <c r="CO192" s="1054">
        <f t="shared" si="853"/>
        <v>0</v>
      </c>
      <c r="CP192" s="1061">
        <f t="shared" si="853"/>
        <v>0</v>
      </c>
      <c r="CQ192" s="320"/>
      <c r="CX192" s="7"/>
    </row>
    <row r="193" spans="1:102" ht="14.25" customHeight="1">
      <c r="A193" s="7"/>
      <c r="B193" s="558"/>
      <c r="C193" s="559"/>
      <c r="D193" s="566"/>
      <c r="E193" s="567"/>
      <c r="F193" s="567"/>
      <c r="G193" s="568"/>
      <c r="H193" s="566"/>
      <c r="I193" s="567"/>
      <c r="J193" s="567"/>
      <c r="K193" s="568"/>
      <c r="L193" s="566"/>
      <c r="M193" s="567"/>
      <c r="N193" s="567"/>
      <c r="O193" s="568"/>
      <c r="P193" s="566"/>
      <c r="Q193" s="567"/>
      <c r="R193" s="567"/>
      <c r="S193" s="568"/>
      <c r="T193" s="566"/>
      <c r="U193" s="567"/>
      <c r="V193" s="567"/>
      <c r="W193" s="568"/>
      <c r="X193" s="566"/>
      <c r="Y193" s="567"/>
      <c r="Z193" s="567"/>
      <c r="AA193" s="568"/>
      <c r="AB193" s="566"/>
      <c r="AC193" s="567"/>
      <c r="AD193" s="567"/>
      <c r="AE193" s="568"/>
      <c r="AF193" s="566"/>
      <c r="AG193" s="567"/>
      <c r="AH193" s="567"/>
      <c r="AI193" s="568"/>
      <c r="AJ193" s="566"/>
      <c r="AK193" s="567"/>
      <c r="AL193" s="567"/>
      <c r="AM193" s="568"/>
      <c r="AN193" s="566"/>
      <c r="AO193" s="567"/>
      <c r="AP193" s="567"/>
      <c r="AQ193" s="568"/>
      <c r="AR193" s="566"/>
      <c r="AS193" s="567"/>
      <c r="AT193" s="567"/>
      <c r="AU193" s="568"/>
      <c r="AV193" s="566"/>
      <c r="AW193" s="567"/>
      <c r="AX193" s="567"/>
      <c r="AY193" s="568"/>
      <c r="AZ193" s="566"/>
      <c r="BA193" s="567"/>
      <c r="BB193" s="567"/>
      <c r="BC193" s="568"/>
      <c r="BD193" s="566"/>
      <c r="BE193" s="567"/>
      <c r="BF193" s="567"/>
      <c r="BG193" s="568"/>
      <c r="BH193" s="566"/>
      <c r="BI193" s="567"/>
      <c r="BJ193" s="567"/>
      <c r="BK193" s="568"/>
      <c r="BL193" s="447"/>
      <c r="BM193" s="566"/>
      <c r="BN193" s="567"/>
      <c r="BO193" s="567"/>
      <c r="BP193" s="567"/>
      <c r="BQ193" s="567"/>
      <c r="BR193" s="567"/>
      <c r="BS193" s="567"/>
      <c r="BT193" s="568"/>
      <c r="BU193" s="567"/>
      <c r="BV193" s="567"/>
      <c r="BW193" s="567"/>
      <c r="BX193" s="567"/>
      <c r="BY193" s="1066"/>
      <c r="BZ193" s="1066"/>
      <c r="CA193" s="1067"/>
      <c r="CB193" s="447"/>
      <c r="CC193" s="1065"/>
      <c r="CD193" s="1066"/>
      <c r="CE193" s="1066"/>
      <c r="CF193" s="1066"/>
      <c r="CG193" s="1066"/>
      <c r="CH193" s="1066"/>
      <c r="CI193" s="1066"/>
      <c r="CJ193" s="1066"/>
      <c r="CK193" s="1066"/>
      <c r="CL193" s="1066"/>
      <c r="CM193" s="1066"/>
      <c r="CN193" s="1066"/>
      <c r="CO193" s="1066"/>
      <c r="CP193" s="1067"/>
      <c r="CQ193" s="7"/>
      <c r="CX193" s="7"/>
    </row>
    <row r="194" spans="1:102" ht="14.25" customHeight="1">
      <c r="A194" s="7"/>
      <c r="B194" s="545"/>
      <c r="C194" s="7"/>
      <c r="AR194" s="1125"/>
      <c r="AS194" s="1135"/>
      <c r="AT194" s="1197"/>
      <c r="AU194" s="1214"/>
      <c r="AV194" s="1290"/>
      <c r="BX194" s="757"/>
      <c r="BY194" s="757"/>
      <c r="BZ194" s="757"/>
      <c r="CF194" s="410"/>
      <c r="CJ194" s="641"/>
      <c r="CK194" s="641"/>
      <c r="CL194" s="641"/>
      <c r="CM194" s="641"/>
      <c r="CN194" s="641"/>
      <c r="CO194" s="641"/>
      <c r="CP194" s="641"/>
      <c r="CQ194" s="7"/>
      <c r="CX194" s="7"/>
    </row>
    <row r="195" spans="1:102" ht="14.25" customHeight="1">
      <c r="A195" s="7"/>
      <c r="B195" s="1191" t="s">
        <v>388</v>
      </c>
      <c r="C195" s="539"/>
      <c r="D195" s="761"/>
      <c r="E195" s="761"/>
      <c r="F195" s="761"/>
      <c r="G195" s="10"/>
      <c r="H195" s="761"/>
      <c r="I195" s="10"/>
      <c r="J195" s="10"/>
      <c r="K195" s="761"/>
      <c r="L195" s="761"/>
      <c r="M195" s="761"/>
      <c r="N195" s="541" t="s">
        <v>304</v>
      </c>
      <c r="O195" s="542" t="s">
        <v>305</v>
      </c>
      <c r="P195" s="540" t="s">
        <v>306</v>
      </c>
      <c r="Q195" s="541" t="s">
        <v>307</v>
      </c>
      <c r="R195" s="541" t="s">
        <v>308</v>
      </c>
      <c r="S195" s="542" t="s">
        <v>309</v>
      </c>
      <c r="T195" s="540" t="s">
        <v>315</v>
      </c>
      <c r="U195" s="541" t="s">
        <v>316</v>
      </c>
      <c r="V195" s="541" t="s">
        <v>317</v>
      </c>
      <c r="W195" s="542" t="s">
        <v>318</v>
      </c>
      <c r="X195" s="540" t="s">
        <v>319</v>
      </c>
      <c r="Y195" s="541" t="s">
        <v>320</v>
      </c>
      <c r="Z195" s="541" t="s">
        <v>321</v>
      </c>
      <c r="AA195" s="542" t="s">
        <v>322</v>
      </c>
      <c r="AB195" s="540" t="s">
        <v>323</v>
      </c>
      <c r="AC195" s="541" t="s">
        <v>324</v>
      </c>
      <c r="AD195" s="541" t="s">
        <v>325</v>
      </c>
      <c r="AE195" s="542" t="s">
        <v>326</v>
      </c>
      <c r="AF195" s="540" t="s">
        <v>327</v>
      </c>
      <c r="AG195" s="541" t="s">
        <v>335</v>
      </c>
      <c r="AH195" s="541" t="s">
        <v>336</v>
      </c>
      <c r="AI195" s="542" t="s">
        <v>351</v>
      </c>
      <c r="AJ195" s="540" t="s">
        <v>293</v>
      </c>
      <c r="AK195" s="541" t="s">
        <v>243</v>
      </c>
      <c r="AL195" s="541" t="s">
        <v>366</v>
      </c>
      <c r="AM195" s="542" t="s">
        <v>371</v>
      </c>
      <c r="AN195" s="540" t="s">
        <v>372</v>
      </c>
      <c r="AO195" s="541" t="s">
        <v>379</v>
      </c>
      <c r="AP195" s="541" t="s">
        <v>380</v>
      </c>
      <c r="AQ195" s="542" t="s">
        <v>386</v>
      </c>
      <c r="AR195" s="540" t="s">
        <v>392</v>
      </c>
      <c r="AS195" s="541" t="s">
        <v>394</v>
      </c>
      <c r="AT195" s="541" t="s">
        <v>401</v>
      </c>
      <c r="AU195" s="542" t="s">
        <v>407</v>
      </c>
      <c r="AV195" s="756" t="s">
        <v>392</v>
      </c>
      <c r="AW195" s="1320" t="s">
        <v>409</v>
      </c>
      <c r="AX195" s="1302" t="s">
        <v>21</v>
      </c>
      <c r="AY195" s="1452" t="s">
        <v>417</v>
      </c>
      <c r="AZ195" s="1303" t="s">
        <v>382</v>
      </c>
      <c r="BA195" s="1302" t="s">
        <v>383</v>
      </c>
      <c r="BB195" s="1302" t="s">
        <v>384</v>
      </c>
      <c r="BC195" s="1304" t="s">
        <v>385</v>
      </c>
      <c r="BD195" s="1362" t="s">
        <v>403</v>
      </c>
      <c r="BE195" s="1320" t="s">
        <v>404</v>
      </c>
      <c r="BF195" s="1320" t="s">
        <v>405</v>
      </c>
      <c r="BG195" s="1336" t="s">
        <v>406</v>
      </c>
      <c r="BH195" s="1362" t="s">
        <v>412</v>
      </c>
      <c r="BI195" s="1320" t="s">
        <v>413</v>
      </c>
      <c r="BJ195" s="1320" t="s">
        <v>414</v>
      </c>
      <c r="BK195" s="1336" t="s">
        <v>415</v>
      </c>
      <c r="BL195" s="19"/>
      <c r="BM195" s="541" t="s">
        <v>328</v>
      </c>
      <c r="BN195" s="541" t="s">
        <v>329</v>
      </c>
      <c r="BO195" s="541" t="s">
        <v>330</v>
      </c>
      <c r="BP195" s="541" t="s">
        <v>331</v>
      </c>
      <c r="BQ195" s="541" t="s">
        <v>332</v>
      </c>
      <c r="BR195" s="541" t="s">
        <v>333</v>
      </c>
      <c r="BS195" s="541" t="s">
        <v>334</v>
      </c>
      <c r="BT195" s="542" t="s">
        <v>354</v>
      </c>
      <c r="BU195" s="541" t="s">
        <v>377</v>
      </c>
      <c r="BV195" s="541" t="s">
        <v>387</v>
      </c>
      <c r="BW195" s="541" t="s">
        <v>194</v>
      </c>
      <c r="BX195" s="541" t="s">
        <v>194</v>
      </c>
      <c r="BY195" s="541" t="s">
        <v>195</v>
      </c>
      <c r="BZ195" s="541" t="s">
        <v>196</v>
      </c>
      <c r="CA195" s="542" t="s">
        <v>196</v>
      </c>
      <c r="CB195" s="19"/>
      <c r="CC195" s="541" t="s">
        <v>182</v>
      </c>
      <c r="CD195" s="541" t="s">
        <v>181</v>
      </c>
      <c r="CE195" s="541" t="s">
        <v>183</v>
      </c>
      <c r="CF195" s="541" t="s">
        <v>184</v>
      </c>
      <c r="CG195" s="541" t="s">
        <v>185</v>
      </c>
      <c r="CH195" s="541" t="s">
        <v>289</v>
      </c>
      <c r="CI195" s="540" t="s">
        <v>290</v>
      </c>
      <c r="CJ195" s="541" t="s">
        <v>311</v>
      </c>
      <c r="CK195" s="541" t="s">
        <v>378</v>
      </c>
      <c r="CL195" s="541" t="s">
        <v>352</v>
      </c>
      <c r="CM195" s="541" t="s">
        <v>17</v>
      </c>
      <c r="CN195" s="541" t="s">
        <v>18</v>
      </c>
      <c r="CO195" s="541" t="s">
        <v>19</v>
      </c>
      <c r="CP195" s="758" t="s">
        <v>20</v>
      </c>
      <c r="CQ195" s="7"/>
      <c r="CX195" s="7"/>
    </row>
    <row r="196" spans="1:102" ht="14.25" customHeight="1">
      <c r="A196" s="7"/>
      <c r="B196" s="1192" t="s">
        <v>207</v>
      </c>
      <c r="C196" s="491"/>
      <c r="D196" s="988"/>
      <c r="E196" s="988"/>
      <c r="F196" s="988"/>
      <c r="G196" s="135"/>
      <c r="H196" s="988"/>
      <c r="I196" s="135"/>
      <c r="J196" s="135"/>
      <c r="K196" s="988"/>
      <c r="L196" s="988"/>
      <c r="M196" s="988"/>
      <c r="N196" s="1453">
        <v>19</v>
      </c>
      <c r="O196" s="1382">
        <v>20</v>
      </c>
      <c r="P196" s="1382">
        <v>20</v>
      </c>
      <c r="Q196" s="1382">
        <v>20</v>
      </c>
      <c r="R196" s="1382">
        <v>20</v>
      </c>
      <c r="S196" s="1382">
        <v>21</v>
      </c>
      <c r="T196" s="1382">
        <v>19</v>
      </c>
      <c r="U196" s="1382">
        <v>20</v>
      </c>
      <c r="V196" s="1382">
        <v>20</v>
      </c>
      <c r="W196" s="1382">
        <v>21</v>
      </c>
      <c r="X196" s="1382">
        <v>21</v>
      </c>
      <c r="Y196" s="1382">
        <v>19</v>
      </c>
      <c r="Z196" s="1382">
        <v>20</v>
      </c>
      <c r="AA196" s="1382">
        <v>19</v>
      </c>
      <c r="AB196" s="1382">
        <v>18</v>
      </c>
      <c r="AC196" s="1382">
        <v>19</v>
      </c>
      <c r="AD196" s="1382">
        <v>20</v>
      </c>
      <c r="AE196" s="1382">
        <v>21</v>
      </c>
      <c r="AF196" s="1382">
        <v>22</v>
      </c>
      <c r="AG196" s="1382">
        <v>22</v>
      </c>
      <c r="AH196" s="1382">
        <v>26</v>
      </c>
      <c r="AI196" s="1382">
        <v>32</v>
      </c>
      <c r="AJ196" s="1382">
        <v>32</v>
      </c>
      <c r="AK196" s="1382">
        <v>35</v>
      </c>
      <c r="AL196" s="1382">
        <v>46</v>
      </c>
      <c r="AM196" s="1382">
        <v>51</v>
      </c>
      <c r="AN196" s="1382">
        <v>54</v>
      </c>
      <c r="AO196" s="1382">
        <v>58</v>
      </c>
      <c r="AP196" s="1382">
        <v>59</v>
      </c>
      <c r="AQ196" s="1382">
        <v>58</v>
      </c>
      <c r="AR196" s="1382">
        <v>60</v>
      </c>
      <c r="AS196" s="1382">
        <v>107</v>
      </c>
      <c r="AT196" s="1382">
        <v>117</v>
      </c>
      <c r="AU196" s="1382">
        <v>118</v>
      </c>
      <c r="AV196" s="1382">
        <v>112</v>
      </c>
      <c r="AW196" s="1382">
        <v>110</v>
      </c>
      <c r="AX196" s="1382">
        <v>112</v>
      </c>
      <c r="AY196" s="1383">
        <v>117</v>
      </c>
      <c r="AZ196" s="1002">
        <v>126</v>
      </c>
      <c r="BA196" s="1123">
        <f>'CFS '!BA80</f>
        <v>121.91968320000001</v>
      </c>
      <c r="BB196" s="1123">
        <f>'CFS '!BB80</f>
        <v>127.39256491500001</v>
      </c>
      <c r="BC196" s="1004">
        <f>'CFS '!BC80</f>
        <v>133.25446689397501</v>
      </c>
      <c r="BD196" s="1002">
        <f>'CFS '!BD80</f>
        <v>138.85225855540202</v>
      </c>
      <c r="BE196" s="1123">
        <f>'CFS '!BE80</f>
        <v>144.2893979001712</v>
      </c>
      <c r="BF196" s="1123">
        <f>'CFS '!BF80</f>
        <v>141.53604247984435</v>
      </c>
      <c r="BG196" s="1004">
        <f>'CFS '!BG80</f>
        <v>147.6519126074966</v>
      </c>
      <c r="BH196" s="1002">
        <f>'CFS '!BH80</f>
        <v>139.54110491786474</v>
      </c>
      <c r="BI196" s="1123">
        <f>'CFS '!BI80</f>
        <v>144.56893450197029</v>
      </c>
      <c r="BJ196" s="1123">
        <f>'CFS '!BJ80</f>
        <v>149.80087763487424</v>
      </c>
      <c r="BK196" s="1004">
        <f>'CFS '!BK80</f>
        <v>155.36496122354515</v>
      </c>
      <c r="BL196" s="1437"/>
      <c r="BM196" s="761"/>
      <c r="BN196" s="761"/>
      <c r="BO196" s="10"/>
      <c r="BP196" s="761"/>
      <c r="BQ196" s="10"/>
      <c r="BR196" s="761"/>
      <c r="BS196" s="761"/>
      <c r="BT196" s="761"/>
      <c r="BU196" s="998"/>
      <c r="BV196" s="996"/>
      <c r="BW196" s="1029">
        <f>SUM(AR196:AU196)</f>
        <v>402</v>
      </c>
      <c r="BX196" s="1029">
        <f>SUM(AV196:AY196)</f>
        <v>451</v>
      </c>
      <c r="BY196" s="1029">
        <f t="shared" ref="BY196" si="854">SUM(AZ196:BC196)</f>
        <v>508.566715008975</v>
      </c>
      <c r="BZ196" s="1029">
        <f>SUM(BD196:BG196)</f>
        <v>572.32961154291411</v>
      </c>
      <c r="CA196" s="1028">
        <f>SUM(BE196:BH196)</f>
        <v>573.01845790537686</v>
      </c>
      <c r="CB196" s="1437"/>
      <c r="CC196" s="761"/>
      <c r="CD196" s="761"/>
      <c r="CE196" s="761"/>
      <c r="CF196" s="13"/>
      <c r="CG196" s="761"/>
      <c r="CH196" s="761"/>
      <c r="CI196" s="989"/>
      <c r="CJ196" s="987"/>
      <c r="CK196" s="987"/>
      <c r="CL196" s="1022">
        <f>SUM(AO196:AR196)</f>
        <v>235</v>
      </c>
      <c r="CM196" s="1022">
        <f>SUM(AS196:AV196)</f>
        <v>454</v>
      </c>
      <c r="CN196" s="1022">
        <f>SUM(AW196:AZ196)</f>
        <v>465</v>
      </c>
      <c r="CO196" s="1022">
        <f>SUM(BA196:BD196)</f>
        <v>521.4189735643771</v>
      </c>
      <c r="CP196" s="1021">
        <f>SUM(BE196:BH196)</f>
        <v>573.01845790537686</v>
      </c>
      <c r="CQ196" s="7"/>
      <c r="CX196" s="7"/>
    </row>
    <row r="197" spans="1:102" ht="14.25" customHeight="1">
      <c r="A197" s="7"/>
      <c r="B197" s="1009"/>
      <c r="C197" s="232"/>
      <c r="D197" s="761"/>
      <c r="E197" s="761"/>
      <c r="F197" s="761"/>
      <c r="G197" s="10"/>
      <c r="H197" s="761"/>
      <c r="I197" s="10"/>
      <c r="J197" s="10"/>
      <c r="K197" s="761"/>
      <c r="L197" s="761"/>
      <c r="M197" s="761"/>
      <c r="N197" s="761"/>
      <c r="O197" s="761"/>
      <c r="P197" s="761"/>
      <c r="Q197" s="761"/>
      <c r="R197" s="761"/>
      <c r="S197" s="10"/>
      <c r="T197" s="761"/>
      <c r="U197" s="761"/>
      <c r="V197" s="761"/>
      <c r="W197" s="761"/>
      <c r="X197" s="761"/>
      <c r="Y197" s="10"/>
      <c r="Z197" s="761"/>
      <c r="AA197" s="761"/>
      <c r="AB197" s="761"/>
      <c r="AC197" s="761"/>
      <c r="AD197" s="761"/>
      <c r="AE197" s="761"/>
      <c r="AF197" s="761"/>
      <c r="AG197" s="761"/>
      <c r="AH197" s="761"/>
      <c r="AI197" s="761"/>
      <c r="AJ197" s="761"/>
      <c r="AK197" s="761"/>
      <c r="AL197" s="761"/>
      <c r="AM197" s="761"/>
      <c r="AN197" s="933"/>
      <c r="AO197" s="934"/>
      <c r="AP197" s="934"/>
      <c r="AQ197" s="935"/>
      <c r="AR197" s="933"/>
      <c r="AS197" s="934"/>
      <c r="AT197" s="934"/>
      <c r="AU197" s="935"/>
      <c r="AV197" s="933"/>
      <c r="AW197" s="934"/>
      <c r="AX197" s="982"/>
      <c r="AY197" s="992"/>
      <c r="AZ197" s="986"/>
      <c r="BA197" s="982"/>
      <c r="BB197" s="982"/>
      <c r="BC197" s="992"/>
      <c r="BD197" s="986"/>
      <c r="BE197" s="982"/>
      <c r="BF197" s="982"/>
      <c r="BG197" s="992"/>
      <c r="BH197" s="986"/>
      <c r="BI197" s="982"/>
      <c r="BJ197" s="982"/>
      <c r="BK197" s="992"/>
      <c r="BL197" s="1437"/>
      <c r="BM197" s="989"/>
      <c r="BN197" s="988"/>
      <c r="BO197" s="135"/>
      <c r="BP197" s="988"/>
      <c r="BQ197" s="135"/>
      <c r="BR197" s="988"/>
      <c r="BS197" s="988"/>
      <c r="BT197" s="997"/>
      <c r="BU197" s="933"/>
      <c r="BV197" s="934"/>
      <c r="BW197" s="934"/>
      <c r="BX197" s="934"/>
      <c r="BY197" s="934"/>
      <c r="BZ197" s="934"/>
      <c r="CA197" s="935"/>
      <c r="CB197" s="1437"/>
      <c r="CC197" s="761"/>
      <c r="CD197" s="761"/>
      <c r="CE197" s="761"/>
      <c r="CF197" s="13"/>
      <c r="CG197" s="761"/>
      <c r="CH197" s="761"/>
      <c r="CI197" s="933"/>
      <c r="CJ197" s="13"/>
      <c r="CK197" s="13"/>
      <c r="CL197" s="13"/>
      <c r="CM197" s="13"/>
      <c r="CN197" s="13"/>
      <c r="CO197" s="13"/>
      <c r="CP197" s="232"/>
      <c r="CQ197" s="7"/>
      <c r="CX197" s="7"/>
    </row>
    <row r="198" spans="1:102" ht="14.25" customHeight="1">
      <c r="A198" s="7"/>
      <c r="B198" s="1192" t="s">
        <v>106</v>
      </c>
      <c r="C198" s="491"/>
      <c r="D198" s="988"/>
      <c r="E198" s="988"/>
      <c r="F198" s="988"/>
      <c r="G198" s="135"/>
      <c r="H198" s="988"/>
      <c r="I198" s="135"/>
      <c r="J198" s="135"/>
      <c r="K198" s="988"/>
      <c r="L198" s="988"/>
      <c r="M198" s="988"/>
      <c r="N198" s="988"/>
      <c r="O198" s="988"/>
      <c r="P198" s="988"/>
      <c r="Q198" s="988"/>
      <c r="R198" s="988"/>
      <c r="S198" s="135"/>
      <c r="T198" s="988"/>
      <c r="U198" s="988"/>
      <c r="V198" s="988"/>
      <c r="W198" s="988"/>
      <c r="X198" s="988"/>
      <c r="Y198" s="135"/>
      <c r="Z198" s="988"/>
      <c r="AA198" s="988"/>
      <c r="AB198" s="988"/>
      <c r="AC198" s="988"/>
      <c r="AD198" s="988"/>
      <c r="AE198" s="988"/>
      <c r="AF198" s="988"/>
      <c r="AG198" s="988"/>
      <c r="AH198" s="988"/>
      <c r="AI198" s="988"/>
      <c r="AJ198" s="988"/>
      <c r="AK198" s="988"/>
      <c r="AL198" s="988"/>
      <c r="AM198" s="988"/>
      <c r="AN198" s="989"/>
      <c r="AO198" s="988"/>
      <c r="AP198" s="988"/>
      <c r="AQ198" s="997"/>
      <c r="AR198" s="989"/>
      <c r="AS198" s="988"/>
      <c r="AT198" s="988"/>
      <c r="AU198" s="997"/>
      <c r="AV198" s="989"/>
      <c r="AW198" s="988">
        <f>'CFS '!AW28</f>
        <v>-256</v>
      </c>
      <c r="AX198" s="1193">
        <f>'CFS '!AX28</f>
        <v>-255</v>
      </c>
      <c r="AY198" s="1194">
        <f>'CFS '!AY28</f>
        <v>-233</v>
      </c>
      <c r="AZ198" s="1195">
        <f>'CFS '!AZ28</f>
        <v>-220</v>
      </c>
      <c r="BA198" s="1193">
        <f>'CFS '!BA28</f>
        <v>-190.41952000000003</v>
      </c>
      <c r="BB198" s="1193">
        <f>'CFS '!BB28</f>
        <v>-156.36804899999998</v>
      </c>
      <c r="BC198" s="1194">
        <f>'CFS '!BC28</f>
        <v>-167.482913685</v>
      </c>
      <c r="BD198" s="1195">
        <f>'CFS '!BD28</f>
        <v>-159.93690461219998</v>
      </c>
      <c r="BE198" s="1193">
        <f>'CFS '!BE28</f>
        <v>-155.34683842197597</v>
      </c>
      <c r="BF198" s="1193">
        <f>'CFS '!BF28</f>
        <v>-166.41675851853165</v>
      </c>
      <c r="BG198" s="1194">
        <f>'CFS '!BG28</f>
        <v>-185.32939780764326</v>
      </c>
      <c r="BH198" s="1195">
        <f>'CFS '!BH28</f>
        <v>-177.06978188347361</v>
      </c>
      <c r="BI198" s="1193">
        <f>'CFS '!BI28</f>
        <v>-167.59431947018493</v>
      </c>
      <c r="BJ198" s="1193">
        <f>'CFS '!BJ28</f>
        <v>-174.39810443013138</v>
      </c>
      <c r="BK198" s="1193">
        <f>'CFS '!BK28</f>
        <v>-185.46945295569765</v>
      </c>
      <c r="BL198" s="934"/>
      <c r="BM198" s="988"/>
      <c r="BN198" s="988"/>
      <c r="BO198" s="135"/>
      <c r="BP198" s="988"/>
      <c r="BQ198" s="135"/>
      <c r="BR198" s="988"/>
      <c r="BS198" s="988"/>
      <c r="BT198" s="988"/>
      <c r="BU198" s="989"/>
      <c r="BV198" s="988"/>
      <c r="BW198" s="1022">
        <f>SUM(AR198:AU198)</f>
        <v>0</v>
      </c>
      <c r="BX198" s="1022">
        <f>SUM(AV198:AY198)</f>
        <v>-744</v>
      </c>
      <c r="BY198" s="1022">
        <f t="shared" ref="BY198" si="855">SUM(AZ198:BC198)</f>
        <v>-734.27048268500005</v>
      </c>
      <c r="BZ198" s="1022">
        <f>SUM(BD198:BG198)</f>
        <v>-667.02989936035078</v>
      </c>
      <c r="CA198" s="1021">
        <f>SUM(BE198:BH198)</f>
        <v>-684.16277663162452</v>
      </c>
      <c r="CB198" s="1477"/>
      <c r="CC198" s="988"/>
      <c r="CD198" s="988"/>
      <c r="CE198" s="988"/>
      <c r="CF198" s="987"/>
      <c r="CG198" s="988"/>
      <c r="CH198" s="988"/>
      <c r="CI198" s="989"/>
      <c r="CJ198" s="987"/>
      <c r="CK198" s="987"/>
      <c r="CL198" s="987"/>
      <c r="CM198" s="1022">
        <f>SUM(AS198:AV198)</f>
        <v>0</v>
      </c>
      <c r="CN198" s="1022">
        <f>SUM(AW198:AZ198)</f>
        <v>-964</v>
      </c>
      <c r="CO198" s="1022">
        <f>SUM(BA198:BD198)</f>
        <v>-674.20738729720006</v>
      </c>
      <c r="CP198" s="1021">
        <f>SUM(BE198:BH198)</f>
        <v>-684.16277663162452</v>
      </c>
      <c r="CQ198" s="7"/>
      <c r="CX198" s="7"/>
    </row>
    <row r="199" spans="1:102" ht="14.25" customHeight="1">
      <c r="A199" s="7"/>
      <c r="B199" s="1009"/>
      <c r="C199" s="232"/>
      <c r="D199" s="761"/>
      <c r="E199" s="761"/>
      <c r="F199" s="761"/>
      <c r="G199" s="10"/>
      <c r="H199" s="761"/>
      <c r="I199" s="10"/>
      <c r="J199" s="10"/>
      <c r="K199" s="761"/>
      <c r="L199" s="761"/>
      <c r="M199" s="761"/>
      <c r="N199" s="761"/>
      <c r="O199" s="761"/>
      <c r="P199" s="761"/>
      <c r="Q199" s="761"/>
      <c r="R199" s="761"/>
      <c r="S199" s="10"/>
      <c r="T199" s="761"/>
      <c r="U199" s="761"/>
      <c r="V199" s="761"/>
      <c r="W199" s="761"/>
      <c r="X199" s="761"/>
      <c r="Y199" s="10"/>
      <c r="Z199" s="761"/>
      <c r="AA199" s="761"/>
      <c r="AB199" s="761"/>
      <c r="AC199" s="761"/>
      <c r="AD199" s="761"/>
      <c r="AE199" s="761"/>
      <c r="AF199" s="761"/>
      <c r="AG199" s="761"/>
      <c r="AH199" s="761"/>
      <c r="AI199" s="761"/>
      <c r="AJ199" s="761"/>
      <c r="AK199" s="761"/>
      <c r="AL199" s="761"/>
      <c r="AM199" s="761"/>
      <c r="AN199" s="933"/>
      <c r="AO199" s="934"/>
      <c r="AP199" s="934"/>
      <c r="AQ199" s="935"/>
      <c r="AR199" s="933"/>
      <c r="AS199" s="934"/>
      <c r="AT199" s="934"/>
      <c r="AU199" s="935"/>
      <c r="AV199" s="933"/>
      <c r="AW199" s="934"/>
      <c r="AX199" s="982"/>
      <c r="AY199" s="992"/>
      <c r="AZ199" s="986"/>
      <c r="BA199" s="982"/>
      <c r="BB199" s="982"/>
      <c r="BC199" s="992"/>
      <c r="BD199" s="986"/>
      <c r="BE199" s="982"/>
      <c r="BF199" s="982"/>
      <c r="BG199" s="992"/>
      <c r="BH199" s="986"/>
      <c r="BI199" s="982"/>
      <c r="BJ199" s="982"/>
      <c r="BK199" s="992"/>
      <c r="BL199" s="1437"/>
      <c r="BM199" s="761"/>
      <c r="BN199" s="761"/>
      <c r="BO199" s="10"/>
      <c r="BP199" s="761"/>
      <c r="BQ199" s="10"/>
      <c r="BR199" s="761"/>
      <c r="BS199" s="761"/>
      <c r="BT199" s="761"/>
      <c r="BU199" s="933"/>
      <c r="BV199" s="934"/>
      <c r="BW199" s="934"/>
      <c r="BX199" s="934"/>
      <c r="BY199" s="934"/>
      <c r="BZ199" s="934"/>
      <c r="CA199" s="935"/>
      <c r="CB199" s="1437"/>
      <c r="CC199" s="761"/>
      <c r="CD199" s="761"/>
      <c r="CE199" s="761"/>
      <c r="CF199" s="13"/>
      <c r="CG199" s="761"/>
      <c r="CH199" s="761"/>
      <c r="CI199" s="933"/>
      <c r="CJ199" s="13"/>
      <c r="CK199" s="13"/>
      <c r="CL199" s="13"/>
      <c r="CM199" s="13"/>
      <c r="CN199" s="13"/>
      <c r="CO199" s="13"/>
      <c r="CP199" s="232"/>
      <c r="CQ199" s="7"/>
      <c r="CX199" s="7"/>
    </row>
    <row r="200" spans="1:102" ht="14.25" customHeight="1">
      <c r="A200" s="7"/>
      <c r="B200" s="1192" t="s">
        <v>395</v>
      </c>
      <c r="C200" s="491"/>
      <c r="D200" s="988"/>
      <c r="E200" s="988"/>
      <c r="F200" s="988"/>
      <c r="G200" s="135"/>
      <c r="H200" s="988"/>
      <c r="I200" s="135"/>
      <c r="J200" s="135"/>
      <c r="K200" s="988"/>
      <c r="L200" s="988"/>
      <c r="M200" s="988"/>
      <c r="N200" s="988"/>
      <c r="O200" s="988"/>
      <c r="P200" s="988"/>
      <c r="Q200" s="988"/>
      <c r="R200" s="988"/>
      <c r="S200" s="135"/>
      <c r="T200" s="988"/>
      <c r="U200" s="988"/>
      <c r="V200" s="988"/>
      <c r="W200" s="988"/>
      <c r="X200" s="988"/>
      <c r="Y200" s="135"/>
      <c r="Z200" s="988"/>
      <c r="AA200" s="988"/>
      <c r="AB200" s="988"/>
      <c r="AC200" s="988"/>
      <c r="AD200" s="988"/>
      <c r="AE200" s="988"/>
      <c r="AF200" s="988"/>
      <c r="AG200" s="988"/>
      <c r="AH200" s="988"/>
      <c r="AI200" s="988"/>
      <c r="AJ200" s="988"/>
      <c r="AK200" s="988"/>
      <c r="AL200" s="988"/>
      <c r="AM200" s="988"/>
      <c r="AN200" s="989"/>
      <c r="AO200" s="988"/>
      <c r="AP200" s="988"/>
      <c r="AQ200" s="997"/>
      <c r="AR200" s="989"/>
      <c r="AS200" s="988"/>
      <c r="AT200" s="988"/>
      <c r="AU200" s="997"/>
      <c r="AV200" s="989"/>
      <c r="AW200" s="988">
        <f t="shared" ref="AW200:BC200" si="856">AW160+AW196</f>
        <v>1963</v>
      </c>
      <c r="AX200" s="981">
        <f t="shared" si="856"/>
        <v>2171</v>
      </c>
      <c r="AY200" s="980">
        <f t="shared" si="856"/>
        <v>2410</v>
      </c>
      <c r="AZ200" s="1003">
        <f>AZ160+AZ196</f>
        <v>2697</v>
      </c>
      <c r="BA200" s="981">
        <f t="shared" si="856"/>
        <v>2540.5141516381454</v>
      </c>
      <c r="BB200" s="981">
        <f t="shared" si="856"/>
        <v>2633.4534349914134</v>
      </c>
      <c r="BC200" s="980">
        <f t="shared" si="856"/>
        <v>2838.6079354858475</v>
      </c>
      <c r="BD200" s="1003">
        <f t="shared" ref="BD200:BG200" si="857">BD160+BD196</f>
        <v>2723.3675165740865</v>
      </c>
      <c r="BE200" s="981">
        <f t="shared" si="857"/>
        <v>2659.902997724982</v>
      </c>
      <c r="BF200" s="981">
        <f t="shared" si="857"/>
        <v>2844.697185930394</v>
      </c>
      <c r="BG200" s="980">
        <f t="shared" si="857"/>
        <v>3157.2890310298844</v>
      </c>
      <c r="BH200" s="1003">
        <f t="shared" ref="BH200:BK200" si="858">BH160+BH196</f>
        <v>3017.7376804968853</v>
      </c>
      <c r="BI200" s="981">
        <f t="shared" si="858"/>
        <v>2862.1580953837029</v>
      </c>
      <c r="BJ200" s="981">
        <f t="shared" si="858"/>
        <v>2995.3149179998518</v>
      </c>
      <c r="BK200" s="980">
        <f t="shared" si="858"/>
        <v>3193.5845459872626</v>
      </c>
      <c r="BL200" s="1437"/>
      <c r="BM200" s="989"/>
      <c r="BN200" s="988"/>
      <c r="BO200" s="135"/>
      <c r="BP200" s="988"/>
      <c r="BQ200" s="135"/>
      <c r="BR200" s="988"/>
      <c r="BS200" s="988"/>
      <c r="BT200" s="997"/>
      <c r="BU200" s="989"/>
      <c r="BV200" s="988"/>
      <c r="BW200" s="1022">
        <f>SUM(AR200:AU200)</f>
        <v>0</v>
      </c>
      <c r="BX200" s="1022">
        <f>SUM(AV200:AY200)</f>
        <v>6544</v>
      </c>
      <c r="BY200" s="1022">
        <f>SUM(AZ200:BC200)</f>
        <v>10709.575522115407</v>
      </c>
      <c r="BZ200" s="1022">
        <f>SUM(BD200:BG200)</f>
        <v>11385.256731259347</v>
      </c>
      <c r="CA200" s="1021">
        <f>SUM(BE200:BH200)</f>
        <v>11679.626895182144</v>
      </c>
      <c r="CB200" s="1437"/>
      <c r="CC200" s="761"/>
      <c r="CD200" s="761"/>
      <c r="CE200" s="761"/>
      <c r="CF200" s="13"/>
      <c r="CG200" s="761"/>
      <c r="CH200" s="761"/>
      <c r="CI200" s="989"/>
      <c r="CJ200" s="987"/>
      <c r="CK200" s="987"/>
      <c r="CL200" s="987"/>
      <c r="CM200" s="1022">
        <f>SUM(AS200:AV200)</f>
        <v>0</v>
      </c>
      <c r="CN200" s="1022">
        <f>SUM(AW200:AZ200)</f>
        <v>9241</v>
      </c>
      <c r="CO200" s="1022">
        <f>SUM(BA200:BD200)</f>
        <v>10735.943038689493</v>
      </c>
      <c r="CP200" s="1021">
        <f>SUM(BE200:BH200)</f>
        <v>11679.626895182144</v>
      </c>
      <c r="CQ200" s="7"/>
      <c r="CX200" s="7"/>
    </row>
    <row r="201" spans="1:102" ht="14.25" customHeight="1">
      <c r="A201" s="7"/>
      <c r="B201" s="7"/>
      <c r="C201" s="7"/>
      <c r="D201" s="7"/>
      <c r="E201" s="7"/>
      <c r="F201" s="7"/>
      <c r="G201" s="10"/>
      <c r="H201" s="7"/>
      <c r="I201" s="10"/>
      <c r="J201" s="10"/>
      <c r="K201" s="7"/>
      <c r="L201" s="7"/>
      <c r="M201" s="7"/>
      <c r="N201" s="7"/>
      <c r="O201" s="7"/>
      <c r="P201" s="7"/>
      <c r="Q201" s="7"/>
      <c r="R201" s="7"/>
      <c r="S201" s="10"/>
      <c r="T201" s="7"/>
      <c r="U201" s="7"/>
      <c r="V201" s="7"/>
      <c r="W201" s="7"/>
      <c r="X201" s="7"/>
      <c r="Y201" s="10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63"/>
      <c r="BY201" s="13"/>
      <c r="BZ201" s="13"/>
      <c r="CA201" s="7"/>
      <c r="CB201" s="10"/>
      <c r="CC201" s="10"/>
      <c r="CD201" s="10"/>
      <c r="CE201" s="10"/>
      <c r="CF201" s="63"/>
      <c r="CG201" s="10"/>
      <c r="CH201" s="10"/>
      <c r="CI201" s="10"/>
      <c r="CJ201" s="10"/>
      <c r="CK201" s="10"/>
      <c r="CL201" s="10"/>
      <c r="CM201" s="63"/>
      <c r="CN201" s="63"/>
      <c r="CO201" s="63"/>
      <c r="CP201" s="10"/>
      <c r="CQ201" s="10"/>
      <c r="CX201" s="7"/>
    </row>
    <row r="202" spans="1:102" ht="14.25" customHeight="1">
      <c r="A202" s="7"/>
      <c r="B202" s="7"/>
      <c r="C202" s="7"/>
      <c r="D202" s="7"/>
      <c r="E202" s="7"/>
      <c r="F202" s="7"/>
      <c r="G202" s="10"/>
      <c r="H202" s="7"/>
      <c r="I202" s="10"/>
      <c r="J202" s="10"/>
      <c r="K202" s="7"/>
      <c r="L202" s="7"/>
      <c r="M202" s="7"/>
      <c r="N202" s="7"/>
      <c r="O202" s="7"/>
      <c r="P202" s="7"/>
      <c r="Q202" s="7"/>
      <c r="R202" s="7"/>
      <c r="S202" s="10"/>
      <c r="T202" s="7"/>
      <c r="U202" s="7"/>
      <c r="V202" s="7"/>
      <c r="W202" s="7"/>
      <c r="X202" s="7"/>
      <c r="Y202" s="10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63"/>
      <c r="BY202" s="1286"/>
      <c r="BZ202" s="1286"/>
      <c r="CA202" s="7"/>
      <c r="CB202" s="10"/>
      <c r="CC202" s="10"/>
      <c r="CD202" s="10"/>
      <c r="CE202" s="10"/>
      <c r="CF202" s="63"/>
      <c r="CG202" s="10"/>
      <c r="CH202" s="10"/>
      <c r="CI202" s="10"/>
      <c r="CJ202" s="10"/>
      <c r="CK202" s="10"/>
      <c r="CL202" s="10"/>
      <c r="CM202" s="63"/>
      <c r="CN202" s="63"/>
      <c r="CO202" s="63"/>
      <c r="CP202" s="10"/>
      <c r="CQ202" s="10"/>
      <c r="CX202" s="7"/>
    </row>
    <row r="203" spans="1:102" ht="14.25" customHeight="1">
      <c r="A203" s="7"/>
      <c r="B203" s="7"/>
      <c r="C203" s="7"/>
      <c r="D203" s="7"/>
      <c r="E203" s="7"/>
      <c r="F203" s="7"/>
      <c r="G203" s="10"/>
      <c r="H203" s="7"/>
      <c r="I203" s="10"/>
      <c r="J203" s="10"/>
      <c r="K203" s="7"/>
      <c r="L203" s="7"/>
      <c r="M203" s="7"/>
      <c r="N203" s="7"/>
      <c r="O203" s="7"/>
      <c r="P203" s="7"/>
      <c r="Q203" s="7"/>
      <c r="R203" s="7"/>
      <c r="S203" s="10"/>
      <c r="T203" s="7"/>
      <c r="U203" s="7"/>
      <c r="V203" s="7"/>
      <c r="W203" s="7"/>
      <c r="X203" s="7"/>
      <c r="Y203" s="10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63"/>
      <c r="BY203" s="13"/>
      <c r="BZ203" s="13"/>
      <c r="CA203" s="7"/>
      <c r="CB203" s="10"/>
      <c r="CC203" s="10"/>
      <c r="CD203" s="10"/>
      <c r="CE203" s="10"/>
      <c r="CF203" s="63"/>
      <c r="CG203" s="10"/>
      <c r="CH203" s="10"/>
      <c r="CI203" s="10"/>
      <c r="CJ203" s="10"/>
      <c r="CK203" s="10"/>
      <c r="CL203" s="10"/>
      <c r="CM203" s="63"/>
      <c r="CN203" s="63"/>
      <c r="CO203" s="63"/>
      <c r="CP203" s="10"/>
      <c r="CQ203" s="10"/>
      <c r="CX203" s="7"/>
    </row>
    <row r="204" spans="1:102" customFormat="1" ht="14.25" customHeight="1"/>
    <row r="205" spans="1:102" ht="14.25" customHeight="1">
      <c r="A205" s="7"/>
      <c r="B205" s="97" t="s">
        <v>25</v>
      </c>
      <c r="C205" s="97"/>
      <c r="D205" s="98" t="s">
        <v>31</v>
      </c>
      <c r="E205" s="98" t="s">
        <v>31</v>
      </c>
      <c r="F205" s="98" t="s">
        <v>31</v>
      </c>
      <c r="G205" s="98" t="s">
        <v>31</v>
      </c>
      <c r="H205" s="98" t="s">
        <v>31</v>
      </c>
      <c r="I205" s="98" t="s">
        <v>31</v>
      </c>
      <c r="J205" s="98" t="s">
        <v>31</v>
      </c>
      <c r="K205" s="98" t="s">
        <v>31</v>
      </c>
      <c r="L205" s="98" t="s">
        <v>31</v>
      </c>
      <c r="M205" s="98" t="s">
        <v>31</v>
      </c>
      <c r="N205" s="98" t="s">
        <v>31</v>
      </c>
      <c r="O205" s="98" t="s">
        <v>31</v>
      </c>
      <c r="P205" s="98" t="s">
        <v>31</v>
      </c>
      <c r="Q205" s="98" t="s">
        <v>31</v>
      </c>
      <c r="R205" s="98" t="s">
        <v>31</v>
      </c>
      <c r="S205" s="98" t="s">
        <v>31</v>
      </c>
      <c r="T205" s="98" t="s">
        <v>31</v>
      </c>
      <c r="U205" s="98" t="s">
        <v>31</v>
      </c>
      <c r="V205" s="98" t="s">
        <v>31</v>
      </c>
      <c r="W205" s="98" t="s">
        <v>31</v>
      </c>
      <c r="X205" s="98" t="s">
        <v>31</v>
      </c>
      <c r="Y205" s="98" t="s">
        <v>31</v>
      </c>
      <c r="Z205" s="98" t="s">
        <v>31</v>
      </c>
      <c r="AA205" s="98" t="s">
        <v>31</v>
      </c>
      <c r="AB205" s="98" t="s">
        <v>31</v>
      </c>
      <c r="AC205" s="98" t="s">
        <v>31</v>
      </c>
      <c r="AD205" s="98" t="s">
        <v>31</v>
      </c>
      <c r="AE205" s="98" t="s">
        <v>31</v>
      </c>
      <c r="AF205" s="98" t="s">
        <v>31</v>
      </c>
      <c r="AG205" s="98" t="s">
        <v>31</v>
      </c>
      <c r="AH205" s="98" t="s">
        <v>31</v>
      </c>
      <c r="AI205" s="98" t="s">
        <v>31</v>
      </c>
      <c r="AJ205" s="98" t="s">
        <v>31</v>
      </c>
      <c r="AK205" s="98" t="s">
        <v>31</v>
      </c>
      <c r="AL205" s="98" t="s">
        <v>31</v>
      </c>
      <c r="AM205" s="98" t="s">
        <v>31</v>
      </c>
      <c r="AN205" s="98" t="s">
        <v>31</v>
      </c>
      <c r="AO205" s="98" t="s">
        <v>31</v>
      </c>
      <c r="AP205" s="98" t="s">
        <v>31</v>
      </c>
      <c r="AQ205" s="98" t="s">
        <v>31</v>
      </c>
      <c r="AR205" s="98" t="s">
        <v>31</v>
      </c>
      <c r="AS205" s="98" t="s">
        <v>31</v>
      </c>
      <c r="AT205" s="98" t="s">
        <v>31</v>
      </c>
      <c r="AU205" s="98" t="s">
        <v>31</v>
      </c>
      <c r="AV205" s="98" t="s">
        <v>31</v>
      </c>
      <c r="AW205" s="98" t="s">
        <v>31</v>
      </c>
      <c r="AX205" s="98" t="s">
        <v>31</v>
      </c>
      <c r="AY205" s="98" t="s">
        <v>31</v>
      </c>
      <c r="AZ205" s="98" t="s">
        <v>31</v>
      </c>
      <c r="BA205" s="98" t="s">
        <v>32</v>
      </c>
      <c r="BB205" s="98" t="s">
        <v>32</v>
      </c>
      <c r="BC205" s="98" t="s">
        <v>32</v>
      </c>
      <c r="BD205" s="98" t="s">
        <v>32</v>
      </c>
      <c r="BE205" s="98" t="s">
        <v>32</v>
      </c>
      <c r="BF205" s="98" t="s">
        <v>32</v>
      </c>
      <c r="BG205" s="98" t="s">
        <v>32</v>
      </c>
      <c r="BH205" s="98" t="s">
        <v>32</v>
      </c>
      <c r="BI205" s="98" t="s">
        <v>32</v>
      </c>
      <c r="BJ205" s="98" t="s">
        <v>32</v>
      </c>
      <c r="BK205" s="98" t="s">
        <v>32</v>
      </c>
      <c r="BL205" s="7"/>
      <c r="BM205" s="7" t="s">
        <v>31</v>
      </c>
      <c r="BN205" s="7" t="s">
        <v>31</v>
      </c>
      <c r="BO205" s="10" t="s">
        <v>31</v>
      </c>
      <c r="BP205" s="7" t="s">
        <v>31</v>
      </c>
      <c r="BQ205" s="10" t="s">
        <v>31</v>
      </c>
      <c r="BR205" s="7" t="s">
        <v>31</v>
      </c>
      <c r="BS205" s="7" t="s">
        <v>31</v>
      </c>
      <c r="BT205" s="7" t="s">
        <v>31</v>
      </c>
      <c r="BU205" s="7" t="s">
        <v>31</v>
      </c>
      <c r="BV205" s="7" t="s">
        <v>31</v>
      </c>
      <c r="BW205" s="7" t="s">
        <v>31</v>
      </c>
      <c r="BX205" s="13" t="s">
        <v>32</v>
      </c>
      <c r="BY205" s="13" t="s">
        <v>32</v>
      </c>
      <c r="BZ205" s="13" t="s">
        <v>32</v>
      </c>
      <c r="CA205" s="7" t="s">
        <v>32</v>
      </c>
      <c r="CB205" s="7"/>
      <c r="CC205" s="7"/>
      <c r="CD205" s="7"/>
      <c r="CE205" s="7"/>
      <c r="CF205" s="13"/>
      <c r="CG205" s="7"/>
      <c r="CH205" s="7"/>
      <c r="CI205" s="7"/>
      <c r="CJ205" s="7"/>
      <c r="CK205" s="7"/>
      <c r="CL205" s="7"/>
      <c r="CM205" s="13"/>
      <c r="CN205" s="13"/>
      <c r="CO205" s="13"/>
      <c r="CP205" s="7"/>
      <c r="CQ205" s="7"/>
      <c r="CX205" s="7"/>
    </row>
    <row r="206" spans="1:102" ht="14.25" customHeight="1">
      <c r="A206" s="7"/>
      <c r="B206" s="97" t="s">
        <v>26</v>
      </c>
      <c r="C206" s="97"/>
      <c r="D206" s="7">
        <v>2006</v>
      </c>
      <c r="E206" s="7">
        <v>2006</v>
      </c>
      <c r="F206" s="7">
        <v>2006</v>
      </c>
      <c r="G206" s="10">
        <v>2006</v>
      </c>
      <c r="H206" s="7">
        <v>2007</v>
      </c>
      <c r="I206" s="10">
        <v>2007</v>
      </c>
      <c r="J206" s="10">
        <v>2007</v>
      </c>
      <c r="K206" s="7">
        <v>2007</v>
      </c>
      <c r="L206" s="7">
        <v>2008</v>
      </c>
      <c r="M206" s="7">
        <v>2008</v>
      </c>
      <c r="N206" s="7">
        <v>2008</v>
      </c>
      <c r="O206" s="7">
        <v>2008</v>
      </c>
      <c r="P206" s="7">
        <v>2009</v>
      </c>
      <c r="Q206" s="7">
        <v>2009</v>
      </c>
      <c r="R206" s="7">
        <v>2009</v>
      </c>
      <c r="S206" s="10">
        <v>2009</v>
      </c>
      <c r="T206" s="7">
        <v>2010</v>
      </c>
      <c r="U206" s="7">
        <v>2010</v>
      </c>
      <c r="V206" s="7">
        <v>2010</v>
      </c>
      <c r="W206" s="7">
        <v>2010</v>
      </c>
      <c r="X206" s="7">
        <v>2011</v>
      </c>
      <c r="Y206" s="10">
        <v>2011</v>
      </c>
      <c r="Z206" s="7">
        <v>2011</v>
      </c>
      <c r="AA206" s="7">
        <v>2011</v>
      </c>
      <c r="AB206" s="7">
        <v>2012</v>
      </c>
      <c r="AC206" s="7">
        <v>2012</v>
      </c>
      <c r="AD206" s="7">
        <v>2012</v>
      </c>
      <c r="AE206" s="7">
        <v>2012</v>
      </c>
      <c r="AF206" s="7">
        <v>2013</v>
      </c>
      <c r="AG206" s="7">
        <v>2013</v>
      </c>
      <c r="AH206" s="7">
        <v>2013</v>
      </c>
      <c r="AI206" s="7">
        <v>2013</v>
      </c>
      <c r="AJ206" s="7">
        <v>2014</v>
      </c>
      <c r="AK206" s="7">
        <v>2014</v>
      </c>
      <c r="AL206" s="7">
        <v>2014</v>
      </c>
      <c r="AM206" s="7">
        <v>2014</v>
      </c>
      <c r="AN206" s="7">
        <v>2015</v>
      </c>
      <c r="AO206" s="7">
        <v>2015</v>
      </c>
      <c r="AP206" s="7">
        <v>2015</v>
      </c>
      <c r="AQ206" s="7">
        <v>2015</v>
      </c>
      <c r="AR206" s="7">
        <v>2016</v>
      </c>
      <c r="AS206" s="7">
        <v>2016</v>
      </c>
      <c r="AT206" s="7">
        <v>2016</v>
      </c>
      <c r="AU206" s="7">
        <v>2016</v>
      </c>
      <c r="AV206" s="7">
        <v>2017</v>
      </c>
      <c r="AW206" s="7">
        <v>2017</v>
      </c>
      <c r="AX206" s="7">
        <v>2017</v>
      </c>
      <c r="AY206" s="7">
        <v>2017</v>
      </c>
      <c r="AZ206" s="7">
        <v>2018</v>
      </c>
      <c r="BA206" s="7">
        <v>2018</v>
      </c>
      <c r="BB206" s="7">
        <v>2018</v>
      </c>
      <c r="BC206" s="7">
        <v>2018</v>
      </c>
      <c r="BD206" s="7">
        <v>2019</v>
      </c>
      <c r="BE206" s="7">
        <v>2019</v>
      </c>
      <c r="BF206" s="7">
        <v>2019</v>
      </c>
      <c r="BG206" s="7">
        <v>2019</v>
      </c>
      <c r="BH206" s="7">
        <v>2020</v>
      </c>
      <c r="BI206" s="7">
        <v>2020</v>
      </c>
      <c r="BJ206" s="7">
        <v>2020</v>
      </c>
      <c r="BK206" s="7">
        <v>2020</v>
      </c>
      <c r="BL206" s="7"/>
      <c r="BM206" s="7"/>
      <c r="BN206" s="7"/>
      <c r="BO206" s="10"/>
      <c r="BP206" s="7"/>
      <c r="BQ206" s="10"/>
      <c r="BR206" s="7"/>
      <c r="BS206" s="7"/>
      <c r="BT206" s="7"/>
      <c r="BU206" s="7"/>
      <c r="BV206" s="7"/>
      <c r="BW206" s="7"/>
      <c r="BX206" s="13"/>
      <c r="BY206" s="13"/>
      <c r="BZ206" s="13"/>
      <c r="CA206" s="7"/>
      <c r="CB206" s="7"/>
      <c r="CC206" s="7"/>
      <c r="CD206" s="7"/>
      <c r="CE206" s="7"/>
      <c r="CF206" s="13"/>
      <c r="CG206" s="7"/>
      <c r="CH206" s="7"/>
      <c r="CI206" s="7"/>
      <c r="CJ206" s="7"/>
      <c r="CK206" s="7"/>
      <c r="CL206" s="7"/>
      <c r="CM206" s="13"/>
      <c r="CN206" s="13"/>
      <c r="CO206" s="13"/>
      <c r="CP206" s="7"/>
      <c r="CQ206" s="7"/>
      <c r="CX206" s="7"/>
    </row>
    <row r="207" spans="1:102" ht="14.25" customHeight="1">
      <c r="A207" s="7"/>
      <c r="B207" s="97" t="s">
        <v>27</v>
      </c>
      <c r="C207" s="97"/>
      <c r="D207" s="7">
        <v>1</v>
      </c>
      <c r="E207" s="7">
        <v>2</v>
      </c>
      <c r="F207" s="7">
        <v>3</v>
      </c>
      <c r="G207" s="10">
        <v>4</v>
      </c>
      <c r="H207" s="7">
        <v>1</v>
      </c>
      <c r="I207" s="10">
        <v>2</v>
      </c>
      <c r="J207" s="10">
        <v>3</v>
      </c>
      <c r="K207" s="7">
        <v>4</v>
      </c>
      <c r="L207" s="7">
        <v>1</v>
      </c>
      <c r="M207" s="7">
        <v>2</v>
      </c>
      <c r="N207" s="7">
        <v>3</v>
      </c>
      <c r="O207" s="7">
        <v>4</v>
      </c>
      <c r="P207" s="7">
        <v>1</v>
      </c>
      <c r="Q207" s="7">
        <v>2</v>
      </c>
      <c r="R207" s="7">
        <v>3</v>
      </c>
      <c r="S207" s="10">
        <v>4</v>
      </c>
      <c r="T207" s="7">
        <v>1</v>
      </c>
      <c r="U207" s="7">
        <v>2</v>
      </c>
      <c r="V207" s="7">
        <v>3</v>
      </c>
      <c r="W207" s="7">
        <v>4</v>
      </c>
      <c r="X207" s="7">
        <v>1</v>
      </c>
      <c r="Y207" s="10">
        <v>2</v>
      </c>
      <c r="Z207" s="7">
        <v>3</v>
      </c>
      <c r="AA207" s="7">
        <v>4</v>
      </c>
      <c r="AB207" s="7">
        <v>1</v>
      </c>
      <c r="AC207" s="7">
        <v>2</v>
      </c>
      <c r="AD207" s="7">
        <v>3</v>
      </c>
      <c r="AE207" s="7">
        <v>4</v>
      </c>
      <c r="AF207" s="7">
        <v>1</v>
      </c>
      <c r="AG207" s="7">
        <v>2</v>
      </c>
      <c r="AH207" s="7">
        <v>3</v>
      </c>
      <c r="AI207" s="7">
        <v>4</v>
      </c>
      <c r="AJ207" s="7">
        <v>1</v>
      </c>
      <c r="AK207" s="7">
        <v>2</v>
      </c>
      <c r="AL207" s="7">
        <v>3</v>
      </c>
      <c r="AM207" s="7">
        <v>4</v>
      </c>
      <c r="AN207" s="7">
        <v>1</v>
      </c>
      <c r="AO207" s="7">
        <v>2</v>
      </c>
      <c r="AP207" s="7">
        <v>3</v>
      </c>
      <c r="AQ207" s="7">
        <v>4</v>
      </c>
      <c r="AR207" s="7">
        <v>1</v>
      </c>
      <c r="AS207" s="7">
        <v>2</v>
      </c>
      <c r="AT207" s="7">
        <v>3</v>
      </c>
      <c r="AU207" s="7">
        <v>4</v>
      </c>
      <c r="AV207" s="7">
        <v>1</v>
      </c>
      <c r="AW207" s="7">
        <v>2</v>
      </c>
      <c r="AX207" s="7">
        <v>3</v>
      </c>
      <c r="AY207" s="7">
        <v>4</v>
      </c>
      <c r="AZ207" s="7">
        <v>1</v>
      </c>
      <c r="BA207" s="7">
        <v>2</v>
      </c>
      <c r="BB207" s="7">
        <v>3</v>
      </c>
      <c r="BC207" s="7">
        <v>4</v>
      </c>
      <c r="BD207" s="7">
        <v>1</v>
      </c>
      <c r="BE207" s="7">
        <v>2</v>
      </c>
      <c r="BF207" s="7">
        <v>3</v>
      </c>
      <c r="BG207" s="7">
        <v>4</v>
      </c>
      <c r="BH207" s="7">
        <v>1</v>
      </c>
      <c r="BI207" s="7">
        <v>2</v>
      </c>
      <c r="BJ207" s="7">
        <v>3</v>
      </c>
      <c r="BK207" s="7">
        <v>4</v>
      </c>
      <c r="BL207" s="7"/>
      <c r="BM207" s="7"/>
      <c r="BN207" s="7"/>
      <c r="BO207" s="10"/>
      <c r="BP207" s="7"/>
      <c r="BQ207" s="10"/>
      <c r="BR207" s="7"/>
      <c r="BS207" s="7"/>
      <c r="BT207" s="7"/>
      <c r="BU207" s="7"/>
      <c r="BV207" s="7"/>
      <c r="BW207" s="7"/>
      <c r="BX207" s="13"/>
      <c r="BY207" s="13"/>
      <c r="BZ207" s="13"/>
      <c r="CA207" s="7"/>
      <c r="CB207" s="7"/>
      <c r="CC207" s="7"/>
      <c r="CD207" s="7"/>
      <c r="CE207" s="7"/>
      <c r="CF207" s="13"/>
      <c r="CG207" s="7"/>
      <c r="CH207" s="7"/>
      <c r="CI207" s="7"/>
      <c r="CJ207" s="7"/>
      <c r="CK207" s="7"/>
      <c r="CL207" s="7"/>
      <c r="CM207" s="13"/>
      <c r="CN207" s="13"/>
      <c r="CO207" s="13"/>
      <c r="CP207" s="7"/>
      <c r="CQ207" s="7"/>
      <c r="CX207" s="7"/>
    </row>
    <row r="208" spans="1:102" ht="14.25" hidden="1" customHeight="1" outlineLevel="1">
      <c r="A208" s="7"/>
      <c r="B208" s="97" t="s">
        <v>28</v>
      </c>
      <c r="C208" s="97"/>
      <c r="D208" s="7">
        <v>2006</v>
      </c>
      <c r="E208" s="7">
        <v>2006</v>
      </c>
      <c r="F208" s="7">
        <v>2006</v>
      </c>
      <c r="G208" s="10">
        <v>2006</v>
      </c>
      <c r="H208" s="7">
        <v>2007</v>
      </c>
      <c r="I208" s="10">
        <v>2007</v>
      </c>
      <c r="J208" s="10">
        <v>2007</v>
      </c>
      <c r="K208" s="7">
        <v>2007</v>
      </c>
      <c r="L208" s="7">
        <v>2008</v>
      </c>
      <c r="M208" s="7">
        <v>2008</v>
      </c>
      <c r="N208" s="7">
        <v>2008</v>
      </c>
      <c r="O208" s="7">
        <v>2008</v>
      </c>
      <c r="P208" s="7">
        <v>2009</v>
      </c>
      <c r="Q208" s="7">
        <v>2009</v>
      </c>
      <c r="R208" s="7">
        <v>2009</v>
      </c>
      <c r="S208" s="10">
        <v>2009</v>
      </c>
      <c r="T208" s="7">
        <v>2010</v>
      </c>
      <c r="U208" s="7">
        <v>2010</v>
      </c>
      <c r="V208" s="7">
        <v>2010</v>
      </c>
      <c r="W208" s="7">
        <v>2010</v>
      </c>
      <c r="X208" s="7">
        <v>2011</v>
      </c>
      <c r="Y208" s="10">
        <v>2011</v>
      </c>
      <c r="Z208" s="7">
        <v>2011</v>
      </c>
      <c r="AA208" s="7">
        <v>2011</v>
      </c>
      <c r="AB208" s="7">
        <v>2012</v>
      </c>
      <c r="AC208" s="7">
        <v>2012</v>
      </c>
      <c r="AD208" s="7">
        <v>2012</v>
      </c>
      <c r="AE208" s="7">
        <v>2012</v>
      </c>
      <c r="AF208" s="7">
        <v>2013</v>
      </c>
      <c r="AG208" s="7">
        <v>2013</v>
      </c>
      <c r="AH208" s="7">
        <v>2013</v>
      </c>
      <c r="AI208" s="7">
        <v>2013</v>
      </c>
      <c r="AJ208" s="7">
        <v>2014</v>
      </c>
      <c r="AK208" s="7">
        <v>2014</v>
      </c>
      <c r="AL208" s="7">
        <v>2014</v>
      </c>
      <c r="AM208" s="7">
        <v>2014</v>
      </c>
      <c r="AN208" s="7">
        <v>2015</v>
      </c>
      <c r="AO208" s="7">
        <v>2015</v>
      </c>
      <c r="AP208" s="7">
        <v>2015</v>
      </c>
      <c r="AQ208" s="7">
        <v>2015</v>
      </c>
      <c r="AR208" s="7">
        <v>2016</v>
      </c>
      <c r="AS208" s="7">
        <v>2016</v>
      </c>
      <c r="AT208" s="7">
        <v>2016</v>
      </c>
      <c r="AU208" s="7">
        <v>2016</v>
      </c>
      <c r="AV208" s="7">
        <v>2017</v>
      </c>
      <c r="AW208" s="7">
        <v>2017</v>
      </c>
      <c r="AX208" s="7">
        <v>2017</v>
      </c>
      <c r="AY208" s="7">
        <v>2017</v>
      </c>
      <c r="AZ208" s="7">
        <v>2018</v>
      </c>
      <c r="BA208" s="7">
        <v>2018</v>
      </c>
      <c r="BB208" s="7">
        <v>2018</v>
      </c>
      <c r="BC208" s="7">
        <v>2018</v>
      </c>
      <c r="BD208" s="7">
        <v>2019</v>
      </c>
      <c r="BE208" s="7">
        <v>2019</v>
      </c>
      <c r="BF208" s="7">
        <v>2019</v>
      </c>
      <c r="BG208" s="7">
        <v>2019</v>
      </c>
      <c r="BH208" s="7">
        <v>2020</v>
      </c>
      <c r="BI208" s="7">
        <v>2020</v>
      </c>
      <c r="BJ208" s="7">
        <v>2020</v>
      </c>
      <c r="BK208" s="7">
        <v>2020</v>
      </c>
      <c r="BL208" s="7"/>
      <c r="BM208" s="7"/>
      <c r="BN208" s="7"/>
      <c r="BO208" s="10"/>
      <c r="BP208" s="7"/>
      <c r="BQ208" s="10"/>
      <c r="BR208" s="7"/>
      <c r="BS208" s="7"/>
      <c r="BT208" s="7"/>
      <c r="BU208" s="7"/>
      <c r="BV208" s="7"/>
      <c r="BW208" s="7"/>
      <c r="BX208" s="13"/>
      <c r="BY208" s="13"/>
      <c r="BZ208" s="13"/>
      <c r="CA208" s="7"/>
      <c r="CB208" s="7"/>
      <c r="CC208" s="7"/>
      <c r="CD208" s="7"/>
      <c r="CE208" s="7"/>
      <c r="CF208" s="13"/>
      <c r="CG208" s="7"/>
      <c r="CH208" s="7"/>
      <c r="CI208" s="7"/>
      <c r="CJ208" s="7"/>
      <c r="CK208" s="7"/>
      <c r="CL208" s="7"/>
      <c r="CM208" s="13"/>
      <c r="CN208" s="13"/>
      <c r="CO208" s="13"/>
      <c r="CP208" s="7"/>
      <c r="CQ208" s="7"/>
      <c r="CX208" s="7"/>
    </row>
    <row r="209" spans="1:102" ht="14.25" hidden="1" customHeight="1" outlineLevel="1">
      <c r="A209" s="7"/>
      <c r="B209" s="97" t="s">
        <v>29</v>
      </c>
      <c r="C209" s="97"/>
      <c r="D209" s="7">
        <v>1</v>
      </c>
      <c r="E209" s="7">
        <v>2</v>
      </c>
      <c r="F209" s="7">
        <v>3</v>
      </c>
      <c r="G209" s="10">
        <v>4</v>
      </c>
      <c r="H209" s="7">
        <v>1</v>
      </c>
      <c r="I209" s="10">
        <v>2</v>
      </c>
      <c r="J209" s="10">
        <v>3</v>
      </c>
      <c r="K209" s="7">
        <v>4</v>
      </c>
      <c r="L209" s="7">
        <v>1</v>
      </c>
      <c r="M209" s="7">
        <v>2</v>
      </c>
      <c r="N209" s="7">
        <v>3</v>
      </c>
      <c r="O209" s="7">
        <v>4</v>
      </c>
      <c r="P209" s="7">
        <v>1</v>
      </c>
      <c r="Q209" s="7">
        <v>2</v>
      </c>
      <c r="R209" s="7">
        <v>3</v>
      </c>
      <c r="S209" s="10">
        <v>4</v>
      </c>
      <c r="T209" s="7">
        <v>1</v>
      </c>
      <c r="U209" s="7">
        <v>2</v>
      </c>
      <c r="V209" s="7">
        <v>3</v>
      </c>
      <c r="W209" s="7">
        <v>4</v>
      </c>
      <c r="X209" s="7">
        <v>1</v>
      </c>
      <c r="Y209" s="10">
        <v>2</v>
      </c>
      <c r="Z209" s="7">
        <v>3</v>
      </c>
      <c r="AA209" s="7">
        <v>4</v>
      </c>
      <c r="AB209" s="7">
        <v>1</v>
      </c>
      <c r="AC209" s="7">
        <v>2</v>
      </c>
      <c r="AD209" s="7">
        <v>3</v>
      </c>
      <c r="AE209" s="7">
        <v>4</v>
      </c>
      <c r="AF209" s="7">
        <v>1</v>
      </c>
      <c r="AG209" s="7">
        <v>2</v>
      </c>
      <c r="AH209" s="7">
        <v>3</v>
      </c>
      <c r="AI209" s="7">
        <v>4</v>
      </c>
      <c r="AJ209" s="7">
        <v>1</v>
      </c>
      <c r="AK209" s="7">
        <v>2</v>
      </c>
      <c r="AL209" s="7">
        <v>3</v>
      </c>
      <c r="AM209" s="7">
        <v>4</v>
      </c>
      <c r="AN209" s="7">
        <v>1</v>
      </c>
      <c r="AO209" s="7">
        <v>2</v>
      </c>
      <c r="AP209" s="7">
        <v>3</v>
      </c>
      <c r="AQ209" s="7">
        <v>4</v>
      </c>
      <c r="AR209" s="7">
        <v>1</v>
      </c>
      <c r="AS209" s="7">
        <v>2</v>
      </c>
      <c r="AT209" s="7">
        <v>3</v>
      </c>
      <c r="AU209" s="7">
        <v>4</v>
      </c>
      <c r="AV209" s="7">
        <v>1</v>
      </c>
      <c r="AW209" s="7">
        <v>2</v>
      </c>
      <c r="AX209" s="7">
        <v>3</v>
      </c>
      <c r="AY209" s="7">
        <v>4</v>
      </c>
      <c r="AZ209" s="7">
        <v>1</v>
      </c>
      <c r="BA209" s="7">
        <v>2</v>
      </c>
      <c r="BB209" s="7">
        <v>3</v>
      </c>
      <c r="BC209" s="7">
        <v>4</v>
      </c>
      <c r="BD209" s="7">
        <v>1</v>
      </c>
      <c r="BE209" s="7">
        <v>2</v>
      </c>
      <c r="BF209" s="7">
        <v>3</v>
      </c>
      <c r="BG209" s="7">
        <v>4</v>
      </c>
      <c r="BH209" s="7">
        <v>1</v>
      </c>
      <c r="BI209" s="7">
        <v>2</v>
      </c>
      <c r="BJ209" s="7">
        <v>3</v>
      </c>
      <c r="BK209" s="7">
        <v>4</v>
      </c>
      <c r="BL209" s="7"/>
      <c r="BM209" s="7"/>
      <c r="BN209" s="7"/>
      <c r="BO209" s="10"/>
      <c r="BP209" s="7"/>
      <c r="BQ209" s="10"/>
      <c r="BR209" s="7"/>
      <c r="BS209" s="7"/>
      <c r="BT209" s="7"/>
      <c r="BU209" s="7"/>
      <c r="BV209" s="7"/>
      <c r="BW209" s="7"/>
      <c r="BX209" s="13"/>
      <c r="BY209" s="13"/>
      <c r="BZ209" s="13"/>
      <c r="CA209" s="7"/>
      <c r="CB209" s="7"/>
      <c r="CC209" s="7"/>
      <c r="CD209" s="7"/>
      <c r="CE209" s="7"/>
      <c r="CF209" s="13"/>
      <c r="CG209" s="7"/>
      <c r="CH209" s="7"/>
      <c r="CI209" s="7"/>
      <c r="CJ209" s="7"/>
      <c r="CK209" s="7"/>
      <c r="CL209" s="7"/>
      <c r="CM209" s="13"/>
      <c r="CN209" s="13"/>
      <c r="CO209" s="13"/>
      <c r="CP209" s="7"/>
      <c r="CQ209" s="7"/>
      <c r="CX209" s="7"/>
    </row>
    <row r="210" spans="1:102" ht="14.25" customHeight="1" collapsed="1">
      <c r="A210" s="1"/>
      <c r="B210" s="1"/>
      <c r="C210" s="1"/>
      <c r="D210" s="1"/>
      <c r="E210" s="1"/>
      <c r="F210" s="1"/>
      <c r="G210" s="5"/>
      <c r="H210" s="1"/>
      <c r="I210" s="5"/>
      <c r="J210" s="5"/>
      <c r="K210" s="1"/>
      <c r="L210" s="1"/>
      <c r="M210" s="1"/>
      <c r="N210" s="1"/>
      <c r="O210" s="1"/>
      <c r="P210" s="1"/>
      <c r="Q210" s="1"/>
      <c r="R210" s="1"/>
      <c r="S210" s="5"/>
      <c r="T210" s="1"/>
      <c r="U210" s="1"/>
      <c r="V210" s="1"/>
      <c r="W210" s="1"/>
      <c r="X210" s="1"/>
      <c r="Y210" s="5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5"/>
      <c r="BP210" s="1"/>
      <c r="BQ210" s="5"/>
      <c r="BR210" s="1"/>
      <c r="BS210" s="1"/>
      <c r="BT210" s="1"/>
      <c r="BU210" s="1"/>
      <c r="BV210" s="1"/>
      <c r="BW210" s="1"/>
      <c r="BX210" s="175"/>
      <c r="BY210" s="175"/>
      <c r="BZ210" s="175"/>
      <c r="CA210" s="1"/>
      <c r="CB210" s="1"/>
      <c r="CC210" s="1"/>
      <c r="CD210" s="1"/>
      <c r="CE210" s="1"/>
      <c r="CF210" s="175"/>
      <c r="CG210" s="1"/>
      <c r="CH210" s="1"/>
      <c r="CI210" s="1"/>
      <c r="CJ210" s="1"/>
      <c r="CK210" s="1"/>
      <c r="CL210" s="1"/>
      <c r="CM210" s="175"/>
      <c r="CN210" s="175"/>
      <c r="CO210" s="175"/>
      <c r="CP210" s="1"/>
      <c r="CQ210" s="1"/>
      <c r="CX210" s="1"/>
    </row>
    <row r="211" spans="1:102" ht="14.25" customHeight="1">
      <c r="A211" s="1"/>
      <c r="B211" s="1"/>
      <c r="C211" s="1"/>
      <c r="D211" s="1"/>
      <c r="E211" s="1"/>
      <c r="F211" s="1"/>
      <c r="G211" s="5"/>
      <c r="H211" s="1"/>
      <c r="I211" s="5"/>
      <c r="J211" s="5"/>
      <c r="K211" s="1"/>
      <c r="L211" s="1"/>
      <c r="M211" s="1"/>
      <c r="N211" s="1"/>
      <c r="O211" s="1"/>
      <c r="P211" s="1"/>
      <c r="Q211" s="1"/>
      <c r="R211" s="1"/>
      <c r="S211" s="5"/>
      <c r="T211" s="1"/>
      <c r="U211" s="1"/>
      <c r="V211" s="1"/>
      <c r="W211" s="1"/>
      <c r="X211" s="1"/>
      <c r="Y211" s="5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5"/>
      <c r="BP211" s="1"/>
      <c r="BQ211" s="5"/>
      <c r="BR211" s="1"/>
      <c r="BS211" s="1"/>
      <c r="BT211" s="1"/>
      <c r="BU211" s="1"/>
      <c r="BV211" s="1"/>
      <c r="BW211" s="1"/>
      <c r="BX211" s="175"/>
      <c r="BY211" s="175"/>
      <c r="BZ211" s="175"/>
      <c r="CA211" s="1"/>
      <c r="CB211" s="1"/>
      <c r="CC211" s="1"/>
      <c r="CD211" s="1"/>
      <c r="CE211" s="1"/>
      <c r="CF211" s="175"/>
      <c r="CG211" s="1"/>
      <c r="CH211" s="1"/>
      <c r="CI211" s="1"/>
      <c r="CJ211" s="1"/>
      <c r="CK211" s="1"/>
      <c r="CL211" s="1"/>
      <c r="CM211" s="175"/>
      <c r="CN211" s="175"/>
      <c r="CO211" s="175"/>
      <c r="CP211" s="1"/>
      <c r="CQ211" s="1"/>
      <c r="CX211" s="1"/>
    </row>
    <row r="212" spans="1:102" ht="14.25" customHeight="1">
      <c r="A212" s="1"/>
      <c r="B212" s="1"/>
      <c r="C212" s="1"/>
      <c r="D212" s="1"/>
      <c r="E212" s="1"/>
      <c r="F212" s="1"/>
      <c r="G212" s="5"/>
      <c r="H212" s="1"/>
      <c r="I212" s="5"/>
      <c r="J212" s="5"/>
      <c r="K212" s="1"/>
      <c r="L212" s="1"/>
      <c r="M212" s="1"/>
      <c r="N212" s="1"/>
      <c r="O212" s="1"/>
      <c r="P212" s="1"/>
      <c r="Q212" s="1"/>
      <c r="R212" s="1"/>
      <c r="S212" s="5"/>
      <c r="T212" s="1"/>
      <c r="U212" s="1"/>
      <c r="V212" s="1"/>
      <c r="W212" s="1"/>
      <c r="X212" s="1"/>
      <c r="Y212" s="5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5"/>
      <c r="BP212" s="1"/>
      <c r="BQ212" s="5"/>
      <c r="BR212" s="1"/>
      <c r="BS212" s="1"/>
      <c r="BT212" s="1"/>
      <c r="BU212" s="1"/>
      <c r="BV212" s="1"/>
      <c r="BW212" s="1"/>
      <c r="BX212" s="175"/>
      <c r="BY212" s="175"/>
      <c r="BZ212" s="175"/>
      <c r="CA212" s="1"/>
      <c r="CB212" s="1"/>
      <c r="CC212" s="1"/>
      <c r="CD212" s="1"/>
      <c r="CE212" s="1"/>
      <c r="CF212" s="175"/>
      <c r="CG212" s="1"/>
      <c r="CH212" s="1"/>
      <c r="CI212" s="1"/>
      <c r="CJ212" s="1"/>
      <c r="CK212" s="1"/>
      <c r="CL212" s="1"/>
      <c r="CM212" s="175"/>
      <c r="CN212" s="175"/>
      <c r="CO212" s="175"/>
      <c r="CP212" s="1"/>
      <c r="CQ212" s="1"/>
      <c r="CX212" s="1"/>
    </row>
    <row r="213" spans="1:102" ht="14.25" customHeight="1">
      <c r="A213" s="1"/>
      <c r="B213" s="1"/>
      <c r="C213" s="1"/>
      <c r="D213" s="1"/>
      <c r="E213" s="1"/>
      <c r="F213" s="1"/>
      <c r="G213" s="5"/>
      <c r="H213" s="1"/>
      <c r="I213" s="5"/>
      <c r="J213" s="5"/>
      <c r="K213" s="1"/>
      <c r="L213" s="1"/>
      <c r="M213" s="1"/>
      <c r="N213" s="1"/>
      <c r="O213" s="1"/>
      <c r="P213" s="1"/>
      <c r="Q213" s="1"/>
      <c r="R213" s="1"/>
      <c r="S213" s="5"/>
      <c r="T213" s="1"/>
      <c r="U213" s="1"/>
      <c r="V213" s="1"/>
      <c r="W213" s="1"/>
      <c r="X213" s="1"/>
      <c r="Y213" s="5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5"/>
      <c r="BP213" s="1"/>
      <c r="BQ213" s="5"/>
      <c r="BR213" s="1"/>
      <c r="BS213" s="1"/>
      <c r="BT213" s="1"/>
      <c r="BU213" s="1"/>
      <c r="BV213" s="1"/>
      <c r="BW213" s="1"/>
      <c r="BX213" s="175"/>
      <c r="BY213" s="175"/>
      <c r="BZ213" s="175"/>
      <c r="CA213" s="1"/>
      <c r="CB213" s="1"/>
      <c r="CC213" s="1"/>
      <c r="CD213" s="1"/>
      <c r="CE213" s="1"/>
      <c r="CF213" s="175"/>
      <c r="CG213" s="1"/>
      <c r="CH213" s="1"/>
      <c r="CI213" s="1"/>
      <c r="CJ213" s="1"/>
      <c r="CK213" s="1"/>
      <c r="CL213" s="1"/>
      <c r="CM213" s="175"/>
      <c r="CN213" s="175"/>
      <c r="CO213" s="175"/>
      <c r="CP213" s="1"/>
      <c r="CQ213" s="1"/>
      <c r="CX213" s="1"/>
    </row>
    <row r="214" spans="1:102" ht="14.25" customHeight="1">
      <c r="BX214" s="757"/>
      <c r="BY214" s="757"/>
      <c r="BZ214" s="757"/>
      <c r="CF214" s="410"/>
      <c r="CM214" s="757"/>
      <c r="CN214" s="757"/>
      <c r="CO214" s="757"/>
    </row>
    <row r="215" spans="1:102" ht="14.25" customHeight="1">
      <c r="BX215" s="757"/>
      <c r="BY215" s="757"/>
      <c r="BZ215" s="757"/>
      <c r="CF215" s="410"/>
      <c r="CM215" s="757"/>
      <c r="CN215" s="757"/>
      <c r="CO215" s="757"/>
    </row>
    <row r="216" spans="1:102" ht="14.25" customHeight="1">
      <c r="BX216" s="757"/>
      <c r="BY216" s="757"/>
      <c r="BZ216" s="757"/>
      <c r="CF216" s="410"/>
      <c r="CM216" s="757"/>
      <c r="CN216" s="757"/>
      <c r="CO216" s="757"/>
    </row>
    <row r="217" spans="1:102" ht="14.25" customHeight="1">
      <c r="BX217" s="757"/>
      <c r="BY217" s="757"/>
      <c r="BZ217" s="757"/>
      <c r="CF217" s="410"/>
      <c r="CM217" s="757"/>
      <c r="CN217" s="757"/>
      <c r="CO217" s="757"/>
    </row>
    <row r="218" spans="1:102" ht="14.25" customHeight="1">
      <c r="BX218" s="757"/>
      <c r="BY218" s="757"/>
      <c r="BZ218" s="757"/>
      <c r="CF218" s="410"/>
      <c r="CM218" s="757"/>
      <c r="CN218" s="757"/>
      <c r="CO218" s="757"/>
    </row>
    <row r="219" spans="1:102" ht="14.25" customHeight="1">
      <c r="BX219" s="757"/>
      <c r="BY219" s="757"/>
      <c r="BZ219" s="757"/>
      <c r="CF219" s="410"/>
      <c r="CM219" s="757"/>
      <c r="CN219" s="757"/>
      <c r="CO219" s="757"/>
    </row>
    <row r="220" spans="1:102" ht="14.25" customHeight="1">
      <c r="BX220" s="757"/>
      <c r="BY220" s="757"/>
      <c r="BZ220" s="757"/>
      <c r="CF220" s="410"/>
      <c r="CM220" s="757"/>
      <c r="CN220" s="757"/>
      <c r="CO220" s="757"/>
    </row>
    <row r="221" spans="1:102" ht="14.25" customHeight="1">
      <c r="BX221" s="757"/>
      <c r="BY221" s="757"/>
      <c r="BZ221" s="757"/>
      <c r="CF221" s="410"/>
      <c r="CM221" s="757"/>
      <c r="CN221" s="757"/>
      <c r="CO221" s="757"/>
    </row>
    <row r="222" spans="1:102" ht="14.25" customHeight="1">
      <c r="BX222" s="757"/>
      <c r="BY222" s="757"/>
      <c r="BZ222" s="757"/>
      <c r="CF222" s="410"/>
      <c r="CM222" s="757"/>
      <c r="CN222" s="757"/>
      <c r="CO222" s="757"/>
    </row>
    <row r="223" spans="1:102" ht="14.25" customHeight="1">
      <c r="BX223" s="757"/>
      <c r="BY223" s="757"/>
      <c r="BZ223" s="757"/>
      <c r="CF223" s="410"/>
      <c r="CM223" s="757"/>
      <c r="CN223" s="757"/>
      <c r="CO223" s="757"/>
    </row>
    <row r="224" spans="1:102" ht="14.25" customHeight="1">
      <c r="BX224" s="757"/>
      <c r="BY224" s="757"/>
      <c r="BZ224" s="757"/>
      <c r="CF224" s="410"/>
      <c r="CM224" s="757"/>
      <c r="CN224" s="757"/>
      <c r="CO224" s="757"/>
    </row>
    <row r="225" spans="76:93" ht="14.25" customHeight="1">
      <c r="BX225" s="757"/>
      <c r="BY225" s="757"/>
      <c r="BZ225" s="757"/>
      <c r="CF225" s="410"/>
      <c r="CM225" s="757"/>
      <c r="CN225" s="757"/>
      <c r="CO225" s="757"/>
    </row>
    <row r="226" spans="76:93" ht="14.25" customHeight="1">
      <c r="BX226" s="757"/>
      <c r="BY226" s="757"/>
      <c r="BZ226" s="757"/>
      <c r="CF226" s="410"/>
      <c r="CM226" s="757"/>
      <c r="CN226" s="757"/>
      <c r="CO226" s="757"/>
    </row>
    <row r="227" spans="76:93" ht="14.25" customHeight="1">
      <c r="BX227" s="757"/>
      <c r="BY227" s="757"/>
      <c r="BZ227" s="757"/>
      <c r="CF227" s="410"/>
      <c r="CM227" s="757"/>
      <c r="CN227" s="757"/>
      <c r="CO227" s="757"/>
    </row>
    <row r="228" spans="76:93" ht="14.25" customHeight="1">
      <c r="BX228" s="757"/>
      <c r="BY228" s="757"/>
      <c r="BZ228" s="757"/>
      <c r="CF228" s="410"/>
      <c r="CM228" s="757"/>
      <c r="CN228" s="757"/>
      <c r="CO228" s="757"/>
    </row>
    <row r="229" spans="76:93" ht="14.25" customHeight="1">
      <c r="BX229" s="757"/>
      <c r="BY229" s="757"/>
      <c r="BZ229" s="757"/>
      <c r="CF229" s="410"/>
      <c r="CM229" s="757"/>
      <c r="CN229" s="757"/>
      <c r="CO229" s="757"/>
    </row>
    <row r="230" spans="76:93" ht="14.25" customHeight="1">
      <c r="BX230" s="757"/>
      <c r="BY230" s="757"/>
      <c r="BZ230" s="757"/>
      <c r="CF230" s="410"/>
      <c r="CM230" s="757"/>
      <c r="CN230" s="757"/>
      <c r="CO230" s="757"/>
    </row>
    <row r="231" spans="76:93" ht="14.25" customHeight="1">
      <c r="BX231" s="757"/>
      <c r="BY231" s="757"/>
      <c r="BZ231" s="757"/>
      <c r="CF231" s="410"/>
      <c r="CM231" s="757"/>
      <c r="CN231" s="757"/>
      <c r="CO231" s="757"/>
    </row>
    <row r="232" spans="76:93" ht="14.25" customHeight="1">
      <c r="BX232" s="757"/>
      <c r="CF232" s="410"/>
      <c r="CM232" s="757"/>
      <c r="CN232" s="757"/>
      <c r="CO232" s="757"/>
    </row>
    <row r="233" spans="76:93" ht="14.25" customHeight="1">
      <c r="BX233" s="757"/>
      <c r="CF233" s="410"/>
      <c r="CM233" s="757"/>
      <c r="CN233" s="757"/>
      <c r="CO233" s="757"/>
    </row>
    <row r="234" spans="76:93" ht="14.25" customHeight="1">
      <c r="BX234" s="757"/>
      <c r="CF234" s="410"/>
      <c r="CM234" s="757"/>
      <c r="CN234" s="757"/>
      <c r="CO234" s="757"/>
    </row>
    <row r="235" spans="76:93" ht="14.25" customHeight="1">
      <c r="BX235" s="757"/>
      <c r="CF235" s="410"/>
      <c r="CM235" s="757"/>
      <c r="CN235" s="757"/>
      <c r="CO235" s="757"/>
    </row>
    <row r="236" spans="76:93" ht="14.25" customHeight="1">
      <c r="BX236" s="757"/>
      <c r="CM236" s="757"/>
      <c r="CN236" s="757"/>
      <c r="CO236" s="757"/>
    </row>
    <row r="237" spans="76:93" ht="14.25" customHeight="1">
      <c r="CM237" s="757"/>
      <c r="CN237" s="757"/>
      <c r="CO237" s="757"/>
    </row>
    <row r="238" spans="76:93" ht="14.25" customHeight="1">
      <c r="CM238" s="757"/>
      <c r="CN238" s="757"/>
      <c r="CO238" s="757"/>
    </row>
    <row r="239" spans="76:93" ht="14.25" customHeight="1">
      <c r="CM239" s="757"/>
      <c r="CN239" s="757"/>
      <c r="CO239" s="757"/>
    </row>
    <row r="240" spans="76:93" ht="14.25" customHeight="1">
      <c r="CM240" s="757"/>
      <c r="CN240" s="757"/>
      <c r="CO240" s="757"/>
    </row>
    <row r="241" spans="91:93" ht="14.25" customHeight="1">
      <c r="CM241" s="757"/>
      <c r="CN241" s="757"/>
      <c r="CO241" s="757"/>
    </row>
    <row r="242" spans="91:93" ht="14.25" customHeight="1">
      <c r="CM242" s="757"/>
      <c r="CN242" s="757"/>
      <c r="CO242" s="757"/>
    </row>
    <row r="243" spans="91:93" ht="14.25" customHeight="1">
      <c r="CM243" s="757"/>
      <c r="CN243" s="757"/>
      <c r="CO243" s="757"/>
    </row>
    <row r="244" spans="91:93" ht="14.25" customHeight="1">
      <c r="CM244" s="757"/>
      <c r="CN244" s="757"/>
      <c r="CO244" s="757"/>
    </row>
    <row r="245" spans="91:93" ht="14.25" customHeight="1">
      <c r="CM245" s="757"/>
      <c r="CN245" s="757"/>
      <c r="CO245" s="757"/>
    </row>
    <row r="246" spans="91:93" ht="14.25" customHeight="1">
      <c r="CM246" s="757"/>
      <c r="CN246" s="757"/>
      <c r="CO246" s="757"/>
    </row>
    <row r="247" spans="91:93" ht="14.25" customHeight="1">
      <c r="CM247" s="757"/>
      <c r="CN247" s="757"/>
      <c r="CO247" s="757"/>
    </row>
    <row r="248" spans="91:93" ht="14.25" customHeight="1">
      <c r="CM248" s="757"/>
      <c r="CN248" s="757"/>
      <c r="CO248" s="757"/>
    </row>
    <row r="249" spans="91:93" ht="14.25" customHeight="1">
      <c r="CM249" s="757"/>
      <c r="CN249" s="757"/>
      <c r="CO249" s="757"/>
    </row>
    <row r="250" spans="91:93" ht="14.25" customHeight="1">
      <c r="CM250" s="757"/>
      <c r="CN250" s="757"/>
      <c r="CO250" s="757"/>
    </row>
    <row r="251" spans="91:93" ht="14.25" customHeight="1">
      <c r="CM251" s="757"/>
      <c r="CN251" s="757"/>
      <c r="CO251" s="757"/>
    </row>
    <row r="252" spans="91:93" ht="14.25" customHeight="1">
      <c r="CM252" s="757"/>
      <c r="CN252" s="757"/>
      <c r="CO252" s="757"/>
    </row>
    <row r="253" spans="91:93" ht="14.25" customHeight="1">
      <c r="CM253" s="757"/>
      <c r="CN253" s="757"/>
      <c r="CO253" s="757"/>
    </row>
    <row r="254" spans="91:93" ht="14.25" customHeight="1">
      <c r="CM254" s="757"/>
      <c r="CN254" s="757"/>
      <c r="CO254" s="757"/>
    </row>
    <row r="255" spans="91:93" ht="14.25" customHeight="1">
      <c r="CM255" s="757"/>
      <c r="CN255" s="757"/>
      <c r="CO255" s="757"/>
    </row>
    <row r="256" spans="91:93" ht="14.25" customHeight="1">
      <c r="CM256" s="757"/>
      <c r="CN256" s="757"/>
      <c r="CO256" s="757"/>
    </row>
    <row r="257" spans="91:93" ht="14.25" customHeight="1">
      <c r="CM257" s="757"/>
      <c r="CN257" s="757"/>
      <c r="CO257" s="757"/>
    </row>
    <row r="258" spans="91:93" ht="14.25" customHeight="1">
      <c r="CM258" s="757"/>
      <c r="CN258" s="757"/>
      <c r="CO258" s="757"/>
    </row>
    <row r="259" spans="91:93" ht="14.25" customHeight="1">
      <c r="CM259" s="757"/>
      <c r="CN259" s="757"/>
      <c r="CO259" s="757"/>
    </row>
    <row r="260" spans="91:93" ht="14.25" customHeight="1">
      <c r="CM260" s="757"/>
      <c r="CN260" s="757"/>
      <c r="CO260" s="757"/>
    </row>
    <row r="261" spans="91:93" ht="14.25" customHeight="1">
      <c r="CM261" s="757"/>
      <c r="CN261" s="757"/>
      <c r="CO261" s="757"/>
    </row>
    <row r="262" spans="91:93" ht="14.25" customHeight="1">
      <c r="CM262" s="757"/>
      <c r="CN262" s="757"/>
      <c r="CO262" s="757"/>
    </row>
    <row r="263" spans="91:93" ht="14.25" customHeight="1">
      <c r="CM263" s="757"/>
      <c r="CN263" s="757"/>
      <c r="CO263" s="757"/>
    </row>
    <row r="264" spans="91:93" ht="14.25" customHeight="1">
      <c r="CM264" s="757"/>
      <c r="CN264" s="757"/>
      <c r="CO264" s="757"/>
    </row>
    <row r="265" spans="91:93" ht="14.25" customHeight="1">
      <c r="CM265" s="757"/>
      <c r="CN265" s="757"/>
      <c r="CO265" s="757"/>
    </row>
    <row r="266" spans="91:93" ht="14.25" customHeight="1">
      <c r="CM266" s="757"/>
      <c r="CN266" s="757"/>
      <c r="CO266" s="757"/>
    </row>
    <row r="267" spans="91:93" ht="14.25" customHeight="1">
      <c r="CM267" s="757"/>
      <c r="CN267" s="757"/>
      <c r="CO267" s="757"/>
    </row>
    <row r="268" spans="91:93" ht="14.25" customHeight="1">
      <c r="CM268" s="757"/>
      <c r="CN268" s="757"/>
      <c r="CO268" s="757"/>
    </row>
    <row r="269" spans="91:93" ht="14.25" customHeight="1">
      <c r="CM269" s="757"/>
      <c r="CN269" s="757"/>
      <c r="CO269" s="757"/>
    </row>
    <row r="270" spans="91:93" ht="14.25" customHeight="1">
      <c r="CM270" s="757"/>
      <c r="CN270" s="757"/>
      <c r="CO270" s="757"/>
    </row>
    <row r="271" spans="91:93" ht="14.25" customHeight="1">
      <c r="CM271" s="757"/>
      <c r="CN271" s="757"/>
      <c r="CO271" s="757"/>
    </row>
    <row r="272" spans="91:93" ht="14.25" customHeight="1">
      <c r="CM272" s="757"/>
      <c r="CN272" s="757"/>
      <c r="CO272" s="757"/>
    </row>
    <row r="273" spans="91:93" ht="14.25" customHeight="1">
      <c r="CM273" s="757"/>
      <c r="CN273" s="757"/>
      <c r="CO273" s="757"/>
    </row>
    <row r="274" spans="91:93" ht="14.25" customHeight="1">
      <c r="CM274" s="757"/>
      <c r="CN274" s="757"/>
      <c r="CO274" s="757"/>
    </row>
    <row r="275" spans="91:93" ht="14.25" customHeight="1">
      <c r="CM275" s="757"/>
      <c r="CN275" s="757"/>
      <c r="CO275" s="757"/>
    </row>
    <row r="276" spans="91:93" ht="14.25" customHeight="1">
      <c r="CM276" s="757"/>
      <c r="CN276" s="757"/>
      <c r="CO276" s="757"/>
    </row>
    <row r="277" spans="91:93" ht="14.25" customHeight="1">
      <c r="CM277" s="757"/>
      <c r="CN277" s="757"/>
      <c r="CO277" s="757"/>
    </row>
    <row r="278" spans="91:93" ht="14.25" customHeight="1">
      <c r="CM278" s="757"/>
      <c r="CN278" s="757"/>
      <c r="CO278" s="757"/>
    </row>
    <row r="279" spans="91:93" ht="14.25" customHeight="1">
      <c r="CM279" s="757"/>
      <c r="CN279" s="757"/>
      <c r="CO279" s="757"/>
    </row>
    <row r="280" spans="91:93" ht="14.25" customHeight="1">
      <c r="CM280" s="757"/>
      <c r="CN280" s="757"/>
      <c r="CO280" s="757"/>
    </row>
    <row r="281" spans="91:93" ht="14.25" customHeight="1">
      <c r="CM281" s="757"/>
      <c r="CN281" s="757"/>
      <c r="CO281" s="757"/>
    </row>
    <row r="282" spans="91:93" ht="14.25" customHeight="1">
      <c r="CM282" s="757"/>
      <c r="CN282" s="757"/>
      <c r="CO282" s="757"/>
    </row>
    <row r="283" spans="91:93" ht="14.25" customHeight="1">
      <c r="CM283" s="757"/>
      <c r="CN283" s="757"/>
      <c r="CO283" s="757"/>
    </row>
    <row r="284" spans="91:93" ht="14.25" customHeight="1">
      <c r="CM284" s="757"/>
      <c r="CN284" s="757"/>
      <c r="CO284" s="757"/>
    </row>
    <row r="285" spans="91:93" ht="14.25" customHeight="1">
      <c r="CM285" s="757"/>
      <c r="CN285" s="757"/>
      <c r="CO285" s="757"/>
    </row>
    <row r="286" spans="91:93" ht="14.25" customHeight="1">
      <c r="CM286" s="757"/>
      <c r="CN286" s="757"/>
      <c r="CO286" s="757"/>
    </row>
  </sheetData>
  <pageMargins left="0" right="0" top="0" bottom="0" header="0" footer="0"/>
  <pageSetup paperSize="5" scale="64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CX123"/>
  <sheetViews>
    <sheetView zoomScale="80" zoomScaleNormal="80" workbookViewId="0">
      <pane xSplit="3" topLeftCell="D1" activePane="topRight" state="frozen"/>
      <selection pane="topRight" activeCell="B3" sqref="B3"/>
    </sheetView>
  </sheetViews>
  <sheetFormatPr defaultRowHeight="14.25" customHeight="1" outlineLevelRow="1" outlineLevelCol="1"/>
  <cols>
    <col min="1" max="1" width="1.7109375" customWidth="1"/>
    <col min="2" max="2" width="43.28515625" customWidth="1"/>
    <col min="3" max="3" width="1.7109375" customWidth="1"/>
    <col min="4" max="37" width="11.42578125" hidden="1" customWidth="1" outlineLevel="1"/>
    <col min="38" max="39" width="12.28515625" hidden="1" customWidth="1" outlineLevel="1"/>
    <col min="40" max="40" width="12.28515625" hidden="1" customWidth="1" outlineLevel="1" collapsed="1"/>
    <col min="41" max="43" width="12.28515625" hidden="1" customWidth="1" outlineLevel="1"/>
    <col min="44" max="44" width="12.28515625" hidden="1" customWidth="1" outlineLevel="1" collapsed="1"/>
    <col min="45" max="47" width="13" hidden="1" customWidth="1" outlineLevel="1"/>
    <col min="48" max="48" width="13" customWidth="1" collapsed="1"/>
    <col min="49" max="51" width="13" customWidth="1"/>
    <col min="52" max="52" width="13" style="959" customWidth="1"/>
    <col min="53" max="55" width="12.28515625" style="959" customWidth="1"/>
    <col min="56" max="59" width="12.28515625" style="1281" customWidth="1"/>
    <col min="60" max="63" width="12.28515625" style="1386" hidden="1" customWidth="1" outlineLevel="1"/>
    <col min="64" max="64" width="2.7109375" customWidth="1" collapsed="1"/>
    <col min="65" max="72" width="11.42578125" hidden="1" customWidth="1" outlineLevel="1"/>
    <col min="73" max="75" width="12" hidden="1" customWidth="1" outlineLevel="1"/>
    <col min="76" max="76" width="12.140625" customWidth="1" collapsed="1"/>
    <col min="77" max="77" width="12.140625" style="1281" customWidth="1"/>
    <col min="78" max="78" width="12.140625" style="1458" customWidth="1"/>
    <col min="79" max="79" width="12.140625" style="1386" hidden="1" customWidth="1" outlineLevel="1"/>
    <col min="80" max="80" width="5.7109375" customWidth="1" collapsed="1"/>
    <col min="81" max="88" width="11.42578125" hidden="1" customWidth="1" outlineLevel="1"/>
    <col min="89" max="89" width="12.28515625" hidden="1" customWidth="1" outlineLevel="1"/>
    <col min="90" max="90" width="12" hidden="1" customWidth="1" outlineLevel="1"/>
    <col min="91" max="91" width="11.42578125" hidden="1" customWidth="1" outlineLevel="1"/>
    <col min="92" max="92" width="12.42578125" style="959" bestFit="1" customWidth="1" collapsed="1"/>
    <col min="93" max="94" width="12.42578125" style="1386" bestFit="1" customWidth="1"/>
    <col min="95" max="95" width="11.42578125" style="768" customWidth="1"/>
  </cols>
  <sheetData>
    <row r="1" spans="1:102" ht="67.5" customHeight="1">
      <c r="A1" s="1"/>
      <c r="B1" s="5"/>
      <c r="C1" s="2"/>
      <c r="D1" s="2"/>
      <c r="E1" s="2" t="str">
        <f>IF(SUM(BS)&lt;&gt;0,"BS BREAK","")</f>
        <v/>
      </c>
      <c r="F1" s="2"/>
      <c r="G1" s="2" t="str">
        <f>IF(SUM(BS)&lt;&gt;0,"BS BREAK","")</f>
        <v/>
      </c>
      <c r="H1" s="2"/>
      <c r="I1" s="2" t="str">
        <f>IF(SUM(BS)&lt;&gt;0,"BS BREAK","")</f>
        <v/>
      </c>
      <c r="J1" s="2"/>
      <c r="K1" s="2" t="str">
        <f>IF(SUM(BS)&lt;&gt;0,"BS BREAK","")</f>
        <v/>
      </c>
      <c r="L1" s="2"/>
      <c r="M1" s="2" t="str">
        <f>IF(SUM(BS)&lt;&gt;0,"BS BREAK","")</f>
        <v/>
      </c>
      <c r="N1" s="2"/>
      <c r="O1" s="2" t="str">
        <f>IF(SUM(BS)&lt;&gt;0,"BS BREAK","")</f>
        <v/>
      </c>
      <c r="P1" s="2"/>
      <c r="Q1" s="2" t="str">
        <f>IF(SUM(BS)&lt;&gt;0,"BS BREAK","")</f>
        <v/>
      </c>
      <c r="R1" s="2"/>
      <c r="S1" s="2" t="str">
        <f>IF(SUM(BS)&lt;&gt;0,"BS BREAK","")</f>
        <v/>
      </c>
      <c r="T1" s="2"/>
      <c r="U1" s="2" t="str">
        <f>IF(SUM(BS)&lt;&gt;0,"BS BREAK","")</f>
        <v/>
      </c>
      <c r="V1" s="2"/>
      <c r="W1" s="2" t="str">
        <f>IF(SUM(BS)&lt;&gt;0,"BS BREAK","")</f>
        <v/>
      </c>
      <c r="X1" s="2"/>
      <c r="Y1" s="2" t="str">
        <f>IF(SUM(BS)&lt;&gt;0,"BS BREAK","")</f>
        <v/>
      </c>
      <c r="Z1" s="2"/>
      <c r="AA1" s="2" t="str">
        <f>IF(SUM(BS)&lt;&gt;0,"BS BREAK","")</f>
        <v/>
      </c>
      <c r="AB1" s="2"/>
      <c r="AC1" s="2" t="str">
        <f>IF(SUM(BS)&lt;&gt;0,"BS BREAK","")</f>
        <v/>
      </c>
      <c r="AD1" s="2"/>
      <c r="AE1" s="2" t="str">
        <f>IF(SUM(BS)&lt;&gt;0,"BS BREAK","")</f>
        <v/>
      </c>
      <c r="AF1" s="2"/>
      <c r="AG1" s="2" t="str">
        <f>IF(SUM(BS)&lt;&gt;0,"BS BREAK","")</f>
        <v/>
      </c>
      <c r="AH1" s="2"/>
      <c r="AI1" s="2" t="str">
        <f>IF(SUM(BS)&lt;&gt;0,"BS BREAK","")</f>
        <v/>
      </c>
      <c r="AJ1" s="2"/>
      <c r="AK1" s="2" t="str">
        <f>IF(SUM(BS)&lt;&gt;0,"BS BREAK","")</f>
        <v/>
      </c>
      <c r="AL1" s="2"/>
      <c r="AM1" s="2" t="str">
        <f>IF(SUM(BS)&lt;&gt;0,"BS BREAK","")</f>
        <v/>
      </c>
      <c r="AN1" s="2"/>
      <c r="AO1" s="2" t="str">
        <f>IF(SUM(BS)&lt;&gt;0,"BS BREAK","")</f>
        <v/>
      </c>
      <c r="AP1" s="2"/>
      <c r="AQ1" s="2" t="str">
        <f>IF(SUM(BS)&lt;&gt;0,"BS BREAK","")</f>
        <v/>
      </c>
      <c r="AR1" s="2"/>
      <c r="AS1" s="2" t="str">
        <f>IF(SUM(BS)&lt;&gt;0,"BS BREAK","")</f>
        <v/>
      </c>
      <c r="AT1" s="2"/>
      <c r="AU1" s="2" t="str">
        <f>IF(SUM(BS)&lt;&gt;0,"BS BREAK","")</f>
        <v/>
      </c>
      <c r="AV1" s="2"/>
      <c r="AW1" s="2" t="str">
        <f>IF(SUM(BS)&lt;&gt;0,"BS BREAK","")</f>
        <v/>
      </c>
      <c r="AX1" s="2"/>
      <c r="AY1" s="2" t="str">
        <f>IF(SUM(BS)&lt;&gt;0,"BS BREAK","")</f>
        <v/>
      </c>
      <c r="AZ1" s="2"/>
      <c r="BA1" s="2" t="str">
        <f>IF(SUM(BS)&lt;&gt;0,"BS BREAK","")</f>
        <v/>
      </c>
      <c r="BB1" s="2"/>
      <c r="BC1" s="2" t="str">
        <f>IF(SUM(BS)&lt;&gt;0,"BS BREAK","")</f>
        <v/>
      </c>
      <c r="BD1" s="2"/>
      <c r="BE1" s="2"/>
      <c r="BF1" s="2"/>
      <c r="BG1" s="2"/>
      <c r="BH1" s="2"/>
      <c r="BI1" s="2"/>
      <c r="BJ1" s="2"/>
      <c r="BK1" s="2"/>
      <c r="BL1" s="2"/>
      <c r="BM1" s="2" t="str">
        <f>IF(SUM(BS)&lt;&gt;0,"BS BREAK","")</f>
        <v/>
      </c>
      <c r="BN1" s="2"/>
      <c r="BO1" s="2" t="str">
        <f>IF(SUM(BS)&lt;&gt;0,"BS BREAK","")</f>
        <v/>
      </c>
      <c r="BP1" s="2"/>
      <c r="BQ1" s="2" t="str">
        <f>IF(SUM(BS)&lt;&gt;0,"BS BREAK","")</f>
        <v/>
      </c>
      <c r="BR1" s="2"/>
      <c r="BS1" s="2" t="str">
        <f>IF(SUM(BS)&lt;&gt;0,"BS BREAK","")</f>
        <v/>
      </c>
      <c r="BT1" s="2"/>
      <c r="BU1" s="2" t="str">
        <f>IF(SUM(BS)&lt;&gt;0,"BS BREAK","")</f>
        <v/>
      </c>
      <c r="BV1" s="2"/>
      <c r="BW1" s="2" t="str">
        <f>IF(SUM(BS)&lt;&gt;0,"BS BREAK","")</f>
        <v/>
      </c>
      <c r="BX1" s="2"/>
      <c r="BY1" s="2" t="str">
        <f>IF(SUM(BS)&lt;&gt;0,"BS BREAK","")</f>
        <v/>
      </c>
      <c r="BZ1" s="2"/>
      <c r="CA1" s="2"/>
      <c r="CB1" s="2" t="str">
        <f>IF(SUM(BS)&lt;&gt;0,"BS BREAK","")</f>
        <v/>
      </c>
      <c r="CC1" s="2" t="s">
        <v>200</v>
      </c>
      <c r="CD1" s="2" t="str">
        <f>IF(SUM(BS)&lt;&gt;0,"BS BREAK","")</f>
        <v/>
      </c>
      <c r="CE1" s="2"/>
      <c r="CF1" s="2" t="str">
        <f>IF(SUM(BS)&lt;&gt;0,"BS BREAK","")</f>
        <v/>
      </c>
      <c r="CG1" s="2"/>
      <c r="CH1" s="2" t="str">
        <f>IF(SUM(BS)&lt;&gt;0,"BS BREAK","")</f>
        <v/>
      </c>
      <c r="CI1" s="2"/>
      <c r="CJ1" s="2" t="str">
        <f>IF(SUM(BS)&lt;&gt;0,"BS BREAK","")</f>
        <v/>
      </c>
      <c r="CK1" s="2"/>
      <c r="CL1" s="2" t="str">
        <f>IF(SUM(BS)&lt;&gt;0,"BS BREAK","")</f>
        <v/>
      </c>
      <c r="CM1" s="2"/>
      <c r="CN1" s="2"/>
      <c r="CO1" s="2"/>
      <c r="CP1" s="2"/>
      <c r="CQ1" s="5"/>
      <c r="CX1" s="1"/>
    </row>
    <row r="2" spans="1:102" ht="18" customHeight="1">
      <c r="A2" s="1"/>
      <c r="B2" s="4" t="s">
        <v>155</v>
      </c>
      <c r="C2" s="4"/>
      <c r="D2" s="1"/>
      <c r="E2" s="1"/>
      <c r="F2" s="1"/>
      <c r="G2" s="5"/>
      <c r="H2" s="1"/>
      <c r="I2" s="1"/>
      <c r="J2" s="1"/>
      <c r="K2" s="5"/>
      <c r="L2" s="1"/>
      <c r="M2" s="1"/>
      <c r="N2" s="1"/>
      <c r="O2" s="5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5"/>
      <c r="BN2" s="5"/>
      <c r="BO2" s="5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5"/>
      <c r="CD2" s="5"/>
      <c r="CE2" s="5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5"/>
      <c r="CX2" s="1"/>
    </row>
    <row r="3" spans="1:102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5"/>
      <c r="L3" s="1"/>
      <c r="M3" s="1"/>
      <c r="N3" s="1"/>
      <c r="O3" s="5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6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5"/>
      <c r="BN3" s="5"/>
      <c r="BO3" s="5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5"/>
      <c r="CD3" s="5"/>
      <c r="CE3" s="5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5"/>
      <c r="CX3" s="1"/>
    </row>
    <row r="4" spans="1:102" ht="14.25" customHeight="1">
      <c r="A4" s="1"/>
      <c r="B4" s="1"/>
      <c r="C4" s="1"/>
      <c r="D4" s="1"/>
      <c r="E4" s="1"/>
      <c r="F4" s="1"/>
      <c r="G4" s="5"/>
      <c r="H4" s="1"/>
      <c r="I4" s="1"/>
      <c r="J4" s="1"/>
      <c r="K4" s="5"/>
      <c r="L4" s="1"/>
      <c r="M4" s="1"/>
      <c r="N4" s="1"/>
      <c r="O4" s="5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137"/>
      <c r="AT4" s="1137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5"/>
      <c r="BN4" s="5"/>
      <c r="BO4" s="5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5"/>
      <c r="CD4" s="5"/>
      <c r="CE4" s="5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5"/>
      <c r="CX4" s="1"/>
    </row>
    <row r="5" spans="1:102" ht="14.25" customHeight="1">
      <c r="A5" s="7"/>
      <c r="B5" s="8" t="s">
        <v>398</v>
      </c>
      <c r="C5" s="9"/>
      <c r="D5" s="7"/>
      <c r="E5" s="7"/>
      <c r="F5" s="7"/>
      <c r="G5" s="10"/>
      <c r="H5" s="7"/>
      <c r="I5" s="7"/>
      <c r="J5" s="7"/>
      <c r="K5" s="10"/>
      <c r="L5" s="7"/>
      <c r="M5" s="7"/>
      <c r="N5" s="7"/>
      <c r="O5" s="10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10"/>
      <c r="BN5" s="10"/>
      <c r="BO5" s="10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10"/>
      <c r="CD5" s="10"/>
      <c r="CE5" s="10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10"/>
      <c r="CX5" s="7"/>
    </row>
    <row r="6" spans="1:102" ht="14.25" customHeight="1">
      <c r="A6" s="7"/>
      <c r="B6" s="11" t="s">
        <v>180</v>
      </c>
      <c r="C6" s="12"/>
      <c r="D6" s="330">
        <f>+'AVGO IS'!D6</f>
        <v>38748</v>
      </c>
      <c r="E6" s="331">
        <f>+'AVGO IS'!E6</f>
        <v>38837</v>
      </c>
      <c r="F6" s="331">
        <f>+'AVGO IS'!F6</f>
        <v>38929</v>
      </c>
      <c r="G6" s="332">
        <f>+'AVGO IS'!G6</f>
        <v>39021</v>
      </c>
      <c r="H6" s="330">
        <f>+'AVGO IS'!H6</f>
        <v>39113</v>
      </c>
      <c r="I6" s="331">
        <f>+'AVGO IS'!I6</f>
        <v>39202</v>
      </c>
      <c r="J6" s="331">
        <f>+'AVGO IS'!J6</f>
        <v>39294</v>
      </c>
      <c r="K6" s="332">
        <f>+'AVGO IS'!K6</f>
        <v>39386</v>
      </c>
      <c r="L6" s="330">
        <f>+'AVGO IS'!L6</f>
        <v>39478</v>
      </c>
      <c r="M6" s="331">
        <f>+'AVGO IS'!M6</f>
        <v>39568</v>
      </c>
      <c r="N6" s="331">
        <f>+'AVGO IS'!N6</f>
        <v>39660</v>
      </c>
      <c r="O6" s="332">
        <f>+'AVGO IS'!O6</f>
        <v>39752</v>
      </c>
      <c r="P6" s="330">
        <f>+'AVGO IS'!P6</f>
        <v>39844</v>
      </c>
      <c r="Q6" s="331">
        <f>+'AVGO IS'!Q6</f>
        <v>39933</v>
      </c>
      <c r="R6" s="331">
        <f>+'AVGO IS'!R6</f>
        <v>40025</v>
      </c>
      <c r="S6" s="332">
        <f>+'AVGO IS'!S6</f>
        <v>40117</v>
      </c>
      <c r="T6" s="330">
        <f>+'AVGO IS'!T6</f>
        <v>40209</v>
      </c>
      <c r="U6" s="331">
        <f>+'AVGO IS'!U6</f>
        <v>40298</v>
      </c>
      <c r="V6" s="331">
        <f>+'AVGO IS'!V6</f>
        <v>40390</v>
      </c>
      <c r="W6" s="332">
        <f>+'AVGO IS'!W6</f>
        <v>40482</v>
      </c>
      <c r="X6" s="330">
        <f>+'AVGO IS'!X6</f>
        <v>40574</v>
      </c>
      <c r="Y6" s="331">
        <f>+'AVGO IS'!Y6</f>
        <v>40663</v>
      </c>
      <c r="Z6" s="331">
        <f>+'AVGO IS'!Z6</f>
        <v>40755</v>
      </c>
      <c r="AA6" s="332">
        <f>+'AVGO IS'!AA6</f>
        <v>40847</v>
      </c>
      <c r="AB6" s="330">
        <f>+'AVGO IS'!AB6</f>
        <v>40939</v>
      </c>
      <c r="AC6" s="331">
        <f>+'AVGO IS'!AC6</f>
        <v>41029</v>
      </c>
      <c r="AD6" s="331">
        <f>+'AVGO IS'!AD6</f>
        <v>41121</v>
      </c>
      <c r="AE6" s="332">
        <f>+'AVGO IS'!AE6</f>
        <v>41213</v>
      </c>
      <c r="AF6" s="330">
        <f>+'AVGO IS'!AF6</f>
        <v>41305</v>
      </c>
      <c r="AG6" s="331">
        <f>+'AVGO IS'!AG6</f>
        <v>41394</v>
      </c>
      <c r="AH6" s="331">
        <f>+'AVGO IS'!AH6</f>
        <v>41486</v>
      </c>
      <c r="AI6" s="332">
        <f>+'AVGO IS'!AI6</f>
        <v>41578</v>
      </c>
      <c r="AJ6" s="330">
        <f>+'AVGO IS'!AJ6</f>
        <v>41670</v>
      </c>
      <c r="AK6" s="331">
        <f>+'AVGO IS'!AK6</f>
        <v>41759</v>
      </c>
      <c r="AL6" s="331">
        <f>+'AVGO IS'!AL6</f>
        <v>41851</v>
      </c>
      <c r="AM6" s="332">
        <f>+'AVGO IS'!AM6</f>
        <v>41943</v>
      </c>
      <c r="AN6" s="973">
        <f>+'AVGO IS'!AN6</f>
        <v>42035</v>
      </c>
      <c r="AO6" s="974">
        <f>+'AVGO IS'!AO6</f>
        <v>42124</v>
      </c>
      <c r="AP6" s="974">
        <f>+'AVGO IS'!AP6</f>
        <v>42216</v>
      </c>
      <c r="AQ6" s="975">
        <f>+'AVGO IS'!AQ6</f>
        <v>42308</v>
      </c>
      <c r="AR6" s="1243">
        <f>+'AVGO IS'!AR6</f>
        <v>42400</v>
      </c>
      <c r="AS6" s="1244">
        <f>+'AVGO IS'!AS6</f>
        <v>42490</v>
      </c>
      <c r="AT6" s="1244">
        <f>+'AVGO IS'!AT6</f>
        <v>42582</v>
      </c>
      <c r="AU6" s="1244">
        <f>+'AVGO IS'!AU6</f>
        <v>42674</v>
      </c>
      <c r="AV6" s="1243">
        <f>+'AVGO IS'!AV6</f>
        <v>42766</v>
      </c>
      <c r="AW6" s="1244">
        <f>+'AVGO IS'!AW6</f>
        <v>42855</v>
      </c>
      <c r="AX6" s="1244">
        <f>+'AVGO IS'!AX6</f>
        <v>42947</v>
      </c>
      <c r="AY6" s="1244">
        <f>+'AVGO IS'!AY6</f>
        <v>43039</v>
      </c>
      <c r="AZ6" s="1243">
        <f>+'AVGO IS'!AZ6</f>
        <v>43131</v>
      </c>
      <c r="BA6" s="1244">
        <f>+'AVGO IS'!BA6</f>
        <v>43220</v>
      </c>
      <c r="BB6" s="1244">
        <f>+'AVGO IS'!BB6</f>
        <v>43312</v>
      </c>
      <c r="BC6" s="1245">
        <f>+'AVGO IS'!BC6</f>
        <v>43404</v>
      </c>
      <c r="BD6" s="1316">
        <f>+'AVGO IS'!BD6</f>
        <v>43496</v>
      </c>
      <c r="BE6" s="1317">
        <f>+'AVGO IS'!BE6</f>
        <v>43585</v>
      </c>
      <c r="BF6" s="1317">
        <f>+'AVGO IS'!BF6</f>
        <v>43677</v>
      </c>
      <c r="BG6" s="1318">
        <f>+'AVGO IS'!BG6</f>
        <v>43769</v>
      </c>
      <c r="BH6" s="1317">
        <f>+'AVGO IS'!BH6</f>
        <v>43861</v>
      </c>
      <c r="BI6" s="1317">
        <f>+'AVGO IS'!BI6</f>
        <v>43951</v>
      </c>
      <c r="BJ6" s="1317">
        <f>+'AVGO IS'!BJ6</f>
        <v>44043</v>
      </c>
      <c r="BK6" s="1318">
        <f>+'AVGO IS'!BK6</f>
        <v>44135</v>
      </c>
      <c r="BL6" s="20"/>
      <c r="BM6" s="10"/>
      <c r="BN6" s="10"/>
      <c r="BO6" s="10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10"/>
      <c r="CD6" s="10"/>
      <c r="CE6" s="10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10"/>
      <c r="CX6" s="7"/>
    </row>
    <row r="7" spans="1:102" ht="14.25" customHeight="1">
      <c r="A7" s="7"/>
      <c r="B7" s="325"/>
      <c r="C7" s="177"/>
      <c r="D7" s="16" t="str">
        <f>+'AVGO IS'!D7</f>
        <v>F1Q06</v>
      </c>
      <c r="E7" s="17" t="str">
        <f>+'AVGO IS'!E7</f>
        <v>F2Q06</v>
      </c>
      <c r="F7" s="17" t="str">
        <f>+'AVGO IS'!F7</f>
        <v>F3Q06</v>
      </c>
      <c r="G7" s="18" t="str">
        <f>+'AVGO IS'!G7</f>
        <v>F4Q06</v>
      </c>
      <c r="H7" s="16" t="str">
        <f>+'AVGO IS'!H7</f>
        <v>F1Q07</v>
      </c>
      <c r="I7" s="17" t="str">
        <f>+'AVGO IS'!I7</f>
        <v>F2Q07</v>
      </c>
      <c r="J7" s="17" t="str">
        <f>+'AVGO IS'!J7</f>
        <v>F3Q07</v>
      </c>
      <c r="K7" s="18" t="str">
        <f>+'AVGO IS'!K7</f>
        <v>F4Q07</v>
      </c>
      <c r="L7" s="16" t="str">
        <f>+'AVGO IS'!L7</f>
        <v>F1Q08</v>
      </c>
      <c r="M7" s="17" t="str">
        <f>+'AVGO IS'!M7</f>
        <v>F2Q08</v>
      </c>
      <c r="N7" s="17" t="str">
        <f>+'AVGO IS'!N7</f>
        <v>F3Q08</v>
      </c>
      <c r="O7" s="18" t="str">
        <f>+'AVGO IS'!O7</f>
        <v>F4Q08</v>
      </c>
      <c r="P7" s="16" t="str">
        <f>+'AVGO IS'!P7</f>
        <v>F1Q09</v>
      </c>
      <c r="Q7" s="17" t="str">
        <f>+'AVGO IS'!Q7</f>
        <v>F2Q09</v>
      </c>
      <c r="R7" s="17" t="str">
        <f>+'AVGO IS'!R7</f>
        <v>F3Q09</v>
      </c>
      <c r="S7" s="18" t="str">
        <f>+'AVGO IS'!S7</f>
        <v>F4Q09</v>
      </c>
      <c r="T7" s="16" t="str">
        <f>+'AVGO IS'!T7</f>
        <v>F1Q10</v>
      </c>
      <c r="U7" s="17" t="str">
        <f>+'AVGO IS'!U7</f>
        <v>F2Q10</v>
      </c>
      <c r="V7" s="17" t="str">
        <f>+'AVGO IS'!V7</f>
        <v>F3Q10</v>
      </c>
      <c r="W7" s="18" t="str">
        <f>+'AVGO IS'!W7</f>
        <v>F4Q10</v>
      </c>
      <c r="X7" s="16" t="str">
        <f>+'AVGO IS'!X7</f>
        <v>F1Q11</v>
      </c>
      <c r="Y7" s="17" t="str">
        <f>+'AVGO IS'!Y7</f>
        <v>F2Q11</v>
      </c>
      <c r="Z7" s="17" t="str">
        <f>+'AVGO IS'!Z7</f>
        <v>F3Q11</v>
      </c>
      <c r="AA7" s="18" t="str">
        <f>+'AVGO IS'!AA7</f>
        <v>F4Q11</v>
      </c>
      <c r="AB7" s="16" t="str">
        <f>+'AVGO IS'!AB7</f>
        <v>F1Q12</v>
      </c>
      <c r="AC7" s="17" t="str">
        <f>+'AVGO IS'!AC7</f>
        <v>F2Q12</v>
      </c>
      <c r="AD7" s="17" t="str">
        <f>+'AVGO IS'!AD7</f>
        <v>F3Q12</v>
      </c>
      <c r="AE7" s="18" t="str">
        <f>+'AVGO IS'!AE7</f>
        <v>F4Q12</v>
      </c>
      <c r="AF7" s="16" t="str">
        <f>+'AVGO IS'!AF7</f>
        <v>F1Q13</v>
      </c>
      <c r="AG7" s="17" t="str">
        <f>+'AVGO IS'!AG7</f>
        <v>F2Q13</v>
      </c>
      <c r="AH7" s="17" t="str">
        <f>+'AVGO IS'!AH7</f>
        <v>F3Q13</v>
      </c>
      <c r="AI7" s="18" t="str">
        <f>+'AVGO IS'!AI7</f>
        <v>F4Q13</v>
      </c>
      <c r="AJ7" s="16" t="str">
        <f>+'AVGO IS'!AJ7</f>
        <v>F1Q14</v>
      </c>
      <c r="AK7" s="17" t="str">
        <f>+'AVGO IS'!AK7</f>
        <v>F2Q14A</v>
      </c>
      <c r="AL7" s="17" t="str">
        <f>+'AVGO IS'!AL7</f>
        <v>F3Q14A</v>
      </c>
      <c r="AM7" s="18" t="str">
        <f>+'AVGO IS'!AM7</f>
        <v>F4Q14A</v>
      </c>
      <c r="AN7" s="967" t="str">
        <f>+'AVGO IS'!AN7</f>
        <v>F1Q15A</v>
      </c>
      <c r="AO7" s="968" t="str">
        <f>+'AVGO IS'!AO7</f>
        <v>F2Q15A</v>
      </c>
      <c r="AP7" s="968" t="str">
        <f>+'AVGO IS'!AP7</f>
        <v>F3Q15A</v>
      </c>
      <c r="AQ7" s="969" t="str">
        <f>+'AVGO IS'!AQ7</f>
        <v>F4Q15A</v>
      </c>
      <c r="AR7" s="1224" t="str">
        <f>+'AVGO IS'!AR7</f>
        <v>F1Q16A</v>
      </c>
      <c r="AS7" s="1225" t="str">
        <f>+'AVGO IS'!AS7</f>
        <v>F2Q16A</v>
      </c>
      <c r="AT7" s="1225" t="str">
        <f>+'AVGO IS'!AT7</f>
        <v>F3Q16A</v>
      </c>
      <c r="AU7" s="1225" t="str">
        <f>+'AVGO IS'!AU7</f>
        <v>F4Q16A</v>
      </c>
      <c r="AV7" s="1224" t="str">
        <f>+'AVGO IS'!AV7</f>
        <v>F1Q17A</v>
      </c>
      <c r="AW7" s="1225" t="str">
        <f>+'AVGO IS'!AW7</f>
        <v>F2Q17A</v>
      </c>
      <c r="AX7" s="1225" t="str">
        <f>+'AVGO IS'!AX7</f>
        <v>F3Q17A</v>
      </c>
      <c r="AY7" s="1225" t="str">
        <f>+'AVGO IS'!AY7</f>
        <v>F4Q17A</v>
      </c>
      <c r="AZ7" s="1224" t="str">
        <f>+'AVGO IS'!AZ7</f>
        <v>F1Q18A</v>
      </c>
      <c r="BA7" s="1225" t="str">
        <f>+'AVGO IS'!BA7</f>
        <v>F2Q18E</v>
      </c>
      <c r="BB7" s="1225" t="str">
        <f>+'AVGO IS'!BB7</f>
        <v>F3Q18E</v>
      </c>
      <c r="BC7" s="1226" t="str">
        <f>+'AVGO IS'!BC7</f>
        <v>F4Q18E</v>
      </c>
      <c r="BD7" s="1361" t="str">
        <f>+'AVGO IS'!BD7</f>
        <v>F1Q19E</v>
      </c>
      <c r="BE7" s="1362" t="str">
        <f>+'AVGO IS'!BE7</f>
        <v>F2Q19E</v>
      </c>
      <c r="BF7" s="1362" t="str">
        <f>+'AVGO IS'!BF7</f>
        <v>F3Q19E</v>
      </c>
      <c r="BG7" s="1363" t="str">
        <f>+'AVGO IS'!BG7</f>
        <v>F4Q19E</v>
      </c>
      <c r="BH7" s="1362" t="str">
        <f>+'AVGO IS'!BH7</f>
        <v>F1Q20E</v>
      </c>
      <c r="BI7" s="1362" t="str">
        <f>+'AVGO IS'!BI7</f>
        <v>F2Q20E</v>
      </c>
      <c r="BJ7" s="1362" t="str">
        <f>+'AVGO IS'!BJ7</f>
        <v>F3Q20E</v>
      </c>
      <c r="BK7" s="1363" t="str">
        <f>+'AVGO IS'!BK7</f>
        <v>F4Q20E</v>
      </c>
      <c r="BL7" s="19"/>
      <c r="BM7" s="16" t="str">
        <f>+'AVGO IS'!BM7</f>
        <v>FY2006</v>
      </c>
      <c r="BN7" s="17" t="str">
        <f>+'AVGO IS'!BN7</f>
        <v>FY2007</v>
      </c>
      <c r="BO7" s="17" t="str">
        <f>+'AVGO IS'!BO7</f>
        <v>FY2008</v>
      </c>
      <c r="BP7" s="17" t="str">
        <f>+'AVGO IS'!BP7</f>
        <v>FY2009</v>
      </c>
      <c r="BQ7" s="17" t="str">
        <f>+'AVGO IS'!BQ7</f>
        <v>FY2010</v>
      </c>
      <c r="BR7" s="17" t="str">
        <f>+'AVGO IS'!BR7</f>
        <v>FY2011</v>
      </c>
      <c r="BS7" s="16" t="str">
        <f>+'AVGO IS'!BS7</f>
        <v>FY2012</v>
      </c>
      <c r="BT7" s="17" t="str">
        <f>+'AVGO IS'!BT7</f>
        <v>FY2013</v>
      </c>
      <c r="BU7" s="17" t="str">
        <f>+'AVGO IS'!BU7</f>
        <v>FY2014A</v>
      </c>
      <c r="BV7" s="17" t="str">
        <f>+'AVGO IS'!BV7</f>
        <v>FY2015A</v>
      </c>
      <c r="BW7" s="17" t="str">
        <f>+'AVGO IS'!BW7</f>
        <v>FY2016A</v>
      </c>
      <c r="BX7" s="951" t="str">
        <f>+'AVGO IS'!BX7</f>
        <v>FY2017A</v>
      </c>
      <c r="BY7" s="1225" t="str">
        <f>+'AVGO IS'!BY7</f>
        <v>FY2018E</v>
      </c>
      <c r="BZ7" s="1362" t="str">
        <f>+'AVGO IS'!BZ7</f>
        <v>FY2019E</v>
      </c>
      <c r="CA7" s="1363" t="str">
        <f>+'AVGO IS'!CA7</f>
        <v>FY2020E</v>
      </c>
      <c r="CB7" s="19"/>
      <c r="CC7" s="16" t="str">
        <f>+'AVGO IS'!CC7</f>
        <v>CY2006</v>
      </c>
      <c r="CD7" s="17" t="str">
        <f>+'AVGO IS'!CD7</f>
        <v>CY2007</v>
      </c>
      <c r="CE7" s="17" t="str">
        <f>+'AVGO IS'!CE7</f>
        <v>CY2008</v>
      </c>
      <c r="CF7" s="17" t="str">
        <f>+'AVGO IS'!CF7</f>
        <v>CY2009</v>
      </c>
      <c r="CG7" s="17" t="str">
        <f>+'AVGO IS'!CG7</f>
        <v>CY2010</v>
      </c>
      <c r="CH7" s="17" t="str">
        <f>+'AVGO IS'!CH7</f>
        <v>CY2011</v>
      </c>
      <c r="CI7" s="756" t="str">
        <f>+'AVGO IS'!CI7</f>
        <v>CY2012</v>
      </c>
      <c r="CJ7" s="776" t="str">
        <f>+'AVGO IS'!CJ7</f>
        <v>CY2013</v>
      </c>
      <c r="CK7" s="776" t="str">
        <f>+'AVGO IS'!CK7</f>
        <v>CY2014A</v>
      </c>
      <c r="CL7" s="776" t="str">
        <f>+'AVGO IS'!CL7</f>
        <v>CY2015A</v>
      </c>
      <c r="CM7" s="953" t="str">
        <f>+'AVGO IS'!CM7</f>
        <v>CY2016A</v>
      </c>
      <c r="CN7" s="1256" t="str">
        <f>+'AVGO IS'!CN7</f>
        <v>CY2017A</v>
      </c>
      <c r="CO7" s="1320" t="str">
        <f>+'AVGO IS'!CO7</f>
        <v>CY2018E</v>
      </c>
      <c r="CP7" s="1336" t="str">
        <f>+'AVGO IS'!CP7</f>
        <v>CY2019E</v>
      </c>
      <c r="CQ7" s="10"/>
      <c r="CX7" s="10"/>
    </row>
    <row r="8" spans="1:102" ht="14.25" customHeight="1">
      <c r="A8" s="7"/>
      <c r="B8" s="752" t="s">
        <v>33</v>
      </c>
      <c r="C8" s="753"/>
      <c r="D8" s="326"/>
      <c r="E8" s="106"/>
      <c r="F8" s="106"/>
      <c r="G8" s="107"/>
      <c r="H8" s="326"/>
      <c r="I8" s="106"/>
      <c r="J8" s="106"/>
      <c r="K8" s="107"/>
      <c r="L8" s="326"/>
      <c r="M8" s="106"/>
      <c r="N8" s="106"/>
      <c r="O8" s="107"/>
      <c r="P8" s="326"/>
      <c r="Q8" s="106"/>
      <c r="R8" s="106"/>
      <c r="S8" s="107"/>
      <c r="T8" s="326"/>
      <c r="U8" s="106"/>
      <c r="V8" s="754"/>
      <c r="W8" s="106"/>
      <c r="X8" s="326"/>
      <c r="Y8" s="106"/>
      <c r="Z8" s="106"/>
      <c r="AA8" s="107"/>
      <c r="AB8" s="326"/>
      <c r="AC8" s="106"/>
      <c r="AD8" s="106"/>
      <c r="AE8" s="107"/>
      <c r="AF8" s="326"/>
      <c r="AG8" s="106"/>
      <c r="AH8" s="106"/>
      <c r="AI8" s="107"/>
      <c r="AJ8" s="326"/>
      <c r="AK8" s="106"/>
      <c r="AL8" s="106"/>
      <c r="AM8" s="107"/>
      <c r="AN8" s="326"/>
      <c r="AO8" s="106"/>
      <c r="AP8" s="106"/>
      <c r="AQ8" s="107"/>
      <c r="AR8" s="105"/>
      <c r="AS8" s="103"/>
      <c r="AT8" s="103"/>
      <c r="AU8" s="106"/>
      <c r="AV8" s="105"/>
      <c r="AW8" s="103"/>
      <c r="AX8" s="103"/>
      <c r="AY8" s="106"/>
      <c r="AZ8" s="105"/>
      <c r="BA8" s="103"/>
      <c r="BB8" s="103"/>
      <c r="BC8" s="107"/>
      <c r="BD8" s="105"/>
      <c r="BE8" s="103"/>
      <c r="BF8" s="103"/>
      <c r="BG8" s="107"/>
      <c r="BH8" s="103"/>
      <c r="BI8" s="103"/>
      <c r="BJ8" s="103"/>
      <c r="BK8" s="107"/>
      <c r="BL8" s="19"/>
      <c r="BM8" s="326"/>
      <c r="BN8" s="106"/>
      <c r="BO8" s="106"/>
      <c r="BP8" s="106"/>
      <c r="BQ8" s="106"/>
      <c r="BR8" s="106"/>
      <c r="BS8" s="326"/>
      <c r="BT8" s="106"/>
      <c r="BU8" s="106"/>
      <c r="BV8" s="106"/>
      <c r="BW8" s="106"/>
      <c r="BX8" s="106"/>
      <c r="BY8" s="106"/>
      <c r="BZ8" s="106"/>
      <c r="CA8" s="107"/>
      <c r="CB8" s="19"/>
      <c r="CC8" s="326"/>
      <c r="CD8" s="106"/>
      <c r="CE8" s="106"/>
      <c r="CF8" s="106"/>
      <c r="CG8" s="106"/>
      <c r="CH8" s="106"/>
      <c r="CI8" s="105"/>
      <c r="CJ8" s="103"/>
      <c r="CK8" s="103"/>
      <c r="CL8" s="103"/>
      <c r="CM8" s="103"/>
      <c r="CN8" s="103"/>
      <c r="CO8" s="103"/>
      <c r="CP8" s="104"/>
      <c r="CQ8" s="10"/>
      <c r="CX8" s="10"/>
    </row>
    <row r="9" spans="1:102" ht="14.25" customHeight="1">
      <c r="A9" s="7"/>
      <c r="B9" s="27" t="s">
        <v>34</v>
      </c>
      <c r="C9" s="28"/>
      <c r="D9" s="50">
        <v>169</v>
      </c>
      <c r="E9" s="40">
        <v>210</v>
      </c>
      <c r="F9" s="40">
        <v>200</v>
      </c>
      <c r="G9" s="41">
        <v>272</v>
      </c>
      <c r="H9" s="50">
        <v>240</v>
      </c>
      <c r="I9" s="40">
        <v>200</v>
      </c>
      <c r="J9" s="40">
        <v>213</v>
      </c>
      <c r="K9" s="41">
        <v>309</v>
      </c>
      <c r="L9" s="50">
        <v>61</v>
      </c>
      <c r="M9" s="40">
        <v>83</v>
      </c>
      <c r="N9" s="40">
        <v>148</v>
      </c>
      <c r="O9" s="41">
        <v>213</v>
      </c>
      <c r="P9" s="50">
        <v>195</v>
      </c>
      <c r="Q9" s="40">
        <v>241</v>
      </c>
      <c r="R9" s="40">
        <v>254</v>
      </c>
      <c r="S9" s="41">
        <v>472</v>
      </c>
      <c r="T9" s="40">
        <v>144</v>
      </c>
      <c r="U9" s="40">
        <v>256</v>
      </c>
      <c r="V9" s="40">
        <v>367</v>
      </c>
      <c r="W9" s="40">
        <v>561</v>
      </c>
      <c r="X9" s="50">
        <v>363</v>
      </c>
      <c r="Y9" s="40">
        <v>596</v>
      </c>
      <c r="Z9" s="40">
        <v>704</v>
      </c>
      <c r="AA9" s="40">
        <v>829</v>
      </c>
      <c r="AB9" s="50">
        <v>819</v>
      </c>
      <c r="AC9" s="40">
        <v>954</v>
      </c>
      <c r="AD9" s="40">
        <v>973</v>
      </c>
      <c r="AE9" s="40">
        <v>1084</v>
      </c>
      <c r="AF9" s="50">
        <v>1151</v>
      </c>
      <c r="AG9" s="40">
        <v>1219</v>
      </c>
      <c r="AH9" s="40">
        <v>863</v>
      </c>
      <c r="AI9" s="40">
        <v>985</v>
      </c>
      <c r="AJ9" s="50">
        <v>1112</v>
      </c>
      <c r="AK9" s="40">
        <v>1278</v>
      </c>
      <c r="AL9" s="40">
        <v>1277</v>
      </c>
      <c r="AM9" s="40">
        <v>1604</v>
      </c>
      <c r="AN9" s="50">
        <v>2569</v>
      </c>
      <c r="AO9" s="40">
        <v>2508</v>
      </c>
      <c r="AP9" s="40">
        <v>1354</v>
      </c>
      <c r="AQ9" s="41">
        <v>1822</v>
      </c>
      <c r="AR9" s="50">
        <v>2169</v>
      </c>
      <c r="AS9" s="40">
        <v>2041</v>
      </c>
      <c r="AT9" s="40">
        <v>1961</v>
      </c>
      <c r="AU9" s="41">
        <v>3097</v>
      </c>
      <c r="AV9" s="50">
        <v>3536</v>
      </c>
      <c r="AW9" s="40">
        <v>4254</v>
      </c>
      <c r="AX9" s="40">
        <v>5249</v>
      </c>
      <c r="AY9" s="41">
        <v>11204</v>
      </c>
      <c r="AZ9" s="50">
        <v>7076</v>
      </c>
      <c r="BA9" s="1276">
        <f>AZ9+'CFS '!BA49</f>
        <v>8493.9292086354435</v>
      </c>
      <c r="BB9" s="1276">
        <f>BA9+'CFS '!BB49</f>
        <v>9832.6721551161918</v>
      </c>
      <c r="BC9" s="1273">
        <f>BB9+'CFS '!BC49</f>
        <v>11265.97697017292</v>
      </c>
      <c r="BD9" s="1300">
        <f>BC9+'CFS '!BD49</f>
        <v>12680.111689689507</v>
      </c>
      <c r="BE9" s="1276">
        <f>BD9+'CFS '!BE49</f>
        <v>13856.879013618694</v>
      </c>
      <c r="BF9" s="1276">
        <f>BE9+'CFS '!BF49</f>
        <v>14923.528166631684</v>
      </c>
      <c r="BG9" s="1454">
        <f>BF9+'CFS '!BG49</f>
        <v>16122.165717781805</v>
      </c>
      <c r="BH9" s="1276">
        <f>BG9+'CFS '!BH49</f>
        <v>17678.084422505282</v>
      </c>
      <c r="BI9" s="1276">
        <f>BH9+'CFS '!BI49</f>
        <v>19076.5177957831</v>
      </c>
      <c r="BJ9" s="1276">
        <f>BI9+'CFS '!BJ49</f>
        <v>20325.231636744647</v>
      </c>
      <c r="BK9" s="1273">
        <f>BJ9+'CFS '!BK49</f>
        <v>21669.862414003255</v>
      </c>
      <c r="BL9" s="19"/>
      <c r="BM9" s="94">
        <f>G9</f>
        <v>272</v>
      </c>
      <c r="BN9" s="95">
        <f>K9</f>
        <v>309</v>
      </c>
      <c r="BO9" s="95">
        <f>O9</f>
        <v>213</v>
      </c>
      <c r="BP9" s="95">
        <f>S9</f>
        <v>472</v>
      </c>
      <c r="BQ9" s="95">
        <f>W9</f>
        <v>561</v>
      </c>
      <c r="BR9" s="95">
        <f>AA9</f>
        <v>829</v>
      </c>
      <c r="BS9" s="94">
        <f>AE9</f>
        <v>1084</v>
      </c>
      <c r="BT9" s="95">
        <f>AI9</f>
        <v>985</v>
      </c>
      <c r="BU9" s="95">
        <f>AM9</f>
        <v>1604</v>
      </c>
      <c r="BV9" s="95">
        <f>AQ9</f>
        <v>1822</v>
      </c>
      <c r="BW9" s="95">
        <f>AU9</f>
        <v>3097</v>
      </c>
      <c r="BX9" s="95">
        <f>AY9</f>
        <v>11204</v>
      </c>
      <c r="BY9" s="95">
        <f>BC9</f>
        <v>11265.97697017292</v>
      </c>
      <c r="BZ9" s="95">
        <f>BG9</f>
        <v>16122.165717781805</v>
      </c>
      <c r="CA9" s="1460">
        <f>BK9</f>
        <v>21669.862414003255</v>
      </c>
      <c r="CB9" s="19"/>
      <c r="CC9" s="94">
        <f>H9</f>
        <v>240</v>
      </c>
      <c r="CD9" s="95">
        <f>L9</f>
        <v>61</v>
      </c>
      <c r="CE9" s="95">
        <f>P9</f>
        <v>195</v>
      </c>
      <c r="CF9" s="95">
        <f>T9</f>
        <v>144</v>
      </c>
      <c r="CG9" s="95">
        <f>X9</f>
        <v>363</v>
      </c>
      <c r="CH9" s="95">
        <f>AB9</f>
        <v>819</v>
      </c>
      <c r="CI9" s="94">
        <f>AF9</f>
        <v>1151</v>
      </c>
      <c r="CJ9" s="95">
        <f>AJ9</f>
        <v>1112</v>
      </c>
      <c r="CK9" s="95">
        <f>AN9</f>
        <v>2569</v>
      </c>
      <c r="CL9" s="95">
        <f>AR9</f>
        <v>2169</v>
      </c>
      <c r="CM9" s="95">
        <f>AV9</f>
        <v>3536</v>
      </c>
      <c r="CN9" s="95">
        <f>AZ9</f>
        <v>7076</v>
      </c>
      <c r="CO9" s="95">
        <f>BD9</f>
        <v>12680.111689689507</v>
      </c>
      <c r="CP9" s="96">
        <f>BH9</f>
        <v>17678.084422505282</v>
      </c>
      <c r="CQ9" s="534"/>
      <c r="CX9" s="10"/>
    </row>
    <row r="10" spans="1:102" ht="14.25" customHeight="1">
      <c r="A10" s="7"/>
      <c r="B10" s="27" t="s">
        <v>310</v>
      </c>
      <c r="C10" s="28"/>
      <c r="D10" s="77">
        <v>0</v>
      </c>
      <c r="E10" s="78">
        <v>0</v>
      </c>
      <c r="F10" s="78">
        <v>0</v>
      </c>
      <c r="G10" s="79">
        <v>0</v>
      </c>
      <c r="H10" s="77">
        <v>0</v>
      </c>
      <c r="I10" s="78">
        <v>0</v>
      </c>
      <c r="J10" s="78">
        <v>0</v>
      </c>
      <c r="K10" s="79">
        <v>0</v>
      </c>
      <c r="L10" s="77">
        <v>0</v>
      </c>
      <c r="M10" s="78">
        <v>0</v>
      </c>
      <c r="N10" s="78">
        <v>0</v>
      </c>
      <c r="O10" s="79">
        <v>0</v>
      </c>
      <c r="P10" s="77">
        <v>0</v>
      </c>
      <c r="Q10" s="78">
        <v>0</v>
      </c>
      <c r="R10" s="78">
        <v>0</v>
      </c>
      <c r="S10" s="79">
        <v>0</v>
      </c>
      <c r="T10" s="78">
        <v>0</v>
      </c>
      <c r="U10" s="78">
        <v>0</v>
      </c>
      <c r="V10" s="78">
        <v>0</v>
      </c>
      <c r="W10" s="78">
        <v>0</v>
      </c>
      <c r="X10" s="77">
        <v>0</v>
      </c>
      <c r="Y10" s="78">
        <v>0</v>
      </c>
      <c r="Z10" s="78">
        <v>0</v>
      </c>
      <c r="AA10" s="78">
        <v>0</v>
      </c>
      <c r="AB10" s="77">
        <v>0</v>
      </c>
      <c r="AC10" s="78">
        <v>0</v>
      </c>
      <c r="AD10" s="78">
        <v>0</v>
      </c>
      <c r="AE10" s="78">
        <v>0</v>
      </c>
      <c r="AF10" s="77">
        <v>0</v>
      </c>
      <c r="AG10" s="78">
        <v>0</v>
      </c>
      <c r="AH10" s="78">
        <v>0</v>
      </c>
      <c r="AI10" s="78">
        <v>0</v>
      </c>
      <c r="AJ10" s="77">
        <v>0</v>
      </c>
      <c r="AK10" s="78">
        <v>0</v>
      </c>
      <c r="AL10" s="78">
        <v>0</v>
      </c>
      <c r="AM10" s="78">
        <v>0</v>
      </c>
      <c r="AN10" s="77">
        <v>0</v>
      </c>
      <c r="AO10" s="78">
        <v>0</v>
      </c>
      <c r="AP10" s="78">
        <v>0</v>
      </c>
      <c r="AQ10" s="79">
        <v>0</v>
      </c>
      <c r="AR10" s="77">
        <v>0</v>
      </c>
      <c r="AS10" s="78">
        <v>0</v>
      </c>
      <c r="AT10" s="78">
        <v>0</v>
      </c>
      <c r="AU10" s="79">
        <v>0</v>
      </c>
      <c r="AV10" s="77">
        <v>0</v>
      </c>
      <c r="AW10" s="78">
        <v>200</v>
      </c>
      <c r="AX10" s="78">
        <v>200</v>
      </c>
      <c r="AY10" s="79">
        <v>0</v>
      </c>
      <c r="AZ10" s="77">
        <v>0</v>
      </c>
      <c r="BA10" s="75">
        <f t="shared" ref="BA10" si="0">AZ10</f>
        <v>0</v>
      </c>
      <c r="BB10" s="75">
        <f t="shared" ref="BB10" si="1">BA10</f>
        <v>0</v>
      </c>
      <c r="BC10" s="76">
        <f t="shared" ref="BC10" si="2">BB10</f>
        <v>0</v>
      </c>
      <c r="BD10" s="74">
        <f t="shared" ref="BD10" si="3">BC10</f>
        <v>0</v>
      </c>
      <c r="BE10" s="75">
        <f t="shared" ref="BE10" si="4">BD10</f>
        <v>0</v>
      </c>
      <c r="BF10" s="75">
        <f t="shared" ref="BF10" si="5">BE10</f>
        <v>0</v>
      </c>
      <c r="BG10" s="1388">
        <f t="shared" ref="BG10" si="6">BF10</f>
        <v>0</v>
      </c>
      <c r="BH10" s="75">
        <f t="shared" ref="BH10" si="7">BG10</f>
        <v>0</v>
      </c>
      <c r="BI10" s="75">
        <f t="shared" ref="BI10" si="8">BH10</f>
        <v>0</v>
      </c>
      <c r="BJ10" s="75">
        <f t="shared" ref="BJ10" si="9">BI10</f>
        <v>0</v>
      </c>
      <c r="BK10" s="76">
        <f t="shared" ref="BK10" si="10">BJ10</f>
        <v>0</v>
      </c>
      <c r="BL10" s="108"/>
      <c r="BM10" s="74"/>
      <c r="BN10" s="75"/>
      <c r="BO10" s="75"/>
      <c r="BP10" s="75"/>
      <c r="BQ10" s="75"/>
      <c r="BR10" s="75"/>
      <c r="BS10" s="74"/>
      <c r="BT10" s="75"/>
      <c r="BU10" s="75">
        <f>AM10</f>
        <v>0</v>
      </c>
      <c r="BV10" s="75">
        <f>AQ10</f>
        <v>0</v>
      </c>
      <c r="BW10" s="75">
        <f>AU10</f>
        <v>0</v>
      </c>
      <c r="BX10" s="75">
        <f>AY10</f>
        <v>0</v>
      </c>
      <c r="BY10" s="75">
        <f t="shared" ref="BY10:BY13" si="11">BC10</f>
        <v>0</v>
      </c>
      <c r="BZ10" s="75">
        <f>BG10</f>
        <v>0</v>
      </c>
      <c r="CA10" s="1388">
        <f t="shared" ref="CA10:CA13" si="12">BK10</f>
        <v>0</v>
      </c>
      <c r="CB10" s="19"/>
      <c r="CC10" s="74"/>
      <c r="CD10" s="75"/>
      <c r="CE10" s="75"/>
      <c r="CF10" s="75"/>
      <c r="CG10" s="75"/>
      <c r="CH10" s="75"/>
      <c r="CI10" s="74">
        <f>AF10</f>
        <v>0</v>
      </c>
      <c r="CJ10" s="75">
        <f>AJ10</f>
        <v>0</v>
      </c>
      <c r="CK10" s="75">
        <f>AN10</f>
        <v>0</v>
      </c>
      <c r="CL10" s="75">
        <f>AR10</f>
        <v>0</v>
      </c>
      <c r="CM10" s="75">
        <f>AV10</f>
        <v>0</v>
      </c>
      <c r="CN10" s="75">
        <f>AZ10</f>
        <v>0</v>
      </c>
      <c r="CO10" s="75">
        <f>BD10</f>
        <v>0</v>
      </c>
      <c r="CP10" s="76">
        <f t="shared" ref="CP10:CP13" si="13">BH10</f>
        <v>0</v>
      </c>
      <c r="CQ10" s="534"/>
      <c r="CX10" s="10"/>
    </row>
    <row r="11" spans="1:102" ht="14.25" customHeight="1">
      <c r="A11" s="7"/>
      <c r="B11" s="27" t="s">
        <v>35</v>
      </c>
      <c r="C11" s="28"/>
      <c r="D11" s="77">
        <v>274</v>
      </c>
      <c r="E11" s="78">
        <v>221</v>
      </c>
      <c r="F11" s="78">
        <v>195</v>
      </c>
      <c r="G11" s="79">
        <v>187</v>
      </c>
      <c r="H11" s="77">
        <v>176</v>
      </c>
      <c r="I11" s="78">
        <v>206</v>
      </c>
      <c r="J11" s="78">
        <v>219</v>
      </c>
      <c r="K11" s="79">
        <v>218</v>
      </c>
      <c r="L11" s="77">
        <v>235</v>
      </c>
      <c r="M11" s="78">
        <v>213</v>
      </c>
      <c r="N11" s="78">
        <v>213</v>
      </c>
      <c r="O11" s="79">
        <v>184</v>
      </c>
      <c r="P11" s="77">
        <v>184</v>
      </c>
      <c r="Q11" s="78">
        <v>185</v>
      </c>
      <c r="R11" s="78">
        <v>178</v>
      </c>
      <c r="S11" s="79">
        <v>186</v>
      </c>
      <c r="T11" s="78">
        <v>203</v>
      </c>
      <c r="U11" s="78">
        <v>249</v>
      </c>
      <c r="V11" s="78">
        <v>279</v>
      </c>
      <c r="W11" s="78">
        <v>285</v>
      </c>
      <c r="X11" s="77">
        <v>291</v>
      </c>
      <c r="Y11" s="78">
        <v>289</v>
      </c>
      <c r="Z11" s="78">
        <v>285</v>
      </c>
      <c r="AA11" s="78">
        <v>328</v>
      </c>
      <c r="AB11" s="77">
        <v>308</v>
      </c>
      <c r="AC11" s="78">
        <v>274</v>
      </c>
      <c r="AD11" s="78">
        <v>330</v>
      </c>
      <c r="AE11" s="78">
        <v>341</v>
      </c>
      <c r="AF11" s="77">
        <v>266</v>
      </c>
      <c r="AG11" s="78">
        <v>271</v>
      </c>
      <c r="AH11" s="78">
        <v>365</v>
      </c>
      <c r="AI11" s="78">
        <v>418</v>
      </c>
      <c r="AJ11" s="77">
        <v>323</v>
      </c>
      <c r="AK11" s="78">
        <v>319</v>
      </c>
      <c r="AL11" s="78">
        <v>590</v>
      </c>
      <c r="AM11" s="78">
        <v>782</v>
      </c>
      <c r="AN11" s="77">
        <v>718</v>
      </c>
      <c r="AO11" s="78">
        <v>758</v>
      </c>
      <c r="AP11" s="78">
        <v>809</v>
      </c>
      <c r="AQ11" s="79">
        <v>1019</v>
      </c>
      <c r="AR11" s="77">
        <v>1060</v>
      </c>
      <c r="AS11" s="78">
        <v>1857</v>
      </c>
      <c r="AT11" s="78">
        <v>2181</v>
      </c>
      <c r="AU11" s="79">
        <v>2181</v>
      </c>
      <c r="AV11" s="77">
        <v>1947</v>
      </c>
      <c r="AW11" s="78">
        <v>2073</v>
      </c>
      <c r="AX11" s="78">
        <v>2417</v>
      </c>
      <c r="AY11" s="79">
        <v>2448</v>
      </c>
      <c r="AZ11" s="77">
        <v>2459</v>
      </c>
      <c r="BA11" s="75">
        <f t="shared" ref="BA11:BC11" si="14">BA44/360*BA51*4</f>
        <v>2449.8417777777781</v>
      </c>
      <c r="BB11" s="75">
        <f t="shared" si="14"/>
        <v>2432.391873333333</v>
      </c>
      <c r="BC11" s="76">
        <f t="shared" si="14"/>
        <v>2481.2283508888886</v>
      </c>
      <c r="BD11" s="74">
        <f t="shared" ref="BD11:BG11" si="15">BD44/360*BD51*4</f>
        <v>2369.4356238844443</v>
      </c>
      <c r="BE11" s="75">
        <f t="shared" si="15"/>
        <v>2301.4346432885327</v>
      </c>
      <c r="BF11" s="75">
        <f t="shared" si="15"/>
        <v>2465.4334595338023</v>
      </c>
      <c r="BG11" s="1388">
        <f t="shared" si="15"/>
        <v>2745.6207082613814</v>
      </c>
      <c r="BH11" s="75">
        <f t="shared" ref="BH11:BK11" si="16">BH44/360*BH51*4</f>
        <v>2623.2560279033128</v>
      </c>
      <c r="BI11" s="75">
        <f t="shared" si="16"/>
        <v>2482.8788069657026</v>
      </c>
      <c r="BJ11" s="75">
        <f t="shared" si="16"/>
        <v>2583.6756211871316</v>
      </c>
      <c r="BK11" s="76">
        <f t="shared" si="16"/>
        <v>2747.6955993436686</v>
      </c>
      <c r="BL11" s="108"/>
      <c r="BM11" s="74">
        <f>G11</f>
        <v>187</v>
      </c>
      <c r="BN11" s="75">
        <f>K11</f>
        <v>218</v>
      </c>
      <c r="BO11" s="75">
        <f>O11</f>
        <v>184</v>
      </c>
      <c r="BP11" s="75">
        <f>S11</f>
        <v>186</v>
      </c>
      <c r="BQ11" s="75">
        <f>W11</f>
        <v>285</v>
      </c>
      <c r="BR11" s="75">
        <f>AA11</f>
        <v>328</v>
      </c>
      <c r="BS11" s="74">
        <f>AE11</f>
        <v>341</v>
      </c>
      <c r="BT11" s="75">
        <f>AI11</f>
        <v>418</v>
      </c>
      <c r="BU11" s="75">
        <f>AM11</f>
        <v>782</v>
      </c>
      <c r="BV11" s="75">
        <f>AQ11</f>
        <v>1019</v>
      </c>
      <c r="BW11" s="75">
        <f>AU11</f>
        <v>2181</v>
      </c>
      <c r="BX11" s="75">
        <f>AY11</f>
        <v>2448</v>
      </c>
      <c r="BY11" s="75">
        <f t="shared" si="11"/>
        <v>2481.2283508888886</v>
      </c>
      <c r="BZ11" s="75">
        <f>BG11</f>
        <v>2745.6207082613814</v>
      </c>
      <c r="CA11" s="1388">
        <f t="shared" si="12"/>
        <v>2747.6955993436686</v>
      </c>
      <c r="CB11" s="19"/>
      <c r="CC11" s="74">
        <f>H11</f>
        <v>176</v>
      </c>
      <c r="CD11" s="75">
        <f>L11</f>
        <v>235</v>
      </c>
      <c r="CE11" s="75">
        <f>P11</f>
        <v>184</v>
      </c>
      <c r="CF11" s="75">
        <f>T11</f>
        <v>203</v>
      </c>
      <c r="CG11" s="75">
        <f>X11</f>
        <v>291</v>
      </c>
      <c r="CH11" s="75">
        <f>AB11</f>
        <v>308</v>
      </c>
      <c r="CI11" s="74">
        <f>AF11</f>
        <v>266</v>
      </c>
      <c r="CJ11" s="75">
        <f>AJ11</f>
        <v>323</v>
      </c>
      <c r="CK11" s="75">
        <f>AN11</f>
        <v>718</v>
      </c>
      <c r="CL11" s="75">
        <f>AR11</f>
        <v>1060</v>
      </c>
      <c r="CM11" s="75">
        <f>AV11</f>
        <v>1947</v>
      </c>
      <c r="CN11" s="75">
        <f>AZ11</f>
        <v>2459</v>
      </c>
      <c r="CO11" s="75">
        <f>BD11</f>
        <v>2369.4356238844443</v>
      </c>
      <c r="CP11" s="76">
        <f t="shared" si="13"/>
        <v>2623.2560279033128</v>
      </c>
      <c r="CQ11" s="534"/>
      <c r="CX11" s="10"/>
    </row>
    <row r="12" spans="1:102" ht="14.25" customHeight="1">
      <c r="A12" s="7"/>
      <c r="B12" s="27" t="s">
        <v>76</v>
      </c>
      <c r="C12" s="28"/>
      <c r="D12" s="77">
        <v>179</v>
      </c>
      <c r="E12" s="78">
        <v>170</v>
      </c>
      <c r="F12" s="78">
        <v>178</v>
      </c>
      <c r="G12" s="79">
        <v>169</v>
      </c>
      <c r="H12" s="77">
        <v>166</v>
      </c>
      <c r="I12" s="78">
        <v>143</v>
      </c>
      <c r="J12" s="78">
        <v>142</v>
      </c>
      <c r="K12" s="79">
        <v>140</v>
      </c>
      <c r="L12" s="77">
        <v>153</v>
      </c>
      <c r="M12" s="78">
        <v>166</v>
      </c>
      <c r="N12" s="78">
        <v>193</v>
      </c>
      <c r="O12" s="79">
        <v>188</v>
      </c>
      <c r="P12" s="77">
        <v>178</v>
      </c>
      <c r="Q12" s="78">
        <v>151</v>
      </c>
      <c r="R12" s="78">
        <v>153</v>
      </c>
      <c r="S12" s="79">
        <v>162</v>
      </c>
      <c r="T12" s="78">
        <v>166</v>
      </c>
      <c r="U12" s="78">
        <v>178</v>
      </c>
      <c r="V12" s="78">
        <v>185</v>
      </c>
      <c r="W12" s="78">
        <v>189</v>
      </c>
      <c r="X12" s="77">
        <v>203</v>
      </c>
      <c r="Y12" s="78">
        <v>194</v>
      </c>
      <c r="Z12" s="78">
        <v>200</v>
      </c>
      <c r="AA12" s="78">
        <v>194</v>
      </c>
      <c r="AB12" s="77">
        <v>193</v>
      </c>
      <c r="AC12" s="78">
        <v>218</v>
      </c>
      <c r="AD12" s="78">
        <v>216</v>
      </c>
      <c r="AE12" s="78">
        <v>194</v>
      </c>
      <c r="AF12" s="77">
        <v>208</v>
      </c>
      <c r="AG12" s="78">
        <v>229</v>
      </c>
      <c r="AH12" s="78">
        <v>284</v>
      </c>
      <c r="AI12" s="78">
        <v>285</v>
      </c>
      <c r="AJ12" s="77">
        <v>286</v>
      </c>
      <c r="AK12" s="78">
        <v>301</v>
      </c>
      <c r="AL12" s="78">
        <v>482</v>
      </c>
      <c r="AM12" s="78">
        <v>519</v>
      </c>
      <c r="AN12" s="77">
        <v>500</v>
      </c>
      <c r="AO12" s="78">
        <v>490</v>
      </c>
      <c r="AP12" s="78">
        <v>507</v>
      </c>
      <c r="AQ12" s="79">
        <v>524</v>
      </c>
      <c r="AR12" s="77">
        <v>490</v>
      </c>
      <c r="AS12" s="78">
        <v>1467</v>
      </c>
      <c r="AT12" s="78">
        <v>1306</v>
      </c>
      <c r="AU12" s="79">
        <v>1400</v>
      </c>
      <c r="AV12" s="77">
        <v>1336</v>
      </c>
      <c r="AW12" s="78">
        <v>1311</v>
      </c>
      <c r="AX12" s="78">
        <v>1431</v>
      </c>
      <c r="AY12" s="79">
        <v>1447</v>
      </c>
      <c r="AZ12" s="77">
        <v>1291</v>
      </c>
      <c r="BA12" s="75">
        <f t="shared" ref="BA12:BC12" si="17">BA46/360*BA52*4</f>
        <v>1186.8018575555561</v>
      </c>
      <c r="BB12" s="75">
        <f t="shared" si="17"/>
        <v>1267.7644180555553</v>
      </c>
      <c r="BC12" s="76">
        <f t="shared" si="17"/>
        <v>1381.6061331379774</v>
      </c>
      <c r="BD12" s="74">
        <f t="shared" ref="BD12:BG12" si="18">BD46/360*BD52*4</f>
        <v>1574.6214291819415</v>
      </c>
      <c r="BE12" s="75">
        <f t="shared" si="18"/>
        <v>1493.5487842791335</v>
      </c>
      <c r="BF12" s="75">
        <f t="shared" si="18"/>
        <v>1579.7594000709823</v>
      </c>
      <c r="BG12" s="1388">
        <f t="shared" si="18"/>
        <v>1748.6178295051782</v>
      </c>
      <c r="BH12" s="75">
        <f t="shared" ref="BH12:BK12" si="19">BH46/360*BH52*4</f>
        <v>1615.3734179625751</v>
      </c>
      <c r="BI12" s="75">
        <f t="shared" si="19"/>
        <v>1526.8141703659358</v>
      </c>
      <c r="BJ12" s="75">
        <f t="shared" si="19"/>
        <v>1584.6808453528904</v>
      </c>
      <c r="BK12" s="76">
        <f t="shared" si="19"/>
        <v>1689.8494478889472</v>
      </c>
      <c r="BL12" s="108"/>
      <c r="BM12" s="74">
        <f>G12</f>
        <v>169</v>
      </c>
      <c r="BN12" s="75">
        <f>K12</f>
        <v>140</v>
      </c>
      <c r="BO12" s="75">
        <f>O12</f>
        <v>188</v>
      </c>
      <c r="BP12" s="75">
        <f>S12</f>
        <v>162</v>
      </c>
      <c r="BQ12" s="75">
        <f>W12</f>
        <v>189</v>
      </c>
      <c r="BR12" s="75">
        <f>AA12</f>
        <v>194</v>
      </c>
      <c r="BS12" s="74">
        <f>AE12</f>
        <v>194</v>
      </c>
      <c r="BT12" s="75">
        <f>AI12</f>
        <v>285</v>
      </c>
      <c r="BU12" s="75">
        <f>AM12</f>
        <v>519</v>
      </c>
      <c r="BV12" s="75">
        <f>AQ12</f>
        <v>524</v>
      </c>
      <c r="BW12" s="75">
        <f>AU12</f>
        <v>1400</v>
      </c>
      <c r="BX12" s="75">
        <f>AY12</f>
        <v>1447</v>
      </c>
      <c r="BY12" s="75">
        <f t="shared" si="11"/>
        <v>1381.6061331379774</v>
      </c>
      <c r="BZ12" s="75">
        <f>BG12</f>
        <v>1748.6178295051782</v>
      </c>
      <c r="CA12" s="1388">
        <f t="shared" si="12"/>
        <v>1689.8494478889472</v>
      </c>
      <c r="CB12" s="19"/>
      <c r="CC12" s="74">
        <f>H12</f>
        <v>166</v>
      </c>
      <c r="CD12" s="75">
        <f>L12</f>
        <v>153</v>
      </c>
      <c r="CE12" s="75">
        <f>P12</f>
        <v>178</v>
      </c>
      <c r="CF12" s="75">
        <f>T12</f>
        <v>166</v>
      </c>
      <c r="CG12" s="75">
        <f>X12</f>
        <v>203</v>
      </c>
      <c r="CH12" s="75">
        <f>AB12</f>
        <v>193</v>
      </c>
      <c r="CI12" s="74">
        <f>AF12</f>
        <v>208</v>
      </c>
      <c r="CJ12" s="75">
        <f>AJ12</f>
        <v>286</v>
      </c>
      <c r="CK12" s="75">
        <f>AN12</f>
        <v>500</v>
      </c>
      <c r="CL12" s="75">
        <f>AR12</f>
        <v>490</v>
      </c>
      <c r="CM12" s="75">
        <f>AV12</f>
        <v>1336</v>
      </c>
      <c r="CN12" s="75">
        <f>AZ12</f>
        <v>1291</v>
      </c>
      <c r="CO12" s="75">
        <f>BD12</f>
        <v>1574.6214291819415</v>
      </c>
      <c r="CP12" s="76">
        <f t="shared" si="13"/>
        <v>1615.3734179625751</v>
      </c>
      <c r="CQ12" s="534"/>
      <c r="CX12" s="10"/>
    </row>
    <row r="13" spans="1:102" ht="14.25" customHeight="1">
      <c r="A13" s="7"/>
      <c r="B13" s="109" t="s">
        <v>165</v>
      </c>
      <c r="C13" s="110"/>
      <c r="D13" s="77">
        <f>57+423</f>
        <v>480</v>
      </c>
      <c r="E13" s="78">
        <f>56+247</f>
        <v>303</v>
      </c>
      <c r="F13" s="78">
        <v>54</v>
      </c>
      <c r="G13" s="79">
        <v>34</v>
      </c>
      <c r="H13" s="77">
        <v>44</v>
      </c>
      <c r="I13" s="78">
        <v>40</v>
      </c>
      <c r="J13" s="78">
        <v>37</v>
      </c>
      <c r="K13" s="79">
        <f>25+25</f>
        <v>50</v>
      </c>
      <c r="L13" s="77">
        <v>28</v>
      </c>
      <c r="M13" s="78">
        <v>32</v>
      </c>
      <c r="N13" s="78">
        <v>28</v>
      </c>
      <c r="O13" s="79">
        <v>34</v>
      </c>
      <c r="P13" s="77">
        <v>43</v>
      </c>
      <c r="Q13" s="78">
        <v>38</v>
      </c>
      <c r="R13" s="78">
        <v>31</v>
      </c>
      <c r="S13" s="79">
        <v>44</v>
      </c>
      <c r="T13" s="78">
        <v>44</v>
      </c>
      <c r="U13" s="78">
        <v>44</v>
      </c>
      <c r="V13" s="78">
        <v>42</v>
      </c>
      <c r="W13" s="78">
        <v>52</v>
      </c>
      <c r="X13" s="77">
        <v>53</v>
      </c>
      <c r="Y13" s="78">
        <v>49</v>
      </c>
      <c r="Z13" s="78">
        <v>40</v>
      </c>
      <c r="AA13" s="78">
        <v>42</v>
      </c>
      <c r="AB13" s="77">
        <v>52</v>
      </c>
      <c r="AC13" s="78">
        <v>62</v>
      </c>
      <c r="AD13" s="78">
        <v>62</v>
      </c>
      <c r="AE13" s="78">
        <v>72</v>
      </c>
      <c r="AF13" s="77">
        <v>88</v>
      </c>
      <c r="AG13" s="78">
        <v>99</v>
      </c>
      <c r="AH13" s="78">
        <v>129</v>
      </c>
      <c r="AI13" s="78">
        <v>130</v>
      </c>
      <c r="AJ13" s="77">
        <v>138</v>
      </c>
      <c r="AK13" s="78">
        <v>136</v>
      </c>
      <c r="AL13" s="78">
        <f>1029+462</f>
        <v>1491</v>
      </c>
      <c r="AM13" s="78">
        <f>628+291</f>
        <v>919</v>
      </c>
      <c r="AN13" s="77">
        <f>4+307</f>
        <v>311</v>
      </c>
      <c r="AO13" s="78">
        <f>316+4</f>
        <v>320</v>
      </c>
      <c r="AP13" s="78">
        <f>109+390</f>
        <v>499</v>
      </c>
      <c r="AQ13" s="79">
        <f>22+388</f>
        <v>410</v>
      </c>
      <c r="AR13" s="77">
        <f>4+248</f>
        <v>252</v>
      </c>
      <c r="AS13" s="78">
        <f>480+842</f>
        <v>1322</v>
      </c>
      <c r="AT13" s="78">
        <f>246+354</f>
        <v>600</v>
      </c>
      <c r="AU13" s="79">
        <v>447</v>
      </c>
      <c r="AV13" s="77">
        <v>531</v>
      </c>
      <c r="AW13" s="78">
        <v>630</v>
      </c>
      <c r="AX13" s="78">
        <v>646</v>
      </c>
      <c r="AY13" s="79">
        <v>724</v>
      </c>
      <c r="AZ13" s="77">
        <v>394</v>
      </c>
      <c r="BA13" s="75">
        <f t="shared" ref="BA13" si="20">AZ13</f>
        <v>394</v>
      </c>
      <c r="BB13" s="75">
        <f t="shared" ref="BB13" si="21">BA13</f>
        <v>394</v>
      </c>
      <c r="BC13" s="76">
        <f t="shared" ref="BC13" si="22">BB13</f>
        <v>394</v>
      </c>
      <c r="BD13" s="74">
        <f t="shared" ref="BD13" si="23">BC13</f>
        <v>394</v>
      </c>
      <c r="BE13" s="75">
        <f t="shared" ref="BE13" si="24">BD13</f>
        <v>394</v>
      </c>
      <c r="BF13" s="75">
        <f t="shared" ref="BF13" si="25">BE13</f>
        <v>394</v>
      </c>
      <c r="BG13" s="1388">
        <f t="shared" ref="BG13" si="26">BF13</f>
        <v>394</v>
      </c>
      <c r="BH13" s="75">
        <f t="shared" ref="BH13" si="27">BG13</f>
        <v>394</v>
      </c>
      <c r="BI13" s="75">
        <f t="shared" ref="BI13" si="28">BH13</f>
        <v>394</v>
      </c>
      <c r="BJ13" s="75">
        <f t="shared" ref="BJ13" si="29">BI13</f>
        <v>394</v>
      </c>
      <c r="BK13" s="76">
        <f t="shared" ref="BK13" si="30">BJ13</f>
        <v>394</v>
      </c>
      <c r="BL13" s="108"/>
      <c r="BM13" s="327">
        <f>G13</f>
        <v>34</v>
      </c>
      <c r="BN13" s="111">
        <f>K13</f>
        <v>50</v>
      </c>
      <c r="BO13" s="111">
        <f>O13</f>
        <v>34</v>
      </c>
      <c r="BP13" s="111">
        <f>S13</f>
        <v>44</v>
      </c>
      <c r="BQ13" s="111">
        <f>W13</f>
        <v>52</v>
      </c>
      <c r="BR13" s="111">
        <f>AA13</f>
        <v>42</v>
      </c>
      <c r="BS13" s="327">
        <f>AE13</f>
        <v>72</v>
      </c>
      <c r="BT13" s="111">
        <f>AI13</f>
        <v>130</v>
      </c>
      <c r="BU13" s="111">
        <f>AM13</f>
        <v>919</v>
      </c>
      <c r="BV13" s="111">
        <f>AQ13</f>
        <v>410</v>
      </c>
      <c r="BW13" s="111">
        <f>AU13</f>
        <v>447</v>
      </c>
      <c r="BX13" s="111">
        <f>AY13</f>
        <v>724</v>
      </c>
      <c r="BY13" s="111">
        <f t="shared" si="11"/>
        <v>394</v>
      </c>
      <c r="BZ13" s="111">
        <f>BG13</f>
        <v>394</v>
      </c>
      <c r="CA13" s="112">
        <f t="shared" si="12"/>
        <v>394</v>
      </c>
      <c r="CB13" s="19"/>
      <c r="CC13" s="327">
        <f>H13</f>
        <v>44</v>
      </c>
      <c r="CD13" s="111">
        <f>L13</f>
        <v>28</v>
      </c>
      <c r="CE13" s="111">
        <f>P13</f>
        <v>43</v>
      </c>
      <c r="CF13" s="111">
        <f>T13</f>
        <v>44</v>
      </c>
      <c r="CG13" s="111">
        <f>X13</f>
        <v>53</v>
      </c>
      <c r="CH13" s="111">
        <f>AB13</f>
        <v>52</v>
      </c>
      <c r="CI13" s="74">
        <f>AF13</f>
        <v>88</v>
      </c>
      <c r="CJ13" s="75">
        <f>AJ13</f>
        <v>138</v>
      </c>
      <c r="CK13" s="75">
        <f>AN13</f>
        <v>311</v>
      </c>
      <c r="CL13" s="75">
        <f>AR13</f>
        <v>252</v>
      </c>
      <c r="CM13" s="75">
        <f>AV13</f>
        <v>531</v>
      </c>
      <c r="CN13" s="75">
        <f>AZ13</f>
        <v>394</v>
      </c>
      <c r="CO13" s="75">
        <f>BD13</f>
        <v>394</v>
      </c>
      <c r="CP13" s="76">
        <f t="shared" si="13"/>
        <v>394</v>
      </c>
      <c r="CQ13" s="534"/>
      <c r="CX13" s="10"/>
    </row>
    <row r="14" spans="1:102" ht="14.25" customHeight="1">
      <c r="A14" s="7"/>
      <c r="B14" s="113" t="s">
        <v>36</v>
      </c>
      <c r="C14" s="114"/>
      <c r="D14" s="117">
        <f t="shared" ref="D14:AK14" si="31">SUM(D9:D13)</f>
        <v>1102</v>
      </c>
      <c r="E14" s="115">
        <f t="shared" si="31"/>
        <v>904</v>
      </c>
      <c r="F14" s="115">
        <f t="shared" si="31"/>
        <v>627</v>
      </c>
      <c r="G14" s="116">
        <f t="shared" si="31"/>
        <v>662</v>
      </c>
      <c r="H14" s="117">
        <f t="shared" si="31"/>
        <v>626</v>
      </c>
      <c r="I14" s="115">
        <f t="shared" si="31"/>
        <v>589</v>
      </c>
      <c r="J14" s="115">
        <f t="shared" si="31"/>
        <v>611</v>
      </c>
      <c r="K14" s="116">
        <f t="shared" si="31"/>
        <v>717</v>
      </c>
      <c r="L14" s="117">
        <f t="shared" si="31"/>
        <v>477</v>
      </c>
      <c r="M14" s="115">
        <f t="shared" si="31"/>
        <v>494</v>
      </c>
      <c r="N14" s="115">
        <f t="shared" si="31"/>
        <v>582</v>
      </c>
      <c r="O14" s="116">
        <f t="shared" si="31"/>
        <v>619</v>
      </c>
      <c r="P14" s="117">
        <f t="shared" si="31"/>
        <v>600</v>
      </c>
      <c r="Q14" s="115">
        <f t="shared" si="31"/>
        <v>615</v>
      </c>
      <c r="R14" s="115">
        <f t="shared" si="31"/>
        <v>616</v>
      </c>
      <c r="S14" s="116">
        <f t="shared" si="31"/>
        <v>864</v>
      </c>
      <c r="T14" s="115">
        <f t="shared" si="31"/>
        <v>557</v>
      </c>
      <c r="U14" s="115">
        <f t="shared" si="31"/>
        <v>727</v>
      </c>
      <c r="V14" s="115">
        <f t="shared" si="31"/>
        <v>873</v>
      </c>
      <c r="W14" s="116">
        <f t="shared" si="31"/>
        <v>1087</v>
      </c>
      <c r="X14" s="117">
        <f t="shared" si="31"/>
        <v>910</v>
      </c>
      <c r="Y14" s="115">
        <f t="shared" si="31"/>
        <v>1128</v>
      </c>
      <c r="Z14" s="115">
        <f t="shared" si="31"/>
        <v>1229</v>
      </c>
      <c r="AA14" s="116">
        <f t="shared" si="31"/>
        <v>1393</v>
      </c>
      <c r="AB14" s="117">
        <f t="shared" si="31"/>
        <v>1372</v>
      </c>
      <c r="AC14" s="115">
        <f t="shared" si="31"/>
        <v>1508</v>
      </c>
      <c r="AD14" s="115">
        <f t="shared" si="31"/>
        <v>1581</v>
      </c>
      <c r="AE14" s="116">
        <f t="shared" si="31"/>
        <v>1691</v>
      </c>
      <c r="AF14" s="117">
        <f t="shared" si="31"/>
        <v>1713</v>
      </c>
      <c r="AG14" s="115">
        <f t="shared" si="31"/>
        <v>1818</v>
      </c>
      <c r="AH14" s="115">
        <f t="shared" si="31"/>
        <v>1641</v>
      </c>
      <c r="AI14" s="116">
        <f t="shared" si="31"/>
        <v>1818</v>
      </c>
      <c r="AJ14" s="117">
        <f t="shared" si="31"/>
        <v>1859</v>
      </c>
      <c r="AK14" s="115">
        <f t="shared" si="31"/>
        <v>2034</v>
      </c>
      <c r="AL14" s="115">
        <f>SUM(AL9:AL13)</f>
        <v>3840</v>
      </c>
      <c r="AM14" s="116">
        <f>SUM(AM9:AM13)</f>
        <v>3824</v>
      </c>
      <c r="AN14" s="117">
        <f>SUM(AN9:AN13)</f>
        <v>4098</v>
      </c>
      <c r="AO14" s="115">
        <f t="shared" ref="AO14" si="32">SUM(AO9:AO13)</f>
        <v>4076</v>
      </c>
      <c r="AP14" s="115">
        <f>SUM(AP9:AP13)</f>
        <v>3169</v>
      </c>
      <c r="AQ14" s="116">
        <f>SUM(AQ9:AQ13)</f>
        <v>3775</v>
      </c>
      <c r="AR14" s="117">
        <f>SUM(AR9:AR13)</f>
        <v>3971</v>
      </c>
      <c r="AS14" s="115">
        <f t="shared" ref="AS14" si="33">SUM(AS9:AS13)</f>
        <v>6687</v>
      </c>
      <c r="AT14" s="115">
        <f>SUM(AT9:AT13)</f>
        <v>6048</v>
      </c>
      <c r="AU14" s="116">
        <f>SUM(AU9:AU13)</f>
        <v>7125</v>
      </c>
      <c r="AV14" s="117">
        <f>SUM(AV9:AV13)</f>
        <v>7350</v>
      </c>
      <c r="AW14" s="115">
        <f t="shared" ref="AW14" si="34">SUM(AW9:AW13)</f>
        <v>8468</v>
      </c>
      <c r="AX14" s="115">
        <f>SUM(AX9:AX13)</f>
        <v>9943</v>
      </c>
      <c r="AY14" s="116">
        <f>SUM(AY9:AY13)</f>
        <v>15823</v>
      </c>
      <c r="AZ14" s="117">
        <f>SUM(AZ9:AZ13)</f>
        <v>11220</v>
      </c>
      <c r="BA14" s="115">
        <f t="shared" ref="BA14:BC14" si="35">SUM(BA9:BA13)</f>
        <v>12524.572843968777</v>
      </c>
      <c r="BB14" s="115">
        <f t="shared" si="35"/>
        <v>13926.828446505078</v>
      </c>
      <c r="BC14" s="116">
        <f t="shared" si="35"/>
        <v>15522.811454199786</v>
      </c>
      <c r="BD14" s="117">
        <f t="shared" ref="BD14:BG14" si="36">SUM(BD9:BD13)</f>
        <v>17018.168742755894</v>
      </c>
      <c r="BE14" s="115">
        <f t="shared" si="36"/>
        <v>18045.86244118636</v>
      </c>
      <c r="BF14" s="115">
        <f t="shared" si="36"/>
        <v>19362.721026236472</v>
      </c>
      <c r="BG14" s="116">
        <f t="shared" si="36"/>
        <v>21010.404255548365</v>
      </c>
      <c r="BH14" s="115">
        <f t="shared" ref="BH14:BK14" si="37">SUM(BH9:BH13)</f>
        <v>22310.713868371171</v>
      </c>
      <c r="BI14" s="115">
        <f t="shared" si="37"/>
        <v>23480.210773114737</v>
      </c>
      <c r="BJ14" s="115">
        <f t="shared" si="37"/>
        <v>24887.58810328467</v>
      </c>
      <c r="BK14" s="116">
        <f t="shared" si="37"/>
        <v>26501.407461235871</v>
      </c>
      <c r="BL14" s="108"/>
      <c r="BM14" s="132">
        <f t="shared" ref="BM14:BW14" si="38">SUM(BM9:BM13)</f>
        <v>662</v>
      </c>
      <c r="BN14" s="118">
        <f t="shared" si="38"/>
        <v>717</v>
      </c>
      <c r="BO14" s="118">
        <f t="shared" si="38"/>
        <v>619</v>
      </c>
      <c r="BP14" s="118">
        <f t="shared" si="38"/>
        <v>864</v>
      </c>
      <c r="BQ14" s="118">
        <f t="shared" si="38"/>
        <v>1087</v>
      </c>
      <c r="BR14" s="118">
        <f t="shared" si="38"/>
        <v>1393</v>
      </c>
      <c r="BS14" s="132">
        <f t="shared" si="38"/>
        <v>1691</v>
      </c>
      <c r="BT14" s="118">
        <f t="shared" si="38"/>
        <v>1818</v>
      </c>
      <c r="BU14" s="118">
        <f t="shared" si="38"/>
        <v>3824</v>
      </c>
      <c r="BV14" s="118">
        <f t="shared" si="38"/>
        <v>3775</v>
      </c>
      <c r="BW14" s="118">
        <f t="shared" si="38"/>
        <v>7125</v>
      </c>
      <c r="BX14" s="118">
        <f>SUM(BX9:BX13)</f>
        <v>15823</v>
      </c>
      <c r="BY14" s="118">
        <f>SUM(BY9:BY13)</f>
        <v>15522.811454199786</v>
      </c>
      <c r="BZ14" s="118">
        <f>SUM(BZ9:BZ13)</f>
        <v>21010.404255548365</v>
      </c>
      <c r="CA14" s="1456">
        <f>SUM(CA9:CA13)</f>
        <v>26501.407461235871</v>
      </c>
      <c r="CB14" s="19"/>
      <c r="CC14" s="132">
        <f t="shared" ref="CC14:CJ14" si="39">SUM(CC9:CC13)</f>
        <v>626</v>
      </c>
      <c r="CD14" s="118">
        <f t="shared" si="39"/>
        <v>477</v>
      </c>
      <c r="CE14" s="118">
        <f t="shared" si="39"/>
        <v>600</v>
      </c>
      <c r="CF14" s="118">
        <f t="shared" si="39"/>
        <v>557</v>
      </c>
      <c r="CG14" s="118">
        <f t="shared" si="39"/>
        <v>910</v>
      </c>
      <c r="CH14" s="118">
        <f t="shared" si="39"/>
        <v>1372</v>
      </c>
      <c r="CI14" s="117">
        <f t="shared" si="39"/>
        <v>1713</v>
      </c>
      <c r="CJ14" s="115">
        <f t="shared" si="39"/>
        <v>1859</v>
      </c>
      <c r="CK14" s="115">
        <f t="shared" ref="CK14:CP14" si="40">SUM(CK9:CK13)</f>
        <v>4098</v>
      </c>
      <c r="CL14" s="115">
        <f t="shared" si="40"/>
        <v>3971</v>
      </c>
      <c r="CM14" s="115">
        <f t="shared" si="40"/>
        <v>7350</v>
      </c>
      <c r="CN14" s="115">
        <f t="shared" si="40"/>
        <v>11220</v>
      </c>
      <c r="CO14" s="115">
        <f t="shared" si="40"/>
        <v>17018.168742755894</v>
      </c>
      <c r="CP14" s="116">
        <f t="shared" si="40"/>
        <v>22310.713868371171</v>
      </c>
      <c r="CQ14" s="534"/>
      <c r="CX14" s="10"/>
    </row>
    <row r="15" spans="1:102" ht="14.25" customHeight="1">
      <c r="A15" s="7"/>
      <c r="B15" s="21"/>
      <c r="C15" s="22"/>
      <c r="D15" s="77"/>
      <c r="E15" s="78"/>
      <c r="F15" s="78"/>
      <c r="G15" s="79"/>
      <c r="H15" s="77"/>
      <c r="I15" s="78"/>
      <c r="J15" s="78"/>
      <c r="K15" s="79"/>
      <c r="L15" s="77"/>
      <c r="M15" s="78"/>
      <c r="N15" s="78"/>
      <c r="O15" s="79"/>
      <c r="P15" s="77"/>
      <c r="Q15" s="78"/>
      <c r="R15" s="78"/>
      <c r="S15" s="79"/>
      <c r="T15" s="78"/>
      <c r="U15" s="78"/>
      <c r="V15" s="120"/>
      <c r="W15" s="120"/>
      <c r="X15" s="121"/>
      <c r="Y15" s="120"/>
      <c r="Z15" s="120"/>
      <c r="AA15" s="120"/>
      <c r="AB15" s="121"/>
      <c r="AC15" s="120"/>
      <c r="AD15" s="120"/>
      <c r="AE15" s="120"/>
      <c r="AF15" s="121"/>
      <c r="AG15" s="120"/>
      <c r="AH15" s="120"/>
      <c r="AI15" s="120"/>
      <c r="AJ15" s="121"/>
      <c r="AK15" s="120"/>
      <c r="AL15" s="120"/>
      <c r="AM15" s="120"/>
      <c r="AN15" s="971"/>
      <c r="AO15" s="970"/>
      <c r="AP15" s="970"/>
      <c r="AQ15" s="972"/>
      <c r="AR15" s="1235"/>
      <c r="AS15" s="1234"/>
      <c r="AT15" s="1234"/>
      <c r="AU15" s="1236"/>
      <c r="AV15" s="1235"/>
      <c r="AW15" s="1234"/>
      <c r="AX15" s="1234"/>
      <c r="AY15" s="1236"/>
      <c r="AZ15" s="1235"/>
      <c r="BA15" s="1234"/>
      <c r="BB15" s="1234"/>
      <c r="BC15" s="1236"/>
      <c r="BD15" s="1235"/>
      <c r="BE15" s="1234"/>
      <c r="BF15" s="1234"/>
      <c r="BG15" s="1455"/>
      <c r="BH15" s="1234"/>
      <c r="BI15" s="1234"/>
      <c r="BJ15" s="1234"/>
      <c r="BK15" s="1236"/>
      <c r="BL15" s="108"/>
      <c r="BM15" s="77"/>
      <c r="BN15" s="78"/>
      <c r="BO15" s="78"/>
      <c r="BP15" s="78"/>
      <c r="BQ15" s="78"/>
      <c r="BR15" s="78"/>
      <c r="BS15" s="77"/>
      <c r="BT15" s="78"/>
      <c r="BU15" s="78"/>
      <c r="BV15" s="78"/>
      <c r="BW15" s="78"/>
      <c r="BX15" s="78"/>
      <c r="BY15" s="78"/>
      <c r="BZ15" s="78"/>
      <c r="CA15" s="1390"/>
      <c r="CB15" s="19"/>
      <c r="CC15" s="77"/>
      <c r="CD15" s="78"/>
      <c r="CE15" s="78"/>
      <c r="CF15" s="78"/>
      <c r="CG15" s="78"/>
      <c r="CH15" s="78"/>
      <c r="CI15" s="77"/>
      <c r="CJ15" s="78"/>
      <c r="CK15" s="78"/>
      <c r="CL15" s="78"/>
      <c r="CM15" s="78"/>
      <c r="CN15" s="78"/>
      <c r="CO15" s="78"/>
      <c r="CP15" s="79"/>
      <c r="CQ15" s="534"/>
      <c r="CX15" s="10"/>
    </row>
    <row r="16" spans="1:102" ht="14.25" customHeight="1">
      <c r="A16" s="7"/>
      <c r="B16" s="27" t="s">
        <v>166</v>
      </c>
      <c r="C16" s="28"/>
      <c r="D16" s="77">
        <v>445</v>
      </c>
      <c r="E16" s="78">
        <v>436</v>
      </c>
      <c r="F16" s="78">
        <v>433</v>
      </c>
      <c r="G16" s="79">
        <v>417</v>
      </c>
      <c r="H16" s="77">
        <v>403</v>
      </c>
      <c r="I16" s="78">
        <v>388</v>
      </c>
      <c r="J16" s="78">
        <v>306</v>
      </c>
      <c r="K16" s="79">
        <v>292</v>
      </c>
      <c r="L16" s="77">
        <v>293</v>
      </c>
      <c r="M16" s="78">
        <v>289</v>
      </c>
      <c r="N16" s="78">
        <v>288</v>
      </c>
      <c r="O16" s="79">
        <v>299</v>
      </c>
      <c r="P16" s="77">
        <v>291</v>
      </c>
      <c r="Q16" s="78">
        <v>276</v>
      </c>
      <c r="R16" s="78">
        <v>273</v>
      </c>
      <c r="S16" s="79">
        <v>264</v>
      </c>
      <c r="T16" s="78">
        <v>254</v>
      </c>
      <c r="U16" s="78">
        <v>261</v>
      </c>
      <c r="V16" s="78">
        <v>266</v>
      </c>
      <c r="W16" s="78">
        <v>281</v>
      </c>
      <c r="X16" s="77">
        <v>281</v>
      </c>
      <c r="Y16" s="78">
        <v>285</v>
      </c>
      <c r="Z16" s="78">
        <v>296</v>
      </c>
      <c r="AA16" s="78">
        <v>316</v>
      </c>
      <c r="AB16" s="77">
        <v>354</v>
      </c>
      <c r="AC16" s="78">
        <v>402</v>
      </c>
      <c r="AD16" s="78">
        <v>453</v>
      </c>
      <c r="AE16" s="78">
        <v>503</v>
      </c>
      <c r="AF16" s="77">
        <v>529</v>
      </c>
      <c r="AG16" s="78">
        <v>561</v>
      </c>
      <c r="AH16" s="78">
        <v>620</v>
      </c>
      <c r="AI16" s="78">
        <v>661</v>
      </c>
      <c r="AJ16" s="77">
        <v>684</v>
      </c>
      <c r="AK16" s="78">
        <v>731</v>
      </c>
      <c r="AL16" s="78">
        <v>1016</v>
      </c>
      <c r="AM16" s="78">
        <v>1158</v>
      </c>
      <c r="AN16" s="77">
        <v>1269</v>
      </c>
      <c r="AO16" s="78">
        <v>1344</v>
      </c>
      <c r="AP16" s="78">
        <v>1392</v>
      </c>
      <c r="AQ16" s="79">
        <v>1460</v>
      </c>
      <c r="AR16" s="77">
        <v>1505</v>
      </c>
      <c r="AS16" s="78">
        <v>2486</v>
      </c>
      <c r="AT16" s="78">
        <v>2573</v>
      </c>
      <c r="AU16" s="79">
        <v>2509</v>
      </c>
      <c r="AV16" s="77">
        <v>2646</v>
      </c>
      <c r="AW16" s="78">
        <v>2762</v>
      </c>
      <c r="AX16" s="78">
        <v>2909</v>
      </c>
      <c r="AY16" s="79">
        <v>2599</v>
      </c>
      <c r="AZ16" s="77">
        <v>2747</v>
      </c>
      <c r="BA16" s="1261">
        <f>'CFS '!BA73</f>
        <v>2815.4998367999997</v>
      </c>
      <c r="BB16" s="1261">
        <f>'CFS '!BB73</f>
        <v>2844.4753208850002</v>
      </c>
      <c r="BC16" s="1262">
        <f>'CFS '!BC73</f>
        <v>2878.7037676760247</v>
      </c>
      <c r="BD16" s="1263">
        <f>'CFS '!BD73</f>
        <v>2899.7884137328228</v>
      </c>
      <c r="BE16" s="1261">
        <f>'CFS '!BE73</f>
        <v>2910.8458542546282</v>
      </c>
      <c r="BF16" s="1261">
        <f>'CFS '!BF73</f>
        <v>2935.7265702933155</v>
      </c>
      <c r="BG16" s="1389">
        <f>'CFS '!BG73</f>
        <v>2973.4040554934622</v>
      </c>
      <c r="BH16" s="1261">
        <f>'CFS '!BH73</f>
        <v>3010.9327324590708</v>
      </c>
      <c r="BI16" s="1261">
        <f>'CFS '!BI73</f>
        <v>3033.9581174272853</v>
      </c>
      <c r="BJ16" s="1261">
        <f>'CFS '!BJ73</f>
        <v>3058.5553442225428</v>
      </c>
      <c r="BK16" s="1262">
        <f>'CFS '!BK73</f>
        <v>3088.6598359546952</v>
      </c>
      <c r="BL16" s="108"/>
      <c r="BM16" s="74">
        <f>G16</f>
        <v>417</v>
      </c>
      <c r="BN16" s="75">
        <f>K16</f>
        <v>292</v>
      </c>
      <c r="BO16" s="75">
        <f>O16</f>
        <v>299</v>
      </c>
      <c r="BP16" s="75">
        <f>S16</f>
        <v>264</v>
      </c>
      <c r="BQ16" s="75">
        <f>W16</f>
        <v>281</v>
      </c>
      <c r="BR16" s="75">
        <f>AA16</f>
        <v>316</v>
      </c>
      <c r="BS16" s="74">
        <f>AE16</f>
        <v>503</v>
      </c>
      <c r="BT16" s="75">
        <f>AI16</f>
        <v>661</v>
      </c>
      <c r="BU16" s="75">
        <f>AM16</f>
        <v>1158</v>
      </c>
      <c r="BV16" s="75">
        <f>AQ16</f>
        <v>1460</v>
      </c>
      <c r="BW16" s="75">
        <f>AU16</f>
        <v>2509</v>
      </c>
      <c r="BX16" s="75">
        <f>AY16</f>
        <v>2599</v>
      </c>
      <c r="BY16" s="75">
        <f t="shared" ref="BY16:BY19" si="41">BC16</f>
        <v>2878.7037676760247</v>
      </c>
      <c r="BZ16" s="75">
        <f>BG16</f>
        <v>2973.4040554934622</v>
      </c>
      <c r="CA16" s="1388">
        <f t="shared" ref="CA16:CA19" si="42">BK16</f>
        <v>3088.6598359546952</v>
      </c>
      <c r="CB16" s="19"/>
      <c r="CC16" s="74">
        <f>H16</f>
        <v>403</v>
      </c>
      <c r="CD16" s="75">
        <f>L16</f>
        <v>293</v>
      </c>
      <c r="CE16" s="75">
        <f>P16</f>
        <v>291</v>
      </c>
      <c r="CF16" s="75">
        <f>T16</f>
        <v>254</v>
      </c>
      <c r="CG16" s="75">
        <f>X16</f>
        <v>281</v>
      </c>
      <c r="CH16" s="75">
        <f>AB16</f>
        <v>354</v>
      </c>
      <c r="CI16" s="74">
        <f>AF16</f>
        <v>529</v>
      </c>
      <c r="CJ16" s="75">
        <f>AJ16</f>
        <v>684</v>
      </c>
      <c r="CK16" s="75">
        <f>AN16</f>
        <v>1269</v>
      </c>
      <c r="CL16" s="75">
        <f>AR16</f>
        <v>1505</v>
      </c>
      <c r="CM16" s="75">
        <f>AV16</f>
        <v>2646</v>
      </c>
      <c r="CN16" s="75">
        <f>AZ16</f>
        <v>2747</v>
      </c>
      <c r="CO16" s="75">
        <f>BD16</f>
        <v>2899.7884137328228</v>
      </c>
      <c r="CP16" s="76">
        <f t="shared" ref="CP16:CP19" si="43">BH16</f>
        <v>3010.9327324590708</v>
      </c>
      <c r="CQ16" s="534"/>
      <c r="CX16" s="10"/>
    </row>
    <row r="17" spans="1:102" ht="14.25" customHeight="1">
      <c r="A17" s="7"/>
      <c r="B17" s="27" t="s">
        <v>37</v>
      </c>
      <c r="C17" s="28"/>
      <c r="D17" s="77">
        <v>197</v>
      </c>
      <c r="E17" s="78">
        <v>116</v>
      </c>
      <c r="F17" s="78">
        <v>116</v>
      </c>
      <c r="G17" s="79">
        <v>116</v>
      </c>
      <c r="H17" s="77">
        <v>116</v>
      </c>
      <c r="I17" s="78">
        <v>116</v>
      </c>
      <c r="J17" s="78">
        <v>122</v>
      </c>
      <c r="K17" s="79">
        <v>122</v>
      </c>
      <c r="L17" s="77">
        <v>145</v>
      </c>
      <c r="M17" s="78">
        <v>156</v>
      </c>
      <c r="N17" s="78">
        <v>156</v>
      </c>
      <c r="O17" s="79">
        <v>169</v>
      </c>
      <c r="P17" s="77">
        <v>170</v>
      </c>
      <c r="Q17" s="78">
        <v>171</v>
      </c>
      <c r="R17" s="78">
        <v>171</v>
      </c>
      <c r="S17" s="79">
        <v>171</v>
      </c>
      <c r="T17" s="78">
        <v>171</v>
      </c>
      <c r="U17" s="78">
        <v>171</v>
      </c>
      <c r="V17" s="78">
        <v>173</v>
      </c>
      <c r="W17" s="78">
        <v>172</v>
      </c>
      <c r="X17" s="77">
        <v>175</v>
      </c>
      <c r="Y17" s="78">
        <v>177</v>
      </c>
      <c r="Z17" s="78">
        <v>177</v>
      </c>
      <c r="AA17" s="78">
        <v>177</v>
      </c>
      <c r="AB17" s="77">
        <v>177</v>
      </c>
      <c r="AC17" s="78">
        <v>177</v>
      </c>
      <c r="AD17" s="78">
        <v>180</v>
      </c>
      <c r="AE17" s="78">
        <v>180</v>
      </c>
      <c r="AF17" s="77">
        <v>180</v>
      </c>
      <c r="AG17" s="78">
        <v>201</v>
      </c>
      <c r="AH17" s="78">
        <v>393</v>
      </c>
      <c r="AI17" s="78">
        <v>391</v>
      </c>
      <c r="AJ17" s="77">
        <v>392</v>
      </c>
      <c r="AK17" s="78">
        <v>392</v>
      </c>
      <c r="AL17" s="78">
        <v>1458</v>
      </c>
      <c r="AM17" s="78">
        <v>1596</v>
      </c>
      <c r="AN17" s="77">
        <v>1596</v>
      </c>
      <c r="AO17" s="78">
        <v>1596</v>
      </c>
      <c r="AP17" s="78">
        <v>1729</v>
      </c>
      <c r="AQ17" s="79">
        <v>1674</v>
      </c>
      <c r="AR17" s="77">
        <v>1685</v>
      </c>
      <c r="AS17" s="78">
        <v>24776</v>
      </c>
      <c r="AT17" s="78">
        <v>24784</v>
      </c>
      <c r="AU17" s="79">
        <v>24732</v>
      </c>
      <c r="AV17" s="77">
        <v>24700</v>
      </c>
      <c r="AW17" s="78">
        <v>24706</v>
      </c>
      <c r="AX17" s="78">
        <v>24706</v>
      </c>
      <c r="AY17" s="79">
        <v>24706</v>
      </c>
      <c r="AZ17" s="77">
        <v>26899</v>
      </c>
      <c r="BA17" s="75">
        <f t="shared" ref="BA17" si="44">AZ17</f>
        <v>26899</v>
      </c>
      <c r="BB17" s="75">
        <f t="shared" ref="BB17" si="45">BA17</f>
        <v>26899</v>
      </c>
      <c r="BC17" s="76">
        <f t="shared" ref="BC17" si="46">BB17</f>
        <v>26899</v>
      </c>
      <c r="BD17" s="74">
        <f>BC17</f>
        <v>26899</v>
      </c>
      <c r="BE17" s="75">
        <f t="shared" ref="BE17" si="47">BD17</f>
        <v>26899</v>
      </c>
      <c r="BF17" s="75">
        <f t="shared" ref="BF17" si="48">BE17</f>
        <v>26899</v>
      </c>
      <c r="BG17" s="1388">
        <f t="shared" ref="BG17" si="49">BF17</f>
        <v>26899</v>
      </c>
      <c r="BH17" s="75">
        <f>BG17</f>
        <v>26899</v>
      </c>
      <c r="BI17" s="75">
        <f t="shared" ref="BI17" si="50">BH17</f>
        <v>26899</v>
      </c>
      <c r="BJ17" s="75">
        <f t="shared" ref="BJ17" si="51">BI17</f>
        <v>26899</v>
      </c>
      <c r="BK17" s="76">
        <f t="shared" ref="BK17" si="52">BJ17</f>
        <v>26899</v>
      </c>
      <c r="BL17" s="108"/>
      <c r="BM17" s="74">
        <f>G17</f>
        <v>116</v>
      </c>
      <c r="BN17" s="75">
        <f>K17</f>
        <v>122</v>
      </c>
      <c r="BO17" s="75">
        <f>O17</f>
        <v>169</v>
      </c>
      <c r="BP17" s="75">
        <f>S17</f>
        <v>171</v>
      </c>
      <c r="BQ17" s="75">
        <f>W17</f>
        <v>172</v>
      </c>
      <c r="BR17" s="75">
        <f>AA17</f>
        <v>177</v>
      </c>
      <c r="BS17" s="74">
        <f>AE17</f>
        <v>180</v>
      </c>
      <c r="BT17" s="75">
        <f>AI17</f>
        <v>391</v>
      </c>
      <c r="BU17" s="75">
        <f>AM17</f>
        <v>1596</v>
      </c>
      <c r="BV17" s="75">
        <f>AQ17</f>
        <v>1674</v>
      </c>
      <c r="BW17" s="75">
        <f>AU17</f>
        <v>24732</v>
      </c>
      <c r="BX17" s="75">
        <f>AY17</f>
        <v>24706</v>
      </c>
      <c r="BY17" s="75">
        <f t="shared" si="41"/>
        <v>26899</v>
      </c>
      <c r="BZ17" s="75">
        <f>BG17</f>
        <v>26899</v>
      </c>
      <c r="CA17" s="1388">
        <f t="shared" si="42"/>
        <v>26899</v>
      </c>
      <c r="CB17" s="19"/>
      <c r="CC17" s="74">
        <f>H17</f>
        <v>116</v>
      </c>
      <c r="CD17" s="75">
        <f>L17</f>
        <v>145</v>
      </c>
      <c r="CE17" s="75">
        <f>P17</f>
        <v>170</v>
      </c>
      <c r="CF17" s="75">
        <f>T17</f>
        <v>171</v>
      </c>
      <c r="CG17" s="75">
        <f>X17</f>
        <v>175</v>
      </c>
      <c r="CH17" s="75">
        <f>AB17</f>
        <v>177</v>
      </c>
      <c r="CI17" s="74">
        <f>AF17</f>
        <v>180</v>
      </c>
      <c r="CJ17" s="75">
        <f>AJ17</f>
        <v>392</v>
      </c>
      <c r="CK17" s="75">
        <f>AN17</f>
        <v>1596</v>
      </c>
      <c r="CL17" s="75">
        <f>AR17</f>
        <v>1685</v>
      </c>
      <c r="CM17" s="75">
        <f>AV17</f>
        <v>24700</v>
      </c>
      <c r="CN17" s="75">
        <f>AZ17</f>
        <v>26899</v>
      </c>
      <c r="CO17" s="75">
        <f>BD17</f>
        <v>26899</v>
      </c>
      <c r="CP17" s="76">
        <f t="shared" si="43"/>
        <v>26899</v>
      </c>
      <c r="CQ17" s="534"/>
      <c r="CX17" s="10"/>
    </row>
    <row r="18" spans="1:102" ht="14.25" customHeight="1">
      <c r="A18" s="7"/>
      <c r="B18" s="27" t="s">
        <v>143</v>
      </c>
      <c r="C18" s="28"/>
      <c r="D18" s="77">
        <v>1198</v>
      </c>
      <c r="E18" s="78">
        <v>1027</v>
      </c>
      <c r="F18" s="78">
        <v>998</v>
      </c>
      <c r="G18" s="79">
        <v>973</v>
      </c>
      <c r="H18" s="77">
        <v>937</v>
      </c>
      <c r="I18" s="78">
        <v>914</v>
      </c>
      <c r="J18" s="78">
        <v>820</v>
      </c>
      <c r="K18" s="79">
        <v>777</v>
      </c>
      <c r="L18" s="77">
        <v>773</v>
      </c>
      <c r="M18" s="78">
        <v>752</v>
      </c>
      <c r="N18" s="78">
        <v>731</v>
      </c>
      <c r="O18" s="79">
        <v>721</v>
      </c>
      <c r="P18" s="77">
        <v>700</v>
      </c>
      <c r="Q18" s="78">
        <v>685</v>
      </c>
      <c r="R18" s="78">
        <v>665</v>
      </c>
      <c r="S18" s="79">
        <v>647</v>
      </c>
      <c r="T18" s="78">
        <v>627</v>
      </c>
      <c r="U18" s="78">
        <v>607</v>
      </c>
      <c r="V18" s="78">
        <v>592</v>
      </c>
      <c r="W18" s="78">
        <v>573</v>
      </c>
      <c r="X18" s="77">
        <v>557</v>
      </c>
      <c r="Y18" s="78">
        <v>538</v>
      </c>
      <c r="Z18" s="78">
        <v>519</v>
      </c>
      <c r="AA18" s="78">
        <v>499</v>
      </c>
      <c r="AB18" s="77">
        <v>480</v>
      </c>
      <c r="AC18" s="78">
        <v>461</v>
      </c>
      <c r="AD18" s="78">
        <v>441</v>
      </c>
      <c r="AE18" s="78">
        <v>422</v>
      </c>
      <c r="AF18" s="77">
        <v>403</v>
      </c>
      <c r="AG18" s="78">
        <v>393</v>
      </c>
      <c r="AH18" s="78">
        <v>514</v>
      </c>
      <c r="AI18" s="78">
        <v>492</v>
      </c>
      <c r="AJ18" s="77">
        <v>467</v>
      </c>
      <c r="AK18" s="78">
        <v>441</v>
      </c>
      <c r="AL18" s="78">
        <v>3620</v>
      </c>
      <c r="AM18" s="78">
        <v>3617</v>
      </c>
      <c r="AN18" s="77">
        <v>3445</v>
      </c>
      <c r="AO18" s="78">
        <v>3280</v>
      </c>
      <c r="AP18" s="78">
        <v>3469</v>
      </c>
      <c r="AQ18" s="79">
        <v>3277</v>
      </c>
      <c r="AR18" s="77">
        <v>3089</v>
      </c>
      <c r="AS18" s="78">
        <v>16944</v>
      </c>
      <c r="AT18" s="78">
        <v>15819</v>
      </c>
      <c r="AU18" s="79">
        <v>15068</v>
      </c>
      <c r="AV18" s="77">
        <v>14067</v>
      </c>
      <c r="AW18" s="78">
        <v>13016</v>
      </c>
      <c r="AX18" s="78">
        <v>11927</v>
      </c>
      <c r="AY18" s="79">
        <v>10832</v>
      </c>
      <c r="AZ18" s="77">
        <v>13171</v>
      </c>
      <c r="BA18" s="1261">
        <f>AZ18-'AVGO IS'!BA57</f>
        <v>13171</v>
      </c>
      <c r="BB18" s="1261">
        <f>BA18-'AVGO IS'!BB57</f>
        <v>13171</v>
      </c>
      <c r="BC18" s="1262">
        <f>BB18-'AVGO IS'!BC57</f>
        <v>13171</v>
      </c>
      <c r="BD18" s="1263">
        <f>BC18-'AVGO IS'!BD57</f>
        <v>13171</v>
      </c>
      <c r="BE18" s="1261">
        <f>BD18-'AVGO IS'!BE57</f>
        <v>13171</v>
      </c>
      <c r="BF18" s="1261">
        <f>BE18-'AVGO IS'!BF57</f>
        <v>13171</v>
      </c>
      <c r="BG18" s="1389">
        <f>BF18-'AVGO IS'!BG57</f>
        <v>13171</v>
      </c>
      <c r="BH18" s="1261">
        <f>BG18-'AVGO IS'!BH57</f>
        <v>13171</v>
      </c>
      <c r="BI18" s="1261">
        <f>BH18-'AVGO IS'!BI57</f>
        <v>13171</v>
      </c>
      <c r="BJ18" s="1261">
        <f>BI18-'AVGO IS'!BJ57</f>
        <v>13171</v>
      </c>
      <c r="BK18" s="1262">
        <f>BJ18-'AVGO IS'!BK57</f>
        <v>13171</v>
      </c>
      <c r="BL18" s="108"/>
      <c r="BM18" s="74">
        <f>G18</f>
        <v>973</v>
      </c>
      <c r="BN18" s="75">
        <f>K18</f>
        <v>777</v>
      </c>
      <c r="BO18" s="75">
        <f>O18</f>
        <v>721</v>
      </c>
      <c r="BP18" s="75">
        <f>S18</f>
        <v>647</v>
      </c>
      <c r="BQ18" s="75">
        <f>W18</f>
        <v>573</v>
      </c>
      <c r="BR18" s="75">
        <f>AA18</f>
        <v>499</v>
      </c>
      <c r="BS18" s="74">
        <f>AE18</f>
        <v>422</v>
      </c>
      <c r="BT18" s="75">
        <f>AI18</f>
        <v>492</v>
      </c>
      <c r="BU18" s="75">
        <f>AM18</f>
        <v>3617</v>
      </c>
      <c r="BV18" s="75">
        <f>AQ18</f>
        <v>3277</v>
      </c>
      <c r="BW18" s="75">
        <f>AU18</f>
        <v>15068</v>
      </c>
      <c r="BX18" s="75">
        <f>AY18</f>
        <v>10832</v>
      </c>
      <c r="BY18" s="75">
        <f t="shared" si="41"/>
        <v>13171</v>
      </c>
      <c r="BZ18" s="75">
        <f>BG18</f>
        <v>13171</v>
      </c>
      <c r="CA18" s="1388">
        <f t="shared" si="42"/>
        <v>13171</v>
      </c>
      <c r="CB18" s="19"/>
      <c r="CC18" s="74">
        <f>H18</f>
        <v>937</v>
      </c>
      <c r="CD18" s="75">
        <f>L18</f>
        <v>773</v>
      </c>
      <c r="CE18" s="75">
        <f>P18</f>
        <v>700</v>
      </c>
      <c r="CF18" s="75">
        <f>T18</f>
        <v>627</v>
      </c>
      <c r="CG18" s="75">
        <f>X18</f>
        <v>557</v>
      </c>
      <c r="CH18" s="75">
        <f>AB18</f>
        <v>480</v>
      </c>
      <c r="CI18" s="74">
        <f>AF18</f>
        <v>403</v>
      </c>
      <c r="CJ18" s="75">
        <f>AJ18</f>
        <v>467</v>
      </c>
      <c r="CK18" s="75">
        <f>AN18</f>
        <v>3445</v>
      </c>
      <c r="CL18" s="75">
        <f>AR18</f>
        <v>3089</v>
      </c>
      <c r="CM18" s="75">
        <f>AV18</f>
        <v>14067</v>
      </c>
      <c r="CN18" s="75">
        <f>AZ18</f>
        <v>13171</v>
      </c>
      <c r="CO18" s="75">
        <f>BD18</f>
        <v>13171</v>
      </c>
      <c r="CP18" s="76">
        <f t="shared" si="43"/>
        <v>13171</v>
      </c>
      <c r="CQ18" s="534"/>
      <c r="CX18" s="10"/>
    </row>
    <row r="19" spans="1:102" ht="14.25" customHeight="1">
      <c r="A19" s="7"/>
      <c r="B19" s="27" t="s">
        <v>144</v>
      </c>
      <c r="C19" s="28"/>
      <c r="D19" s="77">
        <v>49</v>
      </c>
      <c r="E19" s="78">
        <v>47</v>
      </c>
      <c r="F19" s="78">
        <v>48</v>
      </c>
      <c r="G19" s="79">
        <v>49</v>
      </c>
      <c r="H19" s="77">
        <v>42</v>
      </c>
      <c r="I19" s="78">
        <v>39</v>
      </c>
      <c r="J19" s="78">
        <v>37</v>
      </c>
      <c r="K19" s="79">
        <v>43</v>
      </c>
      <c r="L19" s="77">
        <v>48</v>
      </c>
      <c r="M19" s="78">
        <v>50</v>
      </c>
      <c r="N19" s="78">
        <v>51</v>
      </c>
      <c r="O19" s="79">
        <v>63</v>
      </c>
      <c r="P19" s="77">
        <v>63</v>
      </c>
      <c r="Q19" s="78">
        <v>58</v>
      </c>
      <c r="R19" s="78">
        <v>50</v>
      </c>
      <c r="S19" s="79">
        <v>24</v>
      </c>
      <c r="T19" s="78">
        <v>23</v>
      </c>
      <c r="U19" s="78">
        <v>16</v>
      </c>
      <c r="V19" s="78">
        <v>16</v>
      </c>
      <c r="W19" s="79">
        <v>44</v>
      </c>
      <c r="X19" s="78">
        <v>48</v>
      </c>
      <c r="Y19" s="78">
        <v>49</v>
      </c>
      <c r="Z19" s="78">
        <v>52</v>
      </c>
      <c r="AA19" s="79">
        <v>61</v>
      </c>
      <c r="AB19" s="78">
        <v>61</v>
      </c>
      <c r="AC19" s="78">
        <v>63</v>
      </c>
      <c r="AD19" s="78">
        <v>60</v>
      </c>
      <c r="AE19" s="79">
        <v>66</v>
      </c>
      <c r="AF19" s="78">
        <v>67</v>
      </c>
      <c r="AG19" s="78">
        <v>66</v>
      </c>
      <c r="AH19" s="78">
        <v>36</v>
      </c>
      <c r="AI19" s="79">
        <v>53</v>
      </c>
      <c r="AJ19" s="78">
        <v>70</v>
      </c>
      <c r="AK19" s="78">
        <v>73</v>
      </c>
      <c r="AL19" s="78">
        <v>328</v>
      </c>
      <c r="AM19" s="79">
        <v>296</v>
      </c>
      <c r="AN19" s="77">
        <v>289</v>
      </c>
      <c r="AO19" s="78">
        <v>236</v>
      </c>
      <c r="AP19" s="78">
        <v>229</v>
      </c>
      <c r="AQ19" s="79">
        <v>406</v>
      </c>
      <c r="AR19" s="77">
        <v>527</v>
      </c>
      <c r="AS19" s="78">
        <v>514</v>
      </c>
      <c r="AT19" s="78">
        <v>528</v>
      </c>
      <c r="AU19" s="79">
        <v>532</v>
      </c>
      <c r="AV19" s="77">
        <v>854</v>
      </c>
      <c r="AW19" s="78">
        <v>897</v>
      </c>
      <c r="AX19" s="78">
        <v>457</v>
      </c>
      <c r="AY19" s="79">
        <v>458</v>
      </c>
      <c r="AZ19" s="77">
        <v>507</v>
      </c>
      <c r="BA19" s="75">
        <f t="shared" ref="BA19" si="53">AZ19</f>
        <v>507</v>
      </c>
      <c r="BB19" s="111">
        <f t="shared" ref="BB19" si="54">BA19</f>
        <v>507</v>
      </c>
      <c r="BC19" s="76">
        <f t="shared" ref="BC19" si="55">BB19</f>
        <v>507</v>
      </c>
      <c r="BD19" s="327">
        <f t="shared" ref="BD19" si="56">BC19</f>
        <v>507</v>
      </c>
      <c r="BE19" s="75">
        <f t="shared" ref="BE19" si="57">BD19</f>
        <v>507</v>
      </c>
      <c r="BF19" s="111">
        <f t="shared" ref="BF19" si="58">BE19</f>
        <v>507</v>
      </c>
      <c r="BG19" s="1388">
        <f t="shared" ref="BG19" si="59">BF19</f>
        <v>507</v>
      </c>
      <c r="BH19" s="111">
        <f t="shared" ref="BH19" si="60">BG19</f>
        <v>507</v>
      </c>
      <c r="BI19" s="75">
        <f t="shared" ref="BI19" si="61">BH19</f>
        <v>507</v>
      </c>
      <c r="BJ19" s="111">
        <f t="shared" ref="BJ19" si="62">BI19</f>
        <v>507</v>
      </c>
      <c r="BK19" s="76">
        <f t="shared" ref="BK19" si="63">BJ19</f>
        <v>507</v>
      </c>
      <c r="BL19" s="108"/>
      <c r="BM19" s="74">
        <f>G19</f>
        <v>49</v>
      </c>
      <c r="BN19" s="75">
        <f>K19</f>
        <v>43</v>
      </c>
      <c r="BO19" s="75">
        <f>O19</f>
        <v>63</v>
      </c>
      <c r="BP19" s="75">
        <f>S19</f>
        <v>24</v>
      </c>
      <c r="BQ19" s="75">
        <f>W19</f>
        <v>44</v>
      </c>
      <c r="BR19" s="75">
        <f>AA19</f>
        <v>61</v>
      </c>
      <c r="BS19" s="74">
        <f>AE19</f>
        <v>66</v>
      </c>
      <c r="BT19" s="75">
        <f>AI19</f>
        <v>53</v>
      </c>
      <c r="BU19" s="75">
        <f>AM19</f>
        <v>296</v>
      </c>
      <c r="BV19" s="75">
        <f>AQ19</f>
        <v>406</v>
      </c>
      <c r="BW19" s="75">
        <f>AU19</f>
        <v>532</v>
      </c>
      <c r="BX19" s="75">
        <f>AY19</f>
        <v>458</v>
      </c>
      <c r="BY19" s="75">
        <f t="shared" si="41"/>
        <v>507</v>
      </c>
      <c r="BZ19" s="75">
        <f>BG19</f>
        <v>507</v>
      </c>
      <c r="CA19" s="1388">
        <f t="shared" si="42"/>
        <v>507</v>
      </c>
      <c r="CB19" s="19"/>
      <c r="CC19" s="74">
        <f>H19</f>
        <v>42</v>
      </c>
      <c r="CD19" s="75">
        <f>L19</f>
        <v>48</v>
      </c>
      <c r="CE19" s="75">
        <f>P19</f>
        <v>63</v>
      </c>
      <c r="CF19" s="75">
        <f>T19</f>
        <v>23</v>
      </c>
      <c r="CG19" s="75">
        <f>X19</f>
        <v>48</v>
      </c>
      <c r="CH19" s="75">
        <f>AB19</f>
        <v>61</v>
      </c>
      <c r="CI19" s="327">
        <f>AF19</f>
        <v>67</v>
      </c>
      <c r="CJ19" s="111">
        <f>AJ19</f>
        <v>70</v>
      </c>
      <c r="CK19" s="111">
        <f>AN19</f>
        <v>289</v>
      </c>
      <c r="CL19" s="111">
        <f>AR19</f>
        <v>527</v>
      </c>
      <c r="CM19" s="111">
        <f>AV19</f>
        <v>854</v>
      </c>
      <c r="CN19" s="111">
        <f>AZ19</f>
        <v>507</v>
      </c>
      <c r="CO19" s="111">
        <f>BD19</f>
        <v>507</v>
      </c>
      <c r="CP19" s="112">
        <f t="shared" si="43"/>
        <v>507</v>
      </c>
      <c r="CQ19" s="534"/>
      <c r="CX19" s="10"/>
    </row>
    <row r="20" spans="1:102" ht="14.25" customHeight="1">
      <c r="A20" s="7"/>
      <c r="B20" s="122" t="s">
        <v>38</v>
      </c>
      <c r="C20" s="123"/>
      <c r="D20" s="126">
        <f t="shared" ref="D20:AK20" si="64">SUM(D16:D19)+D14</f>
        <v>2991</v>
      </c>
      <c r="E20" s="124">
        <f t="shared" si="64"/>
        <v>2530</v>
      </c>
      <c r="F20" s="124">
        <f t="shared" si="64"/>
        <v>2222</v>
      </c>
      <c r="G20" s="125">
        <f t="shared" si="64"/>
        <v>2217</v>
      </c>
      <c r="H20" s="126">
        <f t="shared" si="64"/>
        <v>2124</v>
      </c>
      <c r="I20" s="124">
        <f t="shared" si="64"/>
        <v>2046</v>
      </c>
      <c r="J20" s="124">
        <f t="shared" si="64"/>
        <v>1896</v>
      </c>
      <c r="K20" s="125">
        <f t="shared" si="64"/>
        <v>1951</v>
      </c>
      <c r="L20" s="126">
        <f t="shared" si="64"/>
        <v>1736</v>
      </c>
      <c r="M20" s="124">
        <f t="shared" si="64"/>
        <v>1741</v>
      </c>
      <c r="N20" s="124">
        <f t="shared" si="64"/>
        <v>1808</v>
      </c>
      <c r="O20" s="125">
        <f t="shared" si="64"/>
        <v>1871</v>
      </c>
      <c r="P20" s="126">
        <f t="shared" si="64"/>
        <v>1824</v>
      </c>
      <c r="Q20" s="124">
        <f t="shared" si="64"/>
        <v>1805</v>
      </c>
      <c r="R20" s="124">
        <f t="shared" si="64"/>
        <v>1775</v>
      </c>
      <c r="S20" s="125">
        <f t="shared" si="64"/>
        <v>1970</v>
      </c>
      <c r="T20" s="124">
        <f t="shared" si="64"/>
        <v>1632</v>
      </c>
      <c r="U20" s="124">
        <f t="shared" si="64"/>
        <v>1782</v>
      </c>
      <c r="V20" s="124">
        <f t="shared" si="64"/>
        <v>1920</v>
      </c>
      <c r="W20" s="125">
        <f t="shared" si="64"/>
        <v>2157</v>
      </c>
      <c r="X20" s="126">
        <f t="shared" si="64"/>
        <v>1971</v>
      </c>
      <c r="Y20" s="124">
        <f t="shared" si="64"/>
        <v>2177</v>
      </c>
      <c r="Z20" s="124">
        <f t="shared" si="64"/>
        <v>2273</v>
      </c>
      <c r="AA20" s="125">
        <f t="shared" si="64"/>
        <v>2446</v>
      </c>
      <c r="AB20" s="126">
        <f t="shared" si="64"/>
        <v>2444</v>
      </c>
      <c r="AC20" s="124">
        <f t="shared" si="64"/>
        <v>2611</v>
      </c>
      <c r="AD20" s="124">
        <f t="shared" si="64"/>
        <v>2715</v>
      </c>
      <c r="AE20" s="125">
        <f t="shared" si="64"/>
        <v>2862</v>
      </c>
      <c r="AF20" s="126">
        <f t="shared" si="64"/>
        <v>2892</v>
      </c>
      <c r="AG20" s="124">
        <f t="shared" si="64"/>
        <v>3039</v>
      </c>
      <c r="AH20" s="124">
        <f t="shared" si="64"/>
        <v>3204</v>
      </c>
      <c r="AI20" s="125">
        <f t="shared" si="64"/>
        <v>3415</v>
      </c>
      <c r="AJ20" s="126">
        <f t="shared" si="64"/>
        <v>3472</v>
      </c>
      <c r="AK20" s="124">
        <f t="shared" si="64"/>
        <v>3671</v>
      </c>
      <c r="AL20" s="124">
        <f>SUM(AL16:AL19)+AL14</f>
        <v>10262</v>
      </c>
      <c r="AM20" s="125">
        <f>SUM(AM16:AM19)+AM14</f>
        <v>10491</v>
      </c>
      <c r="AN20" s="126">
        <f>SUM(AN16:AN19)+AN14</f>
        <v>10697</v>
      </c>
      <c r="AO20" s="124">
        <f t="shared" ref="AO20" si="65">SUM(AO16:AO19)+AO14</f>
        <v>10532</v>
      </c>
      <c r="AP20" s="124">
        <f>SUM(AP16:AP19)+AP14</f>
        <v>9988</v>
      </c>
      <c r="AQ20" s="125">
        <f>SUM(AQ16:AQ19)+AQ14</f>
        <v>10592</v>
      </c>
      <c r="AR20" s="126">
        <f>SUM(AR16:AR19)+AR14</f>
        <v>10777</v>
      </c>
      <c r="AS20" s="124">
        <f t="shared" ref="AS20" si="66">SUM(AS16:AS19)+AS14</f>
        <v>51407</v>
      </c>
      <c r="AT20" s="124">
        <f>SUM(AT16:AT19)+AT14</f>
        <v>49752</v>
      </c>
      <c r="AU20" s="125">
        <f>SUM(AU16:AU19)+AU14</f>
        <v>49966</v>
      </c>
      <c r="AV20" s="126">
        <f>SUM(AV16:AV19)+AV14</f>
        <v>49617</v>
      </c>
      <c r="AW20" s="124">
        <f t="shared" ref="AW20" si="67">SUM(AW16:AW19)+AW14</f>
        <v>49849</v>
      </c>
      <c r="AX20" s="124">
        <f>SUM(AX16:AX19)+AX14</f>
        <v>49942</v>
      </c>
      <c r="AY20" s="125">
        <f>SUM(AY16:AY19)+AY14</f>
        <v>54418</v>
      </c>
      <c r="AZ20" s="126">
        <f>SUM(AZ16:AZ19)+AZ14</f>
        <v>54544</v>
      </c>
      <c r="BA20" s="124">
        <f t="shared" ref="BA20:BC20" si="68">SUM(BA16:BA19)+BA14</f>
        <v>55917.072680768775</v>
      </c>
      <c r="BB20" s="124">
        <f t="shared" si="68"/>
        <v>57348.303767390084</v>
      </c>
      <c r="BC20" s="125">
        <f t="shared" si="68"/>
        <v>58978.515221875808</v>
      </c>
      <c r="BD20" s="126">
        <f t="shared" ref="BD20:BG20" si="69">SUM(BD16:BD19)+BD14</f>
        <v>60494.957156488716</v>
      </c>
      <c r="BE20" s="124">
        <f t="shared" si="69"/>
        <v>61533.708295440985</v>
      </c>
      <c r="BF20" s="124">
        <f t="shared" si="69"/>
        <v>62875.44759652979</v>
      </c>
      <c r="BG20" s="125">
        <f t="shared" si="69"/>
        <v>64560.808311041823</v>
      </c>
      <c r="BH20" s="124">
        <f t="shared" ref="BH20:BK20" si="70">SUM(BH16:BH19)+BH14</f>
        <v>65898.646600830238</v>
      </c>
      <c r="BI20" s="124">
        <f t="shared" si="70"/>
        <v>67091.168890542031</v>
      </c>
      <c r="BJ20" s="124">
        <f t="shared" si="70"/>
        <v>68523.143447507216</v>
      </c>
      <c r="BK20" s="125">
        <f t="shared" si="70"/>
        <v>70167.067297190559</v>
      </c>
      <c r="BL20" s="108"/>
      <c r="BM20" s="126">
        <f t="shared" ref="BM20:BX20" si="71">SUM(BM16:BM19)+BM14</f>
        <v>2217</v>
      </c>
      <c r="BN20" s="124">
        <f t="shared" si="71"/>
        <v>1951</v>
      </c>
      <c r="BO20" s="124">
        <f t="shared" si="71"/>
        <v>1871</v>
      </c>
      <c r="BP20" s="124">
        <f t="shared" si="71"/>
        <v>1970</v>
      </c>
      <c r="BQ20" s="124">
        <f t="shared" si="71"/>
        <v>2157</v>
      </c>
      <c r="BR20" s="124">
        <f t="shared" si="71"/>
        <v>2446</v>
      </c>
      <c r="BS20" s="126">
        <f t="shared" si="71"/>
        <v>2862</v>
      </c>
      <c r="BT20" s="124">
        <f t="shared" si="71"/>
        <v>3415</v>
      </c>
      <c r="BU20" s="124">
        <f t="shared" si="71"/>
        <v>10491</v>
      </c>
      <c r="BV20" s="124">
        <f t="shared" si="71"/>
        <v>10592</v>
      </c>
      <c r="BW20" s="124">
        <f t="shared" si="71"/>
        <v>49966</v>
      </c>
      <c r="BX20" s="124">
        <f t="shared" si="71"/>
        <v>54418</v>
      </c>
      <c r="BY20" s="124">
        <f t="shared" ref="BY20:BZ20" si="72">SUM(BY16:BY19)+BY14</f>
        <v>58978.515221875808</v>
      </c>
      <c r="BZ20" s="124">
        <f t="shared" si="72"/>
        <v>64560.808311041823</v>
      </c>
      <c r="CA20" s="125">
        <f t="shared" ref="CA20" si="73">SUM(CA16:CA19)+CA14</f>
        <v>70167.067297190559</v>
      </c>
      <c r="CB20" s="19"/>
      <c r="CC20" s="126">
        <f t="shared" ref="CC20:CM20" si="74">SUM(CC16:CC19)+CC14</f>
        <v>2124</v>
      </c>
      <c r="CD20" s="124">
        <f t="shared" si="74"/>
        <v>1736</v>
      </c>
      <c r="CE20" s="124">
        <f t="shared" si="74"/>
        <v>1824</v>
      </c>
      <c r="CF20" s="124">
        <f t="shared" si="74"/>
        <v>1632</v>
      </c>
      <c r="CG20" s="124">
        <f t="shared" si="74"/>
        <v>1971</v>
      </c>
      <c r="CH20" s="124">
        <f t="shared" si="74"/>
        <v>2444</v>
      </c>
      <c r="CI20" s="126">
        <f t="shared" si="74"/>
        <v>2892</v>
      </c>
      <c r="CJ20" s="124">
        <f t="shared" si="74"/>
        <v>3472</v>
      </c>
      <c r="CK20" s="124">
        <f t="shared" si="74"/>
        <v>10697</v>
      </c>
      <c r="CL20" s="124">
        <f t="shared" si="74"/>
        <v>10777</v>
      </c>
      <c r="CM20" s="124">
        <f t="shared" si="74"/>
        <v>49617</v>
      </c>
      <c r="CN20" s="124">
        <f t="shared" ref="CN20:CO20" si="75">SUM(CN16:CN19)+CN14</f>
        <v>54544</v>
      </c>
      <c r="CO20" s="124">
        <f t="shared" si="75"/>
        <v>60494.957156488716</v>
      </c>
      <c r="CP20" s="125">
        <f t="shared" ref="CP20" si="76">SUM(CP16:CP19)+CP14</f>
        <v>65898.646600830238</v>
      </c>
      <c r="CQ20"/>
      <c r="CX20" s="10"/>
    </row>
    <row r="21" spans="1:102" ht="14.25" customHeight="1">
      <c r="A21" s="7"/>
      <c r="B21" s="21"/>
      <c r="C21" s="22"/>
      <c r="D21" s="77"/>
      <c r="E21" s="78"/>
      <c r="F21" s="78"/>
      <c r="G21" s="79"/>
      <c r="H21" s="77"/>
      <c r="I21" s="78"/>
      <c r="J21" s="78"/>
      <c r="K21" s="79"/>
      <c r="L21" s="77"/>
      <c r="M21" s="78"/>
      <c r="N21" s="78"/>
      <c r="O21" s="79"/>
      <c r="P21" s="77"/>
      <c r="Q21" s="78"/>
      <c r="R21" s="78"/>
      <c r="S21" s="79"/>
      <c r="T21" s="78"/>
      <c r="U21" s="78"/>
      <c r="V21" s="78"/>
      <c r="W21" s="78"/>
      <c r="X21" s="77"/>
      <c r="Y21" s="78"/>
      <c r="Z21" s="78"/>
      <c r="AA21" s="78"/>
      <c r="AB21" s="77"/>
      <c r="AC21" s="78"/>
      <c r="AD21" s="78"/>
      <c r="AE21" s="78"/>
      <c r="AF21" s="77"/>
      <c r="AG21" s="78"/>
      <c r="AH21" s="78"/>
      <c r="AI21" s="78"/>
      <c r="AJ21" s="77"/>
      <c r="AK21" s="78"/>
      <c r="AL21" s="78"/>
      <c r="AM21" s="78"/>
      <c r="AN21" s="77"/>
      <c r="AO21" s="78"/>
      <c r="AP21" s="78"/>
      <c r="AQ21" s="79"/>
      <c r="AR21" s="77"/>
      <c r="AS21" s="78"/>
      <c r="AT21" s="78"/>
      <c r="AU21" s="79"/>
      <c r="AV21" s="77"/>
      <c r="AW21" s="78"/>
      <c r="AX21" s="78"/>
      <c r="AY21" s="79"/>
      <c r="AZ21" s="77"/>
      <c r="BA21" s="78"/>
      <c r="BB21" s="78"/>
      <c r="BC21" s="79"/>
      <c r="BD21" s="77"/>
      <c r="BE21" s="78"/>
      <c r="BF21" s="78"/>
      <c r="BG21" s="1390"/>
      <c r="BH21" s="78"/>
      <c r="BI21" s="78"/>
      <c r="BJ21" s="78"/>
      <c r="BK21" s="79"/>
      <c r="BL21" s="108"/>
      <c r="BM21" s="77"/>
      <c r="BN21" s="78"/>
      <c r="BO21" s="78"/>
      <c r="BP21" s="78"/>
      <c r="BQ21" s="78"/>
      <c r="BR21" s="78"/>
      <c r="BS21" s="77"/>
      <c r="BT21" s="78"/>
      <c r="BU21" s="78"/>
      <c r="BV21" s="78"/>
      <c r="BW21" s="78"/>
      <c r="BX21" s="78"/>
      <c r="BY21" s="78"/>
      <c r="BZ21" s="78"/>
      <c r="CA21" s="1390"/>
      <c r="CB21" s="19"/>
      <c r="CC21" s="77"/>
      <c r="CD21" s="78"/>
      <c r="CE21" s="78"/>
      <c r="CF21" s="78"/>
      <c r="CG21" s="78"/>
      <c r="CH21" s="78"/>
      <c r="CI21" s="69"/>
      <c r="CJ21" s="70"/>
      <c r="CK21" s="70"/>
      <c r="CL21" s="70"/>
      <c r="CM21" s="70"/>
      <c r="CN21" s="70"/>
      <c r="CO21" s="70"/>
      <c r="CP21" s="71"/>
      <c r="CQ21"/>
      <c r="CX21" s="10"/>
    </row>
    <row r="22" spans="1:102" ht="14.25" customHeight="1">
      <c r="A22" s="7"/>
      <c r="B22" s="101" t="s">
        <v>39</v>
      </c>
      <c r="C22" s="102"/>
      <c r="D22" s="77"/>
      <c r="E22" s="78"/>
      <c r="F22" s="78"/>
      <c r="G22" s="79"/>
      <c r="H22" s="77"/>
      <c r="I22" s="78"/>
      <c r="J22" s="78"/>
      <c r="K22" s="79"/>
      <c r="L22" s="77"/>
      <c r="M22" s="78"/>
      <c r="N22" s="78"/>
      <c r="O22" s="79"/>
      <c r="P22" s="77"/>
      <c r="Q22" s="78"/>
      <c r="R22" s="78"/>
      <c r="S22" s="79"/>
      <c r="T22" s="78"/>
      <c r="U22" s="78"/>
      <c r="V22" s="78"/>
      <c r="W22" s="78"/>
      <c r="X22" s="77"/>
      <c r="Y22" s="78"/>
      <c r="Z22" s="78"/>
      <c r="AA22" s="78"/>
      <c r="AB22" s="77"/>
      <c r="AC22" s="78"/>
      <c r="AD22" s="78"/>
      <c r="AE22" s="78"/>
      <c r="AF22" s="77"/>
      <c r="AG22" s="78"/>
      <c r="AH22" s="78"/>
      <c r="AI22" s="78"/>
      <c r="AJ22" s="77"/>
      <c r="AK22" s="78"/>
      <c r="AL22" s="78"/>
      <c r="AM22" s="78"/>
      <c r="AN22" s="77"/>
      <c r="AO22" s="78"/>
      <c r="AP22" s="78"/>
      <c r="AQ22" s="79"/>
      <c r="AR22" s="77"/>
      <c r="AS22" s="78"/>
      <c r="AT22" s="78"/>
      <c r="AU22" s="79"/>
      <c r="AV22" s="77"/>
      <c r="AW22" s="78"/>
      <c r="AX22" s="78"/>
      <c r="AY22" s="79"/>
      <c r="AZ22" s="77"/>
      <c r="BA22" s="78"/>
      <c r="BB22" s="78"/>
      <c r="BC22" s="79"/>
      <c r="BD22" s="77"/>
      <c r="BE22" s="78"/>
      <c r="BF22" s="78"/>
      <c r="BG22" s="1390"/>
      <c r="BH22" s="78"/>
      <c r="BI22" s="78"/>
      <c r="BJ22" s="78"/>
      <c r="BK22" s="79"/>
      <c r="BL22" s="108"/>
      <c r="BM22" s="77"/>
      <c r="BN22" s="78"/>
      <c r="BO22" s="78"/>
      <c r="BP22" s="78"/>
      <c r="BQ22" s="78"/>
      <c r="BR22" s="78"/>
      <c r="BS22" s="77"/>
      <c r="BT22" s="78"/>
      <c r="BU22" s="78"/>
      <c r="BV22" s="78"/>
      <c r="BW22" s="78"/>
      <c r="BX22" s="78"/>
      <c r="BY22" s="78"/>
      <c r="BZ22" s="78"/>
      <c r="CA22" s="1390"/>
      <c r="CB22" s="19"/>
      <c r="CC22" s="77"/>
      <c r="CD22" s="78"/>
      <c r="CE22" s="78"/>
      <c r="CF22" s="78"/>
      <c r="CG22" s="78"/>
      <c r="CH22" s="78"/>
      <c r="CI22" s="77"/>
      <c r="CJ22" s="78"/>
      <c r="CK22" s="78"/>
      <c r="CL22" s="78"/>
      <c r="CM22" s="78"/>
      <c r="CN22" s="78"/>
      <c r="CO22" s="78"/>
      <c r="CP22" s="79"/>
      <c r="CQ22"/>
      <c r="CX22" s="10"/>
    </row>
    <row r="23" spans="1:102" ht="14.25" customHeight="1">
      <c r="A23" s="7"/>
      <c r="B23" s="27" t="s">
        <v>40</v>
      </c>
      <c r="C23" s="28"/>
      <c r="D23" s="77">
        <v>186</v>
      </c>
      <c r="E23" s="78">
        <v>193</v>
      </c>
      <c r="F23" s="78">
        <v>162</v>
      </c>
      <c r="G23" s="79">
        <v>165</v>
      </c>
      <c r="H23" s="77">
        <v>136</v>
      </c>
      <c r="I23" s="78">
        <v>126</v>
      </c>
      <c r="J23" s="78">
        <v>165</v>
      </c>
      <c r="K23" s="79">
        <v>194</v>
      </c>
      <c r="L23" s="77">
        <v>201</v>
      </c>
      <c r="M23" s="78">
        <v>154</v>
      </c>
      <c r="N23" s="78">
        <v>166</v>
      </c>
      <c r="O23" s="79">
        <v>174</v>
      </c>
      <c r="P23" s="77">
        <v>169</v>
      </c>
      <c r="Q23" s="78">
        <v>167</v>
      </c>
      <c r="R23" s="78">
        <v>152</v>
      </c>
      <c r="S23" s="79">
        <v>154</v>
      </c>
      <c r="T23" s="78">
        <v>160</v>
      </c>
      <c r="U23" s="78">
        <v>169</v>
      </c>
      <c r="V23" s="78">
        <v>172</v>
      </c>
      <c r="W23" s="79">
        <v>198</v>
      </c>
      <c r="X23" s="77">
        <v>156</v>
      </c>
      <c r="Y23" s="78">
        <v>206</v>
      </c>
      <c r="Z23" s="78">
        <v>196</v>
      </c>
      <c r="AA23" s="79">
        <v>221</v>
      </c>
      <c r="AB23" s="77">
        <v>222</v>
      </c>
      <c r="AC23" s="78">
        <v>257</v>
      </c>
      <c r="AD23" s="78">
        <v>239</v>
      </c>
      <c r="AE23" s="79">
        <v>248</v>
      </c>
      <c r="AF23" s="77">
        <v>196</v>
      </c>
      <c r="AG23" s="78">
        <v>240</v>
      </c>
      <c r="AH23" s="78">
        <v>266</v>
      </c>
      <c r="AI23" s="79">
        <v>278</v>
      </c>
      <c r="AJ23" s="77">
        <v>257</v>
      </c>
      <c r="AK23" s="78">
        <v>274</v>
      </c>
      <c r="AL23" s="78">
        <v>459</v>
      </c>
      <c r="AM23" s="79">
        <v>515</v>
      </c>
      <c r="AN23" s="77">
        <v>452</v>
      </c>
      <c r="AO23" s="78">
        <v>501</v>
      </c>
      <c r="AP23" s="78">
        <v>501</v>
      </c>
      <c r="AQ23" s="79">
        <v>617</v>
      </c>
      <c r="AR23" s="77">
        <v>523</v>
      </c>
      <c r="AS23" s="78">
        <v>985</v>
      </c>
      <c r="AT23" s="78">
        <v>1127</v>
      </c>
      <c r="AU23" s="79">
        <v>1261</v>
      </c>
      <c r="AV23" s="77">
        <v>1047</v>
      </c>
      <c r="AW23" s="78">
        <v>925</v>
      </c>
      <c r="AX23" s="78">
        <v>1158</v>
      </c>
      <c r="AY23" s="79">
        <v>1105</v>
      </c>
      <c r="AZ23" s="77">
        <v>816</v>
      </c>
      <c r="BA23" s="75">
        <f t="shared" ref="BA23:BC23" si="77">BA47/360*BA52*4</f>
        <v>765.67861777777819</v>
      </c>
      <c r="BB23" s="75">
        <f t="shared" si="77"/>
        <v>817.91252777777754</v>
      </c>
      <c r="BC23" s="76">
        <f t="shared" si="77"/>
        <v>891.35879557288854</v>
      </c>
      <c r="BD23" s="74">
        <f t="shared" ref="BD23:BG23" si="78">BD47/360*BD52*4</f>
        <v>1259.6971433455531</v>
      </c>
      <c r="BE23" s="75">
        <f t="shared" si="78"/>
        <v>1210.985500766865</v>
      </c>
      <c r="BF23" s="75">
        <f t="shared" si="78"/>
        <v>1298.4323836199856</v>
      </c>
      <c r="BG23" s="1388">
        <f t="shared" si="78"/>
        <v>1457.1815245876483</v>
      </c>
      <c r="BH23" s="75">
        <f t="shared" ref="BH23:BK23" si="79">BH47/360*BH52*4</f>
        <v>1384.6057868250641</v>
      </c>
      <c r="BI23" s="75">
        <f t="shared" si="79"/>
        <v>1308.697860313659</v>
      </c>
      <c r="BJ23" s="75">
        <f t="shared" si="79"/>
        <v>1358.2978674453345</v>
      </c>
      <c r="BK23" s="76">
        <f t="shared" si="79"/>
        <v>1448.4423839048118</v>
      </c>
      <c r="BL23" s="108"/>
      <c r="BM23" s="74">
        <f t="shared" ref="BM23:BM28" si="80">G23</f>
        <v>165</v>
      </c>
      <c r="BN23" s="75">
        <f t="shared" ref="BN23:BN28" si="81">K23</f>
        <v>194</v>
      </c>
      <c r="BO23" s="75">
        <f t="shared" ref="BO23:BO28" si="82">O23</f>
        <v>174</v>
      </c>
      <c r="BP23" s="75">
        <f t="shared" ref="BP23:BP28" si="83">S23</f>
        <v>154</v>
      </c>
      <c r="BQ23" s="75">
        <f t="shared" ref="BQ23:BQ28" si="84">W23</f>
        <v>198</v>
      </c>
      <c r="BR23" s="75">
        <f t="shared" ref="BR23:BR28" si="85">AA23</f>
        <v>221</v>
      </c>
      <c r="BS23" s="74">
        <f t="shared" ref="BS23:BS28" si="86">AE23</f>
        <v>248</v>
      </c>
      <c r="BT23" s="75">
        <f t="shared" ref="BT23:BT28" si="87">AI23</f>
        <v>278</v>
      </c>
      <c r="BU23" s="75">
        <f t="shared" ref="BU23:BU28" si="88">AM23</f>
        <v>515</v>
      </c>
      <c r="BV23" s="75">
        <f t="shared" ref="BV23:BV28" si="89">AQ23</f>
        <v>617</v>
      </c>
      <c r="BW23" s="75">
        <f t="shared" ref="BW23:BW28" si="90">AU23</f>
        <v>1261</v>
      </c>
      <c r="BX23" s="75">
        <f t="shared" ref="BX23:BX28" si="91">AY23</f>
        <v>1105</v>
      </c>
      <c r="BY23" s="75">
        <f t="shared" ref="BY23:BY28" si="92">BC23</f>
        <v>891.35879557288854</v>
      </c>
      <c r="BZ23" s="75">
        <f t="shared" ref="BZ23:BZ28" si="93">BG23</f>
        <v>1457.1815245876483</v>
      </c>
      <c r="CA23" s="1388">
        <f t="shared" ref="CA23:CA28" si="94">BK23</f>
        <v>1448.4423839048118</v>
      </c>
      <c r="CB23" s="19"/>
      <c r="CC23" s="74">
        <f t="shared" ref="CC23:CC28" si="95">H23</f>
        <v>136</v>
      </c>
      <c r="CD23" s="75">
        <f t="shared" ref="CD23:CD28" si="96">L23</f>
        <v>201</v>
      </c>
      <c r="CE23" s="75">
        <f t="shared" ref="CE23:CE28" si="97">P23</f>
        <v>169</v>
      </c>
      <c r="CF23" s="75">
        <f t="shared" ref="CF23:CF28" si="98">T23</f>
        <v>160</v>
      </c>
      <c r="CG23" s="75">
        <f t="shared" ref="CG23:CG28" si="99">X23</f>
        <v>156</v>
      </c>
      <c r="CH23" s="75">
        <f t="shared" ref="CH23:CH28" si="100">AB23</f>
        <v>222</v>
      </c>
      <c r="CI23" s="74">
        <f t="shared" ref="CI23:CI28" si="101">AF23</f>
        <v>196</v>
      </c>
      <c r="CJ23" s="75">
        <f t="shared" ref="CJ23:CJ28" si="102">AJ23</f>
        <v>257</v>
      </c>
      <c r="CK23" s="75">
        <f t="shared" ref="CK23:CK28" si="103">AN23</f>
        <v>452</v>
      </c>
      <c r="CL23" s="75">
        <f t="shared" ref="CL23:CL28" si="104">AR23</f>
        <v>523</v>
      </c>
      <c r="CM23" s="75">
        <f t="shared" ref="CM23:CM28" si="105">AV23</f>
        <v>1047</v>
      </c>
      <c r="CN23" s="75">
        <f t="shared" ref="CN23:CN28" si="106">AZ23</f>
        <v>816</v>
      </c>
      <c r="CO23" s="75">
        <f t="shared" ref="CO23:CO28" si="107">BD23</f>
        <v>1259.6971433455531</v>
      </c>
      <c r="CP23" s="76">
        <f t="shared" ref="CP23:CP28" si="108">BH23</f>
        <v>1384.6057868250641</v>
      </c>
      <c r="CQ23"/>
      <c r="CX23" s="10"/>
    </row>
    <row r="24" spans="1:102" ht="14.25" customHeight="1">
      <c r="A24" s="7"/>
      <c r="B24" s="27" t="s">
        <v>161</v>
      </c>
      <c r="C24" s="28"/>
      <c r="D24" s="78">
        <v>34</v>
      </c>
      <c r="E24" s="78">
        <v>51</v>
      </c>
      <c r="F24" s="78">
        <v>64</v>
      </c>
      <c r="G24" s="79">
        <v>68</v>
      </c>
      <c r="H24" s="78">
        <v>42</v>
      </c>
      <c r="I24" s="78">
        <v>46</v>
      </c>
      <c r="J24" s="78">
        <v>50</v>
      </c>
      <c r="K24" s="79">
        <v>56</v>
      </c>
      <c r="L24" s="78">
        <v>40</v>
      </c>
      <c r="M24" s="78">
        <v>54</v>
      </c>
      <c r="N24" s="78">
        <v>70</v>
      </c>
      <c r="O24" s="79">
        <v>74</v>
      </c>
      <c r="P24" s="78">
        <v>43</v>
      </c>
      <c r="Q24" s="78">
        <v>40</v>
      </c>
      <c r="R24" s="78">
        <v>47</v>
      </c>
      <c r="S24" s="79">
        <v>55</v>
      </c>
      <c r="T24" s="78">
        <v>46</v>
      </c>
      <c r="U24" s="78">
        <v>59</v>
      </c>
      <c r="V24" s="78">
        <v>69</v>
      </c>
      <c r="W24" s="78">
        <v>82</v>
      </c>
      <c r="X24" s="77">
        <v>51</v>
      </c>
      <c r="Y24" s="78">
        <v>62</v>
      </c>
      <c r="Z24" s="78">
        <v>88</v>
      </c>
      <c r="AA24" s="78">
        <v>89</v>
      </c>
      <c r="AB24" s="77">
        <v>51</v>
      </c>
      <c r="AC24" s="78">
        <v>57</v>
      </c>
      <c r="AD24" s="78">
        <v>69</v>
      </c>
      <c r="AE24" s="78">
        <v>61</v>
      </c>
      <c r="AF24" s="77">
        <v>48</v>
      </c>
      <c r="AG24" s="78">
        <v>59</v>
      </c>
      <c r="AH24" s="78">
        <v>80</v>
      </c>
      <c r="AI24" s="78">
        <v>98</v>
      </c>
      <c r="AJ24" s="77">
        <v>59</v>
      </c>
      <c r="AK24" s="78">
        <v>86</v>
      </c>
      <c r="AL24" s="78">
        <v>207</v>
      </c>
      <c r="AM24" s="78">
        <v>232</v>
      </c>
      <c r="AN24" s="77">
        <v>132</v>
      </c>
      <c r="AO24" s="78">
        <v>181</v>
      </c>
      <c r="AP24" s="78">
        <v>230</v>
      </c>
      <c r="AQ24" s="79">
        <v>250</v>
      </c>
      <c r="AR24" s="77">
        <v>101</v>
      </c>
      <c r="AS24" s="78">
        <v>303</v>
      </c>
      <c r="AT24" s="78">
        <v>424</v>
      </c>
      <c r="AU24" s="79">
        <v>517</v>
      </c>
      <c r="AV24" s="77">
        <v>336</v>
      </c>
      <c r="AW24" s="78">
        <v>464</v>
      </c>
      <c r="AX24" s="78">
        <v>546</v>
      </c>
      <c r="AY24" s="79">
        <v>626</v>
      </c>
      <c r="AZ24" s="77">
        <v>333</v>
      </c>
      <c r="BA24" s="75">
        <f t="shared" ref="BA24:BA28" si="109">AZ24</f>
        <v>333</v>
      </c>
      <c r="BB24" s="75">
        <f t="shared" ref="BB24:BB28" si="110">BA24</f>
        <v>333</v>
      </c>
      <c r="BC24" s="76">
        <f t="shared" ref="BC24:BC28" si="111">BB24</f>
        <v>333</v>
      </c>
      <c r="BD24" s="74">
        <f t="shared" ref="BD24:BD28" si="112">BC24</f>
        <v>333</v>
      </c>
      <c r="BE24" s="75">
        <f t="shared" ref="BE24:BE28" si="113">BD24</f>
        <v>333</v>
      </c>
      <c r="BF24" s="75">
        <f t="shared" ref="BF24:BF28" si="114">BE24</f>
        <v>333</v>
      </c>
      <c r="BG24" s="1388">
        <f t="shared" ref="BG24:BG28" si="115">BF24</f>
        <v>333</v>
      </c>
      <c r="BH24" s="75">
        <f t="shared" ref="BH24:BH28" si="116">BG24</f>
        <v>333</v>
      </c>
      <c r="BI24" s="75">
        <f t="shared" ref="BI24:BI28" si="117">BH24</f>
        <v>333</v>
      </c>
      <c r="BJ24" s="75">
        <f t="shared" ref="BJ24:BJ28" si="118">BI24</f>
        <v>333</v>
      </c>
      <c r="BK24" s="76">
        <f t="shared" ref="BK24:BK28" si="119">BJ24</f>
        <v>333</v>
      </c>
      <c r="BL24" s="108"/>
      <c r="BM24" s="74">
        <f t="shared" si="80"/>
        <v>68</v>
      </c>
      <c r="BN24" s="75">
        <f t="shared" si="81"/>
        <v>56</v>
      </c>
      <c r="BO24" s="75">
        <f t="shared" si="82"/>
        <v>74</v>
      </c>
      <c r="BP24" s="75">
        <f t="shared" si="83"/>
        <v>55</v>
      </c>
      <c r="BQ24" s="75">
        <f t="shared" si="84"/>
        <v>82</v>
      </c>
      <c r="BR24" s="75">
        <f t="shared" si="85"/>
        <v>89</v>
      </c>
      <c r="BS24" s="74">
        <f t="shared" si="86"/>
        <v>61</v>
      </c>
      <c r="BT24" s="75">
        <f t="shared" si="87"/>
        <v>98</v>
      </c>
      <c r="BU24" s="75">
        <f t="shared" si="88"/>
        <v>232</v>
      </c>
      <c r="BV24" s="75">
        <f t="shared" si="89"/>
        <v>250</v>
      </c>
      <c r="BW24" s="75">
        <f t="shared" si="90"/>
        <v>517</v>
      </c>
      <c r="BX24" s="75">
        <f t="shared" si="91"/>
        <v>626</v>
      </c>
      <c r="BY24" s="75">
        <f t="shared" si="92"/>
        <v>333</v>
      </c>
      <c r="BZ24" s="75">
        <f t="shared" si="93"/>
        <v>333</v>
      </c>
      <c r="CA24" s="1388">
        <f t="shared" si="94"/>
        <v>333</v>
      </c>
      <c r="CB24" s="19"/>
      <c r="CC24" s="74">
        <f t="shared" si="95"/>
        <v>42</v>
      </c>
      <c r="CD24" s="75">
        <f t="shared" si="96"/>
        <v>40</v>
      </c>
      <c r="CE24" s="75">
        <f t="shared" si="97"/>
        <v>43</v>
      </c>
      <c r="CF24" s="75">
        <f t="shared" si="98"/>
        <v>46</v>
      </c>
      <c r="CG24" s="75">
        <f t="shared" si="99"/>
        <v>51</v>
      </c>
      <c r="CH24" s="75">
        <f t="shared" si="100"/>
        <v>51</v>
      </c>
      <c r="CI24" s="74">
        <f t="shared" si="101"/>
        <v>48</v>
      </c>
      <c r="CJ24" s="75">
        <f t="shared" si="102"/>
        <v>59</v>
      </c>
      <c r="CK24" s="75">
        <f t="shared" si="103"/>
        <v>132</v>
      </c>
      <c r="CL24" s="75">
        <f t="shared" si="104"/>
        <v>101</v>
      </c>
      <c r="CM24" s="75">
        <f t="shared" si="105"/>
        <v>336</v>
      </c>
      <c r="CN24" s="75">
        <f t="shared" si="106"/>
        <v>333</v>
      </c>
      <c r="CO24" s="75">
        <f t="shared" si="107"/>
        <v>333</v>
      </c>
      <c r="CP24" s="76">
        <f t="shared" si="108"/>
        <v>333</v>
      </c>
      <c r="CQ24"/>
      <c r="CX24" s="10"/>
    </row>
    <row r="25" spans="1:102" ht="14.25" customHeight="1">
      <c r="A25" s="7"/>
      <c r="B25" s="27" t="s">
        <v>147</v>
      </c>
      <c r="C25" s="28"/>
      <c r="D25" s="78">
        <v>24</v>
      </c>
      <c r="E25" s="78">
        <v>39</v>
      </c>
      <c r="F25" s="78">
        <v>18</v>
      </c>
      <c r="G25" s="79">
        <v>38</v>
      </c>
      <c r="H25" s="78">
        <v>19</v>
      </c>
      <c r="I25" s="78">
        <v>35</v>
      </c>
      <c r="J25" s="78">
        <v>17</v>
      </c>
      <c r="K25" s="79">
        <v>34</v>
      </c>
      <c r="L25" s="78">
        <v>14</v>
      </c>
      <c r="M25" s="78">
        <v>31</v>
      </c>
      <c r="N25" s="78">
        <v>14</v>
      </c>
      <c r="O25" s="79">
        <v>32</v>
      </c>
      <c r="P25" s="78">
        <v>13</v>
      </c>
      <c r="Q25" s="78">
        <v>30</v>
      </c>
      <c r="R25" s="78">
        <v>13</v>
      </c>
      <c r="S25" s="79">
        <v>25</v>
      </c>
      <c r="T25" s="78">
        <v>5</v>
      </c>
      <c r="U25" s="78">
        <v>12</v>
      </c>
      <c r="V25" s="78">
        <v>5</v>
      </c>
      <c r="W25" s="78">
        <v>12</v>
      </c>
      <c r="X25" s="77">
        <v>0</v>
      </c>
      <c r="Y25" s="78">
        <v>0</v>
      </c>
      <c r="Z25" s="78">
        <v>0</v>
      </c>
      <c r="AA25" s="78">
        <v>0</v>
      </c>
      <c r="AB25" s="77">
        <v>0</v>
      </c>
      <c r="AC25" s="78">
        <v>0</v>
      </c>
      <c r="AD25" s="78">
        <v>0</v>
      </c>
      <c r="AE25" s="78">
        <v>0</v>
      </c>
      <c r="AF25" s="77">
        <v>0</v>
      </c>
      <c r="AG25" s="78">
        <v>0</v>
      </c>
      <c r="AH25" s="78">
        <v>0</v>
      </c>
      <c r="AI25" s="78">
        <v>0</v>
      </c>
      <c r="AJ25" s="77">
        <v>0</v>
      </c>
      <c r="AK25" s="78">
        <v>0</v>
      </c>
      <c r="AL25" s="78">
        <v>0</v>
      </c>
      <c r="AM25" s="78">
        <v>0</v>
      </c>
      <c r="AN25" s="77">
        <v>0</v>
      </c>
      <c r="AO25" s="78">
        <v>0</v>
      </c>
      <c r="AP25" s="78">
        <v>0</v>
      </c>
      <c r="AQ25" s="79">
        <v>0</v>
      </c>
      <c r="AR25" s="77">
        <v>0</v>
      </c>
      <c r="AS25" s="78">
        <v>0</v>
      </c>
      <c r="AT25" s="78">
        <v>0</v>
      </c>
      <c r="AU25" s="79">
        <v>0</v>
      </c>
      <c r="AV25" s="77">
        <v>0</v>
      </c>
      <c r="AW25" s="78">
        <v>0</v>
      </c>
      <c r="AX25" s="78">
        <v>0</v>
      </c>
      <c r="AY25" s="79">
        <v>0</v>
      </c>
      <c r="AZ25" s="77">
        <v>0</v>
      </c>
      <c r="BA25" s="75">
        <f t="shared" si="109"/>
        <v>0</v>
      </c>
      <c r="BB25" s="75">
        <f t="shared" si="110"/>
        <v>0</v>
      </c>
      <c r="BC25" s="76">
        <f t="shared" si="111"/>
        <v>0</v>
      </c>
      <c r="BD25" s="74">
        <f t="shared" si="112"/>
        <v>0</v>
      </c>
      <c r="BE25" s="75">
        <f t="shared" si="113"/>
        <v>0</v>
      </c>
      <c r="BF25" s="75">
        <f t="shared" si="114"/>
        <v>0</v>
      </c>
      <c r="BG25" s="1388">
        <f t="shared" si="115"/>
        <v>0</v>
      </c>
      <c r="BH25" s="75">
        <f t="shared" si="116"/>
        <v>0</v>
      </c>
      <c r="BI25" s="75">
        <f t="shared" si="117"/>
        <v>0</v>
      </c>
      <c r="BJ25" s="75">
        <f t="shared" si="118"/>
        <v>0</v>
      </c>
      <c r="BK25" s="76">
        <f t="shared" si="119"/>
        <v>0</v>
      </c>
      <c r="BL25" s="108"/>
      <c r="BM25" s="74">
        <f t="shared" si="80"/>
        <v>38</v>
      </c>
      <c r="BN25" s="75">
        <f t="shared" si="81"/>
        <v>34</v>
      </c>
      <c r="BO25" s="75">
        <f t="shared" si="82"/>
        <v>32</v>
      </c>
      <c r="BP25" s="75">
        <f t="shared" si="83"/>
        <v>25</v>
      </c>
      <c r="BQ25" s="75">
        <f t="shared" si="84"/>
        <v>12</v>
      </c>
      <c r="BR25" s="75">
        <f t="shared" si="85"/>
        <v>0</v>
      </c>
      <c r="BS25" s="74">
        <f t="shared" si="86"/>
        <v>0</v>
      </c>
      <c r="BT25" s="75">
        <f t="shared" si="87"/>
        <v>0</v>
      </c>
      <c r="BU25" s="75">
        <f t="shared" si="88"/>
        <v>0</v>
      </c>
      <c r="BV25" s="75">
        <f t="shared" si="89"/>
        <v>0</v>
      </c>
      <c r="BW25" s="75">
        <f t="shared" si="90"/>
        <v>0</v>
      </c>
      <c r="BX25" s="75">
        <f t="shared" si="91"/>
        <v>0</v>
      </c>
      <c r="BY25" s="75">
        <f t="shared" si="92"/>
        <v>0</v>
      </c>
      <c r="BZ25" s="75">
        <f t="shared" si="93"/>
        <v>0</v>
      </c>
      <c r="CA25" s="1388">
        <f t="shared" si="94"/>
        <v>0</v>
      </c>
      <c r="CB25" s="19"/>
      <c r="CC25" s="74">
        <f t="shared" si="95"/>
        <v>19</v>
      </c>
      <c r="CD25" s="75">
        <f t="shared" si="96"/>
        <v>14</v>
      </c>
      <c r="CE25" s="75">
        <f t="shared" si="97"/>
        <v>13</v>
      </c>
      <c r="CF25" s="75">
        <f t="shared" si="98"/>
        <v>5</v>
      </c>
      <c r="CG25" s="75">
        <f t="shared" si="99"/>
        <v>0</v>
      </c>
      <c r="CH25" s="75">
        <f t="shared" si="100"/>
        <v>0</v>
      </c>
      <c r="CI25" s="74">
        <f t="shared" si="101"/>
        <v>0</v>
      </c>
      <c r="CJ25" s="75">
        <f t="shared" si="102"/>
        <v>0</v>
      </c>
      <c r="CK25" s="75">
        <f t="shared" si="103"/>
        <v>0</v>
      </c>
      <c r="CL25" s="75">
        <f t="shared" si="104"/>
        <v>0</v>
      </c>
      <c r="CM25" s="75">
        <f t="shared" si="105"/>
        <v>0</v>
      </c>
      <c r="CN25" s="75">
        <f t="shared" si="106"/>
        <v>0</v>
      </c>
      <c r="CO25" s="75">
        <f t="shared" si="107"/>
        <v>0</v>
      </c>
      <c r="CP25" s="76">
        <f t="shared" si="108"/>
        <v>0</v>
      </c>
      <c r="CQ25"/>
      <c r="CX25" s="10"/>
    </row>
    <row r="26" spans="1:102" ht="14.25" customHeight="1">
      <c r="A26" s="7"/>
      <c r="B26" s="27" t="s">
        <v>162</v>
      </c>
      <c r="C26" s="28"/>
      <c r="D26" s="78">
        <v>0</v>
      </c>
      <c r="E26" s="78">
        <v>1</v>
      </c>
      <c r="F26" s="78">
        <v>2</v>
      </c>
      <c r="G26" s="79">
        <v>3</v>
      </c>
      <c r="H26" s="78">
        <v>2</v>
      </c>
      <c r="I26" s="78">
        <v>2</v>
      </c>
      <c r="J26" s="78">
        <v>2</v>
      </c>
      <c r="K26" s="79">
        <v>2</v>
      </c>
      <c r="L26" s="78">
        <v>2</v>
      </c>
      <c r="M26" s="78">
        <v>2</v>
      </c>
      <c r="N26" s="78">
        <v>2</v>
      </c>
      <c r="O26" s="79">
        <v>2</v>
      </c>
      <c r="P26" s="78">
        <v>2</v>
      </c>
      <c r="Q26" s="78">
        <v>2</v>
      </c>
      <c r="R26" s="78">
        <v>2</v>
      </c>
      <c r="S26" s="79">
        <v>2</v>
      </c>
      <c r="T26" s="78">
        <v>3</v>
      </c>
      <c r="U26" s="78">
        <v>2</v>
      </c>
      <c r="V26" s="78">
        <v>2</v>
      </c>
      <c r="W26" s="78">
        <v>2</v>
      </c>
      <c r="X26" s="77">
        <v>2</v>
      </c>
      <c r="Y26" s="78">
        <v>2</v>
      </c>
      <c r="Z26" s="78">
        <v>2</v>
      </c>
      <c r="AA26" s="78">
        <v>2</v>
      </c>
      <c r="AB26" s="77">
        <v>2</v>
      </c>
      <c r="AC26" s="78">
        <v>1</v>
      </c>
      <c r="AD26" s="78">
        <v>1</v>
      </c>
      <c r="AE26" s="78">
        <v>1</v>
      </c>
      <c r="AF26" s="77">
        <v>1</v>
      </c>
      <c r="AG26" s="78">
        <v>1</v>
      </c>
      <c r="AH26" s="78">
        <v>2</v>
      </c>
      <c r="AI26" s="78">
        <v>1</v>
      </c>
      <c r="AJ26" s="77">
        <v>1</v>
      </c>
      <c r="AK26" s="78">
        <f>AJ26</f>
        <v>1</v>
      </c>
      <c r="AL26" s="78">
        <v>0</v>
      </c>
      <c r="AM26" s="78"/>
      <c r="AN26" s="77">
        <v>0</v>
      </c>
      <c r="AO26" s="78">
        <f>AN26</f>
        <v>0</v>
      </c>
      <c r="AP26" s="78">
        <v>0</v>
      </c>
      <c r="AQ26" s="79"/>
      <c r="AR26" s="77">
        <v>0</v>
      </c>
      <c r="AS26" s="78">
        <f>AR26</f>
        <v>0</v>
      </c>
      <c r="AT26" s="78">
        <v>0</v>
      </c>
      <c r="AU26" s="79"/>
      <c r="AV26" s="77">
        <v>0</v>
      </c>
      <c r="AW26" s="78">
        <f>AV26</f>
        <v>0</v>
      </c>
      <c r="AX26" s="78">
        <v>0</v>
      </c>
      <c r="AY26" s="79"/>
      <c r="AZ26" s="77">
        <v>0</v>
      </c>
      <c r="BA26" s="75">
        <f t="shared" si="109"/>
        <v>0</v>
      </c>
      <c r="BB26" s="75">
        <f t="shared" si="110"/>
        <v>0</v>
      </c>
      <c r="BC26" s="76">
        <f t="shared" si="111"/>
        <v>0</v>
      </c>
      <c r="BD26" s="74">
        <f t="shared" si="112"/>
        <v>0</v>
      </c>
      <c r="BE26" s="75">
        <f t="shared" si="113"/>
        <v>0</v>
      </c>
      <c r="BF26" s="75">
        <f t="shared" si="114"/>
        <v>0</v>
      </c>
      <c r="BG26" s="1388">
        <f t="shared" si="115"/>
        <v>0</v>
      </c>
      <c r="BH26" s="75">
        <f t="shared" si="116"/>
        <v>0</v>
      </c>
      <c r="BI26" s="75">
        <f t="shared" si="117"/>
        <v>0</v>
      </c>
      <c r="BJ26" s="75">
        <f t="shared" si="118"/>
        <v>0</v>
      </c>
      <c r="BK26" s="76">
        <f t="shared" si="119"/>
        <v>0</v>
      </c>
      <c r="BL26" s="108"/>
      <c r="BM26" s="74">
        <f t="shared" si="80"/>
        <v>3</v>
      </c>
      <c r="BN26" s="75">
        <f t="shared" si="81"/>
        <v>2</v>
      </c>
      <c r="BO26" s="75">
        <f t="shared" si="82"/>
        <v>2</v>
      </c>
      <c r="BP26" s="75">
        <f t="shared" si="83"/>
        <v>2</v>
      </c>
      <c r="BQ26" s="75">
        <f t="shared" si="84"/>
        <v>2</v>
      </c>
      <c r="BR26" s="75">
        <f t="shared" si="85"/>
        <v>2</v>
      </c>
      <c r="BS26" s="74">
        <f t="shared" si="86"/>
        <v>1</v>
      </c>
      <c r="BT26" s="75">
        <f t="shared" si="87"/>
        <v>1</v>
      </c>
      <c r="BU26" s="75">
        <f t="shared" si="88"/>
        <v>0</v>
      </c>
      <c r="BV26" s="75">
        <f t="shared" si="89"/>
        <v>0</v>
      </c>
      <c r="BW26" s="75">
        <f t="shared" si="90"/>
        <v>0</v>
      </c>
      <c r="BX26" s="75">
        <f t="shared" si="91"/>
        <v>0</v>
      </c>
      <c r="BY26" s="75">
        <f t="shared" si="92"/>
        <v>0</v>
      </c>
      <c r="BZ26" s="75">
        <f t="shared" si="93"/>
        <v>0</v>
      </c>
      <c r="CA26" s="1388">
        <f t="shared" si="94"/>
        <v>0</v>
      </c>
      <c r="CB26" s="19"/>
      <c r="CC26" s="74">
        <f t="shared" si="95"/>
        <v>2</v>
      </c>
      <c r="CD26" s="75">
        <f t="shared" si="96"/>
        <v>2</v>
      </c>
      <c r="CE26" s="75">
        <f t="shared" si="97"/>
        <v>2</v>
      </c>
      <c r="CF26" s="75">
        <f t="shared" si="98"/>
        <v>3</v>
      </c>
      <c r="CG26" s="75">
        <f t="shared" si="99"/>
        <v>2</v>
      </c>
      <c r="CH26" s="75">
        <f t="shared" si="100"/>
        <v>2</v>
      </c>
      <c r="CI26" s="74">
        <f t="shared" si="101"/>
        <v>1</v>
      </c>
      <c r="CJ26" s="75">
        <f t="shared" si="102"/>
        <v>1</v>
      </c>
      <c r="CK26" s="75">
        <f t="shared" si="103"/>
        <v>0</v>
      </c>
      <c r="CL26" s="75">
        <f t="shared" si="104"/>
        <v>0</v>
      </c>
      <c r="CM26" s="75">
        <f t="shared" si="105"/>
        <v>0</v>
      </c>
      <c r="CN26" s="75">
        <f t="shared" si="106"/>
        <v>0</v>
      </c>
      <c r="CO26" s="75">
        <f t="shared" si="107"/>
        <v>0</v>
      </c>
      <c r="CP26" s="76">
        <f t="shared" si="108"/>
        <v>0</v>
      </c>
      <c r="CQ26"/>
      <c r="CX26" s="10"/>
    </row>
    <row r="27" spans="1:102" ht="14.25" customHeight="1">
      <c r="A27" s="13"/>
      <c r="B27" s="27" t="s">
        <v>164</v>
      </c>
      <c r="C27" s="28"/>
      <c r="D27" s="78">
        <f>22+3</f>
        <v>25</v>
      </c>
      <c r="E27" s="78">
        <f>22+4</f>
        <v>26</v>
      </c>
      <c r="F27" s="78">
        <v>25</v>
      </c>
      <c r="G27" s="79">
        <v>66</v>
      </c>
      <c r="H27" s="78">
        <v>32</v>
      </c>
      <c r="I27" s="78">
        <v>15</v>
      </c>
      <c r="J27" s="78">
        <v>14</v>
      </c>
      <c r="K27" s="79">
        <v>35</v>
      </c>
      <c r="L27" s="78">
        <v>23</v>
      </c>
      <c r="M27" s="78">
        <v>21</v>
      </c>
      <c r="N27" s="78">
        <v>28</v>
      </c>
      <c r="O27" s="79">
        <v>46</v>
      </c>
      <c r="P27" s="78">
        <v>51</v>
      </c>
      <c r="Q27" s="78">
        <v>43</v>
      </c>
      <c r="R27" s="78">
        <v>37</v>
      </c>
      <c r="S27" s="79">
        <v>33</v>
      </c>
      <c r="T27" s="78">
        <v>34</v>
      </c>
      <c r="U27" s="78">
        <v>39</v>
      </c>
      <c r="V27" s="78">
        <v>37</v>
      </c>
      <c r="W27" s="78">
        <v>41</v>
      </c>
      <c r="X27" s="77">
        <v>28</v>
      </c>
      <c r="Y27" s="78">
        <v>26</v>
      </c>
      <c r="Z27" s="78">
        <v>25</v>
      </c>
      <c r="AA27" s="78">
        <v>38</v>
      </c>
      <c r="AB27" s="77">
        <v>39</v>
      </c>
      <c r="AC27" s="78">
        <v>41</v>
      </c>
      <c r="AD27" s="78">
        <v>33</v>
      </c>
      <c r="AE27" s="78">
        <v>36</v>
      </c>
      <c r="AF27" s="77">
        <v>32</v>
      </c>
      <c r="AG27" s="78">
        <v>30</v>
      </c>
      <c r="AH27" s="78">
        <v>32</v>
      </c>
      <c r="AI27" s="78">
        <v>46</v>
      </c>
      <c r="AJ27" s="77">
        <v>47</v>
      </c>
      <c r="AK27" s="78">
        <f>56-AK26</f>
        <v>55</v>
      </c>
      <c r="AL27" s="78">
        <v>228</v>
      </c>
      <c r="AM27" s="78">
        <v>236</v>
      </c>
      <c r="AN27" s="77">
        <v>215</v>
      </c>
      <c r="AO27" s="78">
        <v>178</v>
      </c>
      <c r="AP27" s="78">
        <v>175</v>
      </c>
      <c r="AQ27" s="79">
        <v>206</v>
      </c>
      <c r="AR27" s="77">
        <v>192</v>
      </c>
      <c r="AS27" s="78">
        <v>1019</v>
      </c>
      <c r="AT27" s="78">
        <v>843</v>
      </c>
      <c r="AU27" s="79">
        <f>531+846</f>
        <v>1377</v>
      </c>
      <c r="AV27" s="77">
        <v>739</v>
      </c>
      <c r="AW27" s="78">
        <v>663</v>
      </c>
      <c r="AX27" s="78">
        <v>514</v>
      </c>
      <c r="AY27" s="79">
        <v>630</v>
      </c>
      <c r="AZ27" s="77">
        <v>704</v>
      </c>
      <c r="BA27" s="75">
        <f t="shared" si="109"/>
        <v>704</v>
      </c>
      <c r="BB27" s="75">
        <f t="shared" si="110"/>
        <v>704</v>
      </c>
      <c r="BC27" s="76">
        <f t="shared" si="111"/>
        <v>704</v>
      </c>
      <c r="BD27" s="74">
        <f t="shared" si="112"/>
        <v>704</v>
      </c>
      <c r="BE27" s="75">
        <f t="shared" si="113"/>
        <v>704</v>
      </c>
      <c r="BF27" s="75">
        <f t="shared" si="114"/>
        <v>704</v>
      </c>
      <c r="BG27" s="1388">
        <f t="shared" si="115"/>
        <v>704</v>
      </c>
      <c r="BH27" s="75">
        <f t="shared" si="116"/>
        <v>704</v>
      </c>
      <c r="BI27" s="75">
        <f t="shared" si="117"/>
        <v>704</v>
      </c>
      <c r="BJ27" s="75">
        <f t="shared" si="118"/>
        <v>704</v>
      </c>
      <c r="BK27" s="76">
        <f t="shared" si="119"/>
        <v>704</v>
      </c>
      <c r="BL27" s="108"/>
      <c r="BM27" s="74">
        <f t="shared" si="80"/>
        <v>66</v>
      </c>
      <c r="BN27" s="75">
        <f t="shared" si="81"/>
        <v>35</v>
      </c>
      <c r="BO27" s="75">
        <f t="shared" si="82"/>
        <v>46</v>
      </c>
      <c r="BP27" s="75">
        <f t="shared" si="83"/>
        <v>33</v>
      </c>
      <c r="BQ27" s="75">
        <f t="shared" si="84"/>
        <v>41</v>
      </c>
      <c r="BR27" s="75">
        <f t="shared" si="85"/>
        <v>38</v>
      </c>
      <c r="BS27" s="74">
        <f t="shared" si="86"/>
        <v>36</v>
      </c>
      <c r="BT27" s="75">
        <f t="shared" si="87"/>
        <v>46</v>
      </c>
      <c r="BU27" s="75">
        <f t="shared" si="88"/>
        <v>236</v>
      </c>
      <c r="BV27" s="75">
        <f t="shared" si="89"/>
        <v>206</v>
      </c>
      <c r="BW27" s="75">
        <f t="shared" si="90"/>
        <v>1377</v>
      </c>
      <c r="BX27" s="75">
        <f t="shared" si="91"/>
        <v>630</v>
      </c>
      <c r="BY27" s="75">
        <f t="shared" si="92"/>
        <v>704</v>
      </c>
      <c r="BZ27" s="75">
        <f t="shared" si="93"/>
        <v>704</v>
      </c>
      <c r="CA27" s="1388">
        <f t="shared" si="94"/>
        <v>704</v>
      </c>
      <c r="CB27" s="19"/>
      <c r="CC27" s="74">
        <f t="shared" si="95"/>
        <v>32</v>
      </c>
      <c r="CD27" s="75">
        <f t="shared" si="96"/>
        <v>23</v>
      </c>
      <c r="CE27" s="75">
        <f t="shared" si="97"/>
        <v>51</v>
      </c>
      <c r="CF27" s="75">
        <f t="shared" si="98"/>
        <v>34</v>
      </c>
      <c r="CG27" s="75">
        <f t="shared" si="99"/>
        <v>28</v>
      </c>
      <c r="CH27" s="75">
        <f t="shared" si="100"/>
        <v>39</v>
      </c>
      <c r="CI27" s="74">
        <f t="shared" si="101"/>
        <v>32</v>
      </c>
      <c r="CJ27" s="75">
        <f t="shared" si="102"/>
        <v>47</v>
      </c>
      <c r="CK27" s="75">
        <f t="shared" si="103"/>
        <v>215</v>
      </c>
      <c r="CL27" s="75">
        <f t="shared" si="104"/>
        <v>192</v>
      </c>
      <c r="CM27" s="75">
        <f t="shared" si="105"/>
        <v>739</v>
      </c>
      <c r="CN27" s="75">
        <f t="shared" si="106"/>
        <v>704</v>
      </c>
      <c r="CO27" s="75">
        <f t="shared" si="107"/>
        <v>704</v>
      </c>
      <c r="CP27" s="76">
        <f t="shared" si="108"/>
        <v>704</v>
      </c>
      <c r="CQ27"/>
      <c r="CX27" s="10"/>
    </row>
    <row r="28" spans="1:102" ht="14.25" customHeight="1">
      <c r="A28" s="7"/>
      <c r="B28" s="109" t="s">
        <v>137</v>
      </c>
      <c r="C28" s="110"/>
      <c r="D28" s="78">
        <v>724</v>
      </c>
      <c r="E28" s="78">
        <v>249</v>
      </c>
      <c r="F28" s="78">
        <v>0</v>
      </c>
      <c r="G28" s="79">
        <v>0</v>
      </c>
      <c r="H28" s="78">
        <v>0</v>
      </c>
      <c r="I28" s="78">
        <v>0</v>
      </c>
      <c r="J28" s="78">
        <v>0</v>
      </c>
      <c r="K28" s="79">
        <v>0</v>
      </c>
      <c r="L28" s="78">
        <v>0</v>
      </c>
      <c r="M28" s="78">
        <v>0</v>
      </c>
      <c r="N28" s="78">
        <v>0</v>
      </c>
      <c r="O28" s="79"/>
      <c r="P28" s="78"/>
      <c r="Q28" s="78"/>
      <c r="R28" s="78"/>
      <c r="S28" s="79">
        <v>364</v>
      </c>
      <c r="T28" s="78">
        <v>0</v>
      </c>
      <c r="U28" s="78">
        <v>0</v>
      </c>
      <c r="V28" s="78">
        <v>0</v>
      </c>
      <c r="W28" s="78">
        <v>230</v>
      </c>
      <c r="X28" s="77">
        <v>0</v>
      </c>
      <c r="Y28" s="78">
        <v>0</v>
      </c>
      <c r="Z28" s="78">
        <v>0</v>
      </c>
      <c r="AA28" s="78">
        <v>0</v>
      </c>
      <c r="AB28" s="77">
        <v>0</v>
      </c>
      <c r="AC28" s="78">
        <v>0</v>
      </c>
      <c r="AD28" s="78">
        <v>0</v>
      </c>
      <c r="AE28" s="78">
        <v>0</v>
      </c>
      <c r="AF28" s="77">
        <v>0</v>
      </c>
      <c r="AG28" s="78">
        <v>0</v>
      </c>
      <c r="AH28" s="78">
        <v>0</v>
      </c>
      <c r="AI28" s="78">
        <v>0</v>
      </c>
      <c r="AJ28" s="77">
        <v>0</v>
      </c>
      <c r="AK28" s="78">
        <v>0</v>
      </c>
      <c r="AL28" s="78">
        <v>46</v>
      </c>
      <c r="AM28" s="78">
        <v>46</v>
      </c>
      <c r="AN28" s="77">
        <v>46</v>
      </c>
      <c r="AO28" s="78">
        <v>46</v>
      </c>
      <c r="AP28" s="78">
        <v>46</v>
      </c>
      <c r="AQ28" s="79">
        <v>46</v>
      </c>
      <c r="AR28" s="77">
        <v>46</v>
      </c>
      <c r="AS28" s="78">
        <v>344</v>
      </c>
      <c r="AT28" s="78">
        <v>334</v>
      </c>
      <c r="AU28" s="79">
        <v>454</v>
      </c>
      <c r="AV28" s="77">
        <v>0</v>
      </c>
      <c r="AW28" s="78">
        <v>0</v>
      </c>
      <c r="AX28" s="78">
        <v>0</v>
      </c>
      <c r="AY28" s="79">
        <v>117</v>
      </c>
      <c r="AZ28" s="77">
        <v>117</v>
      </c>
      <c r="BA28" s="75">
        <f t="shared" si="109"/>
        <v>117</v>
      </c>
      <c r="BB28" s="75">
        <f t="shared" si="110"/>
        <v>117</v>
      </c>
      <c r="BC28" s="76">
        <f t="shared" si="111"/>
        <v>117</v>
      </c>
      <c r="BD28" s="74">
        <f t="shared" si="112"/>
        <v>117</v>
      </c>
      <c r="BE28" s="75">
        <f t="shared" si="113"/>
        <v>117</v>
      </c>
      <c r="BF28" s="75">
        <f t="shared" si="114"/>
        <v>117</v>
      </c>
      <c r="BG28" s="1388">
        <f t="shared" si="115"/>
        <v>117</v>
      </c>
      <c r="BH28" s="75">
        <f t="shared" si="116"/>
        <v>117</v>
      </c>
      <c r="BI28" s="75">
        <f t="shared" si="117"/>
        <v>117</v>
      </c>
      <c r="BJ28" s="75">
        <f t="shared" si="118"/>
        <v>117</v>
      </c>
      <c r="BK28" s="76">
        <f t="shared" si="119"/>
        <v>117</v>
      </c>
      <c r="BL28" s="108"/>
      <c r="BM28" s="327">
        <f t="shared" si="80"/>
        <v>0</v>
      </c>
      <c r="BN28" s="111">
        <f t="shared" si="81"/>
        <v>0</v>
      </c>
      <c r="BO28" s="111">
        <f t="shared" si="82"/>
        <v>0</v>
      </c>
      <c r="BP28" s="111">
        <f t="shared" si="83"/>
        <v>364</v>
      </c>
      <c r="BQ28" s="111">
        <f t="shared" si="84"/>
        <v>230</v>
      </c>
      <c r="BR28" s="111">
        <f t="shared" si="85"/>
        <v>0</v>
      </c>
      <c r="BS28" s="327">
        <f t="shared" si="86"/>
        <v>0</v>
      </c>
      <c r="BT28" s="111">
        <f t="shared" si="87"/>
        <v>0</v>
      </c>
      <c r="BU28" s="111">
        <f t="shared" si="88"/>
        <v>46</v>
      </c>
      <c r="BV28" s="111">
        <f t="shared" si="89"/>
        <v>46</v>
      </c>
      <c r="BW28" s="111">
        <f t="shared" si="90"/>
        <v>454</v>
      </c>
      <c r="BX28" s="111">
        <f t="shared" si="91"/>
        <v>117</v>
      </c>
      <c r="BY28" s="111">
        <f t="shared" si="92"/>
        <v>117</v>
      </c>
      <c r="BZ28" s="111">
        <f t="shared" si="93"/>
        <v>117</v>
      </c>
      <c r="CA28" s="112">
        <f t="shared" si="94"/>
        <v>117</v>
      </c>
      <c r="CB28" s="19"/>
      <c r="CC28" s="327">
        <f t="shared" si="95"/>
        <v>0</v>
      </c>
      <c r="CD28" s="111">
        <f t="shared" si="96"/>
        <v>0</v>
      </c>
      <c r="CE28" s="111">
        <f t="shared" si="97"/>
        <v>0</v>
      </c>
      <c r="CF28" s="111">
        <f t="shared" si="98"/>
        <v>0</v>
      </c>
      <c r="CG28" s="111">
        <f t="shared" si="99"/>
        <v>0</v>
      </c>
      <c r="CH28" s="111">
        <f t="shared" si="100"/>
        <v>0</v>
      </c>
      <c r="CI28" s="74">
        <f t="shared" si="101"/>
        <v>0</v>
      </c>
      <c r="CJ28" s="75">
        <f t="shared" si="102"/>
        <v>0</v>
      </c>
      <c r="CK28" s="75">
        <f t="shared" si="103"/>
        <v>46</v>
      </c>
      <c r="CL28" s="75">
        <f t="shared" si="104"/>
        <v>46</v>
      </c>
      <c r="CM28" s="75">
        <f t="shared" si="105"/>
        <v>0</v>
      </c>
      <c r="CN28" s="75">
        <f t="shared" si="106"/>
        <v>117</v>
      </c>
      <c r="CO28" s="75">
        <f t="shared" si="107"/>
        <v>117</v>
      </c>
      <c r="CP28" s="76">
        <f t="shared" si="108"/>
        <v>117</v>
      </c>
      <c r="CQ28"/>
      <c r="CX28" s="10"/>
    </row>
    <row r="29" spans="1:102" ht="14.25" customHeight="1">
      <c r="A29" s="7"/>
      <c r="B29" s="127" t="s">
        <v>41</v>
      </c>
      <c r="C29" s="128"/>
      <c r="D29" s="117">
        <f t="shared" ref="D29:AK29" si="120">SUM(D23:D28)</f>
        <v>993</v>
      </c>
      <c r="E29" s="115">
        <f t="shared" si="120"/>
        <v>559</v>
      </c>
      <c r="F29" s="115">
        <f t="shared" si="120"/>
        <v>271</v>
      </c>
      <c r="G29" s="116">
        <f t="shared" si="120"/>
        <v>340</v>
      </c>
      <c r="H29" s="117">
        <f t="shared" si="120"/>
        <v>231</v>
      </c>
      <c r="I29" s="115">
        <f t="shared" si="120"/>
        <v>224</v>
      </c>
      <c r="J29" s="115">
        <f t="shared" si="120"/>
        <v>248</v>
      </c>
      <c r="K29" s="116">
        <f t="shared" si="120"/>
        <v>321</v>
      </c>
      <c r="L29" s="117">
        <f t="shared" si="120"/>
        <v>280</v>
      </c>
      <c r="M29" s="115">
        <f t="shared" si="120"/>
        <v>262</v>
      </c>
      <c r="N29" s="115">
        <f t="shared" si="120"/>
        <v>280</v>
      </c>
      <c r="O29" s="116">
        <f t="shared" si="120"/>
        <v>328</v>
      </c>
      <c r="P29" s="117">
        <f t="shared" si="120"/>
        <v>278</v>
      </c>
      <c r="Q29" s="115">
        <f t="shared" si="120"/>
        <v>282</v>
      </c>
      <c r="R29" s="115">
        <f t="shared" si="120"/>
        <v>251</v>
      </c>
      <c r="S29" s="116">
        <f t="shared" si="120"/>
        <v>633</v>
      </c>
      <c r="T29" s="115">
        <f t="shared" si="120"/>
        <v>248</v>
      </c>
      <c r="U29" s="115">
        <f t="shared" si="120"/>
        <v>281</v>
      </c>
      <c r="V29" s="115">
        <f t="shared" si="120"/>
        <v>285</v>
      </c>
      <c r="W29" s="116">
        <f t="shared" si="120"/>
        <v>565</v>
      </c>
      <c r="X29" s="117">
        <f t="shared" si="120"/>
        <v>237</v>
      </c>
      <c r="Y29" s="115">
        <f t="shared" si="120"/>
        <v>296</v>
      </c>
      <c r="Z29" s="115">
        <f t="shared" si="120"/>
        <v>311</v>
      </c>
      <c r="AA29" s="116">
        <f t="shared" si="120"/>
        <v>350</v>
      </c>
      <c r="AB29" s="117">
        <f t="shared" si="120"/>
        <v>314</v>
      </c>
      <c r="AC29" s="115">
        <f t="shared" si="120"/>
        <v>356</v>
      </c>
      <c r="AD29" s="115">
        <f t="shared" si="120"/>
        <v>342</v>
      </c>
      <c r="AE29" s="116">
        <f t="shared" si="120"/>
        <v>346</v>
      </c>
      <c r="AF29" s="117">
        <f t="shared" si="120"/>
        <v>277</v>
      </c>
      <c r="AG29" s="115">
        <f t="shared" si="120"/>
        <v>330</v>
      </c>
      <c r="AH29" s="115">
        <f t="shared" si="120"/>
        <v>380</v>
      </c>
      <c r="AI29" s="116">
        <f t="shared" si="120"/>
        <v>423</v>
      </c>
      <c r="AJ29" s="117">
        <f t="shared" si="120"/>
        <v>364</v>
      </c>
      <c r="AK29" s="115">
        <f t="shared" si="120"/>
        <v>416</v>
      </c>
      <c r="AL29" s="115">
        <f>SUM(AL23:AL28)</f>
        <v>940</v>
      </c>
      <c r="AM29" s="116">
        <f>SUM(AM23:AM28)</f>
        <v>1029</v>
      </c>
      <c r="AN29" s="117">
        <f>SUM(AN23:AN28)</f>
        <v>845</v>
      </c>
      <c r="AO29" s="115">
        <f t="shared" ref="AO29" si="121">SUM(AO23:AO28)</f>
        <v>906</v>
      </c>
      <c r="AP29" s="115">
        <f>SUM(AP23:AP28)</f>
        <v>952</v>
      </c>
      <c r="AQ29" s="116">
        <f>SUM(AQ23:AQ28)</f>
        <v>1119</v>
      </c>
      <c r="AR29" s="117">
        <f>SUM(AR23:AR28)</f>
        <v>862</v>
      </c>
      <c r="AS29" s="115">
        <f t="shared" ref="AS29" si="122">SUM(AS23:AS28)</f>
        <v>2651</v>
      </c>
      <c r="AT29" s="115">
        <f>SUM(AT23:AT28)</f>
        <v>2728</v>
      </c>
      <c r="AU29" s="116">
        <f>SUM(AU23:AU28)</f>
        <v>3609</v>
      </c>
      <c r="AV29" s="117">
        <f>SUM(AV23:AV28)</f>
        <v>2122</v>
      </c>
      <c r="AW29" s="115">
        <f t="shared" ref="AW29" si="123">SUM(AW23:AW28)</f>
        <v>2052</v>
      </c>
      <c r="AX29" s="115">
        <f>SUM(AX23:AX28)</f>
        <v>2218</v>
      </c>
      <c r="AY29" s="116">
        <f>SUM(AY23:AY28)</f>
        <v>2478</v>
      </c>
      <c r="AZ29" s="117">
        <f>SUM(AZ23:AZ28)</f>
        <v>1970</v>
      </c>
      <c r="BA29" s="115">
        <f t="shared" ref="BA29:BC29" si="124">SUM(BA23:BA28)</f>
        <v>1919.6786177777781</v>
      </c>
      <c r="BB29" s="115">
        <f t="shared" si="124"/>
        <v>1971.9125277777775</v>
      </c>
      <c r="BC29" s="116">
        <f t="shared" si="124"/>
        <v>2045.3587955728885</v>
      </c>
      <c r="BD29" s="117">
        <f t="shared" ref="BD29:BG29" si="125">SUM(BD23:BD28)</f>
        <v>2413.6971433455528</v>
      </c>
      <c r="BE29" s="115">
        <f t="shared" si="125"/>
        <v>2364.9855007668648</v>
      </c>
      <c r="BF29" s="115">
        <f t="shared" si="125"/>
        <v>2452.4323836199856</v>
      </c>
      <c r="BG29" s="116">
        <f t="shared" si="125"/>
        <v>2611.1815245876483</v>
      </c>
      <c r="BH29" s="115">
        <f t="shared" ref="BH29:BK29" si="126">SUM(BH23:BH28)</f>
        <v>2538.6057868250641</v>
      </c>
      <c r="BI29" s="115">
        <f t="shared" si="126"/>
        <v>2462.697860313659</v>
      </c>
      <c r="BJ29" s="115">
        <f t="shared" si="126"/>
        <v>2512.2978674453343</v>
      </c>
      <c r="BK29" s="116">
        <f t="shared" si="126"/>
        <v>2602.4423839048118</v>
      </c>
      <c r="BL29" s="108"/>
      <c r="BM29" s="118">
        <f t="shared" ref="BM29:BW29" si="127">SUM(BM23:BM28)</f>
        <v>340</v>
      </c>
      <c r="BN29" s="118">
        <f t="shared" si="127"/>
        <v>321</v>
      </c>
      <c r="BO29" s="118">
        <f t="shared" si="127"/>
        <v>328</v>
      </c>
      <c r="BP29" s="118">
        <f t="shared" si="127"/>
        <v>633</v>
      </c>
      <c r="BQ29" s="118">
        <f t="shared" si="127"/>
        <v>565</v>
      </c>
      <c r="BR29" s="118">
        <f t="shared" si="127"/>
        <v>350</v>
      </c>
      <c r="BS29" s="132">
        <f t="shared" si="127"/>
        <v>346</v>
      </c>
      <c r="BT29" s="118">
        <f t="shared" si="127"/>
        <v>423</v>
      </c>
      <c r="BU29" s="118">
        <f t="shared" si="127"/>
        <v>1029</v>
      </c>
      <c r="BV29" s="118">
        <f t="shared" si="127"/>
        <v>1119</v>
      </c>
      <c r="BW29" s="118">
        <f t="shared" si="127"/>
        <v>3609</v>
      </c>
      <c r="BX29" s="118">
        <f>SUM(BX23:BX28)</f>
        <v>2478</v>
      </c>
      <c r="BY29" s="118">
        <f>SUM(BY23:BY28)</f>
        <v>2045.3587955728885</v>
      </c>
      <c r="BZ29" s="118">
        <f>SUM(BZ23:BZ28)</f>
        <v>2611.1815245876483</v>
      </c>
      <c r="CA29" s="1456">
        <f>SUM(CA23:CA28)</f>
        <v>2602.4423839048118</v>
      </c>
      <c r="CB29" s="19"/>
      <c r="CC29" s="126">
        <f t="shared" ref="CC29:CJ29" si="128">SUM(CC23:CC28)</f>
        <v>231</v>
      </c>
      <c r="CD29" s="124">
        <f t="shared" si="128"/>
        <v>280</v>
      </c>
      <c r="CE29" s="124">
        <f t="shared" si="128"/>
        <v>278</v>
      </c>
      <c r="CF29" s="124">
        <f t="shared" si="128"/>
        <v>248</v>
      </c>
      <c r="CG29" s="124">
        <f t="shared" si="128"/>
        <v>237</v>
      </c>
      <c r="CH29" s="125">
        <f t="shared" si="128"/>
        <v>314</v>
      </c>
      <c r="CI29" s="126">
        <f t="shared" si="128"/>
        <v>277</v>
      </c>
      <c r="CJ29" s="124">
        <f t="shared" si="128"/>
        <v>364</v>
      </c>
      <c r="CK29" s="124">
        <f t="shared" ref="CK29:CP29" si="129">SUM(CK23:CK28)</f>
        <v>845</v>
      </c>
      <c r="CL29" s="124">
        <f t="shared" si="129"/>
        <v>862</v>
      </c>
      <c r="CM29" s="124">
        <f t="shared" si="129"/>
        <v>2122</v>
      </c>
      <c r="CN29" s="124">
        <f t="shared" si="129"/>
        <v>1970</v>
      </c>
      <c r="CO29" s="124">
        <f t="shared" si="129"/>
        <v>2413.6971433455528</v>
      </c>
      <c r="CP29" s="125">
        <f t="shared" si="129"/>
        <v>2538.6057868250641</v>
      </c>
      <c r="CQ29"/>
      <c r="CX29" s="7"/>
    </row>
    <row r="30" spans="1:102" ht="14.25" customHeight="1">
      <c r="A30" s="7"/>
      <c r="B30" s="21"/>
      <c r="C30" s="22"/>
      <c r="D30" s="77"/>
      <c r="E30" s="78"/>
      <c r="F30" s="78"/>
      <c r="G30" s="79"/>
      <c r="H30" s="77"/>
      <c r="I30" s="78"/>
      <c r="J30" s="78"/>
      <c r="K30" s="79"/>
      <c r="L30" s="77"/>
      <c r="M30" s="78"/>
      <c r="N30" s="78"/>
      <c r="O30" s="79"/>
      <c r="P30" s="77"/>
      <c r="Q30" s="78"/>
      <c r="R30" s="78"/>
      <c r="S30" s="79"/>
      <c r="T30" s="78"/>
      <c r="U30" s="78"/>
      <c r="V30" s="78"/>
      <c r="W30" s="78"/>
      <c r="X30" s="77"/>
      <c r="Y30" s="78"/>
      <c r="Z30" s="78"/>
      <c r="AA30" s="78"/>
      <c r="AB30" s="77"/>
      <c r="AC30" s="78"/>
      <c r="AD30" s="78"/>
      <c r="AE30" s="78"/>
      <c r="AF30" s="77"/>
      <c r="AG30" s="78"/>
      <c r="AH30" s="78"/>
      <c r="AI30" s="78"/>
      <c r="AJ30" s="77"/>
      <c r="AK30" s="78"/>
      <c r="AL30" s="78"/>
      <c r="AM30" s="78"/>
      <c r="AN30" s="77"/>
      <c r="AO30" s="78"/>
      <c r="AP30" s="78"/>
      <c r="AQ30" s="79"/>
      <c r="AR30" s="77"/>
      <c r="AS30" s="78"/>
      <c r="AT30" s="78"/>
      <c r="AU30" s="79"/>
      <c r="AV30" s="77"/>
      <c r="AW30" s="78"/>
      <c r="AX30" s="78"/>
      <c r="AY30" s="79"/>
      <c r="AZ30" s="77"/>
      <c r="BA30" s="78"/>
      <c r="BB30" s="78"/>
      <c r="BC30" s="79"/>
      <c r="BD30" s="77"/>
      <c r="BE30" s="78"/>
      <c r="BF30" s="78"/>
      <c r="BG30" s="1390"/>
      <c r="BH30" s="78"/>
      <c r="BI30" s="78"/>
      <c r="BJ30" s="78"/>
      <c r="BK30" s="79"/>
      <c r="BL30" s="108"/>
      <c r="BM30" s="78"/>
      <c r="BN30" s="78"/>
      <c r="BO30" s="78"/>
      <c r="BP30" s="78"/>
      <c r="BQ30" s="78"/>
      <c r="BR30" s="78"/>
      <c r="BS30" s="77"/>
      <c r="BT30" s="78"/>
      <c r="BU30" s="78"/>
      <c r="BV30" s="78"/>
      <c r="BW30" s="78"/>
      <c r="BX30" s="78"/>
      <c r="BY30" s="78"/>
      <c r="BZ30" s="78"/>
      <c r="CA30" s="1390"/>
      <c r="CB30" s="19"/>
      <c r="CC30" s="77"/>
      <c r="CD30" s="78"/>
      <c r="CE30" s="78"/>
      <c r="CF30" s="78"/>
      <c r="CG30" s="78"/>
      <c r="CH30" s="78"/>
      <c r="CI30" s="69"/>
      <c r="CJ30" s="70"/>
      <c r="CK30" s="70"/>
      <c r="CL30" s="70"/>
      <c r="CM30" s="70"/>
      <c r="CN30" s="70"/>
      <c r="CO30" s="70"/>
      <c r="CP30" s="71"/>
      <c r="CQ30"/>
      <c r="CX30" s="7"/>
    </row>
    <row r="31" spans="1:102" ht="14.25" customHeight="1">
      <c r="A31" s="7"/>
      <c r="B31" s="27" t="s">
        <v>126</v>
      </c>
      <c r="C31" s="28"/>
      <c r="D31" s="77">
        <v>1000</v>
      </c>
      <c r="E31" s="78">
        <v>1000</v>
      </c>
      <c r="F31" s="78">
        <v>1000</v>
      </c>
      <c r="G31" s="79">
        <v>1000</v>
      </c>
      <c r="H31" s="77">
        <v>1000</v>
      </c>
      <c r="I31" s="78">
        <v>923</v>
      </c>
      <c r="J31" s="78">
        <v>917</v>
      </c>
      <c r="K31" s="79">
        <v>903</v>
      </c>
      <c r="L31" s="77">
        <v>705</v>
      </c>
      <c r="M31" s="78">
        <v>705</v>
      </c>
      <c r="N31" s="78">
        <v>703</v>
      </c>
      <c r="O31" s="79">
        <v>703</v>
      </c>
      <c r="P31" s="77">
        <v>700</v>
      </c>
      <c r="Q31" s="78">
        <v>700</v>
      </c>
      <c r="R31" s="78">
        <v>700</v>
      </c>
      <c r="S31" s="79">
        <v>230</v>
      </c>
      <c r="T31" s="78">
        <v>230</v>
      </c>
      <c r="U31" s="78">
        <v>230</v>
      </c>
      <c r="V31" s="78">
        <v>230</v>
      </c>
      <c r="W31" s="79">
        <v>0</v>
      </c>
      <c r="X31" s="78">
        <v>0</v>
      </c>
      <c r="Y31" s="78">
        <v>0</v>
      </c>
      <c r="Z31" s="78">
        <v>0</v>
      </c>
      <c r="AA31" s="79">
        <v>0</v>
      </c>
      <c r="AB31" s="78">
        <v>0</v>
      </c>
      <c r="AC31" s="78">
        <v>0</v>
      </c>
      <c r="AD31" s="78">
        <v>0</v>
      </c>
      <c r="AE31" s="79">
        <v>0</v>
      </c>
      <c r="AF31" s="78">
        <v>0</v>
      </c>
      <c r="AG31" s="78">
        <v>0</v>
      </c>
      <c r="AH31" s="78">
        <v>0</v>
      </c>
      <c r="AI31" s="79">
        <v>0</v>
      </c>
      <c r="AJ31" s="78">
        <v>0</v>
      </c>
      <c r="AK31" s="78">
        <v>0</v>
      </c>
      <c r="AL31" s="78">
        <v>5472</v>
      </c>
      <c r="AM31" s="79">
        <f>5463</f>
        <v>5463</v>
      </c>
      <c r="AN31" s="77">
        <f>4531+923</f>
        <v>5454</v>
      </c>
      <c r="AO31" s="78">
        <f>3926+926</f>
        <v>4852</v>
      </c>
      <c r="AP31" s="78">
        <v>3915</v>
      </c>
      <c r="AQ31" s="79">
        <v>3903</v>
      </c>
      <c r="AR31" s="77">
        <v>3892</v>
      </c>
      <c r="AS31" s="78">
        <v>14664</v>
      </c>
      <c r="AT31" s="78">
        <v>13381</v>
      </c>
      <c r="AU31" s="79">
        <v>13188</v>
      </c>
      <c r="AV31" s="77">
        <v>13562</v>
      </c>
      <c r="AW31" s="78">
        <v>13567</v>
      </c>
      <c r="AX31" s="78">
        <v>13572</v>
      </c>
      <c r="AY31" s="79">
        <v>17431</v>
      </c>
      <c r="AZ31" s="77">
        <v>17475</v>
      </c>
      <c r="BA31" s="75">
        <f t="shared" ref="BA31:BC31" si="130">AZ31</f>
        <v>17475</v>
      </c>
      <c r="BB31" s="75">
        <f t="shared" si="130"/>
        <v>17475</v>
      </c>
      <c r="BC31" s="76">
        <f t="shared" si="130"/>
        <v>17475</v>
      </c>
      <c r="BD31" s="74">
        <f>BC31</f>
        <v>17475</v>
      </c>
      <c r="BE31" s="75">
        <f t="shared" ref="BE31:BE34" si="131">BD31</f>
        <v>17475</v>
      </c>
      <c r="BF31" s="75">
        <f t="shared" ref="BF31:BF34" si="132">BE31</f>
        <v>17475</v>
      </c>
      <c r="BG31" s="1388">
        <f t="shared" ref="BG31:BG34" si="133">BF31</f>
        <v>17475</v>
      </c>
      <c r="BH31" s="75">
        <f>BG31</f>
        <v>17475</v>
      </c>
      <c r="BI31" s="75">
        <f t="shared" ref="BI31:BI34" si="134">BH31</f>
        <v>17475</v>
      </c>
      <c r="BJ31" s="75">
        <f t="shared" ref="BJ31:BJ34" si="135">BI31</f>
        <v>17475</v>
      </c>
      <c r="BK31" s="76">
        <f t="shared" ref="BK31:BK34" si="136">BJ31</f>
        <v>17475</v>
      </c>
      <c r="BL31" s="108"/>
      <c r="BM31" s="75">
        <f>G31</f>
        <v>1000</v>
      </c>
      <c r="BN31" s="75">
        <f>K31</f>
        <v>903</v>
      </c>
      <c r="BO31" s="75">
        <f>O31</f>
        <v>703</v>
      </c>
      <c r="BP31" s="75">
        <f>S31</f>
        <v>230</v>
      </c>
      <c r="BQ31" s="75">
        <f>W31</f>
        <v>0</v>
      </c>
      <c r="BR31" s="75">
        <f>AA31</f>
        <v>0</v>
      </c>
      <c r="BS31" s="74">
        <f>AE31</f>
        <v>0</v>
      </c>
      <c r="BT31" s="75">
        <f>AI31</f>
        <v>0</v>
      </c>
      <c r="BU31" s="75">
        <f>AM31</f>
        <v>5463</v>
      </c>
      <c r="BV31" s="75">
        <f>AQ31</f>
        <v>3903</v>
      </c>
      <c r="BW31" s="75">
        <f>AU31</f>
        <v>13188</v>
      </c>
      <c r="BX31" s="75">
        <f>AY31</f>
        <v>17431</v>
      </c>
      <c r="BY31" s="75">
        <f t="shared" ref="BY31:BY34" si="137">BC31</f>
        <v>17475</v>
      </c>
      <c r="BZ31" s="75">
        <f>BG31</f>
        <v>17475</v>
      </c>
      <c r="CA31" s="1388">
        <f t="shared" ref="CA31:CA34" si="138">BK31</f>
        <v>17475</v>
      </c>
      <c r="CB31" s="19"/>
      <c r="CC31" s="74">
        <f>H31</f>
        <v>1000</v>
      </c>
      <c r="CD31" s="75">
        <f>L31</f>
        <v>705</v>
      </c>
      <c r="CE31" s="75">
        <f>P31</f>
        <v>700</v>
      </c>
      <c r="CF31" s="75">
        <f>T31</f>
        <v>230</v>
      </c>
      <c r="CG31" s="75">
        <f>X31</f>
        <v>0</v>
      </c>
      <c r="CH31" s="75">
        <f>AB31</f>
        <v>0</v>
      </c>
      <c r="CI31" s="74">
        <f>AF31</f>
        <v>0</v>
      </c>
      <c r="CJ31" s="75">
        <f>AJ31</f>
        <v>0</v>
      </c>
      <c r="CK31" s="75">
        <f>AN31</f>
        <v>5454</v>
      </c>
      <c r="CL31" s="75">
        <f>AR31</f>
        <v>3892</v>
      </c>
      <c r="CM31" s="75">
        <f>AV31</f>
        <v>13562</v>
      </c>
      <c r="CN31" s="75">
        <f>AZ31</f>
        <v>17475</v>
      </c>
      <c r="CO31" s="75">
        <f>BD31</f>
        <v>17475</v>
      </c>
      <c r="CP31" s="76">
        <f t="shared" ref="CP31:CP34" si="139">BH31</f>
        <v>17475</v>
      </c>
      <c r="CQ31"/>
      <c r="CX31" s="7"/>
    </row>
    <row r="32" spans="1:102" ht="14.25" customHeight="1">
      <c r="A32" s="7"/>
      <c r="B32" s="27" t="s">
        <v>59</v>
      </c>
      <c r="C32" s="28"/>
      <c r="D32" s="77">
        <v>0</v>
      </c>
      <c r="E32" s="78">
        <v>0</v>
      </c>
      <c r="F32" s="78">
        <v>0</v>
      </c>
      <c r="G32" s="79">
        <v>0</v>
      </c>
      <c r="H32" s="77">
        <v>0</v>
      </c>
      <c r="I32" s="78">
        <v>0</v>
      </c>
      <c r="J32" s="78">
        <v>0</v>
      </c>
      <c r="K32" s="79">
        <v>0</v>
      </c>
      <c r="L32" s="77">
        <v>0</v>
      </c>
      <c r="M32" s="78">
        <v>0</v>
      </c>
      <c r="N32" s="78">
        <v>0</v>
      </c>
      <c r="O32" s="79">
        <v>0</v>
      </c>
      <c r="P32" s="77">
        <v>0</v>
      </c>
      <c r="Q32" s="78">
        <v>0</v>
      </c>
      <c r="R32" s="78">
        <v>0</v>
      </c>
      <c r="S32" s="79">
        <v>0</v>
      </c>
      <c r="T32" s="78">
        <v>0</v>
      </c>
      <c r="U32" s="78">
        <v>0</v>
      </c>
      <c r="V32" s="78">
        <v>0</v>
      </c>
      <c r="W32" s="79">
        <v>0</v>
      </c>
      <c r="X32" s="78">
        <v>0</v>
      </c>
      <c r="Y32" s="78">
        <v>0</v>
      </c>
      <c r="Z32" s="78">
        <v>0</v>
      </c>
      <c r="AA32" s="79">
        <v>0</v>
      </c>
      <c r="AB32" s="78">
        <v>0</v>
      </c>
      <c r="AC32" s="78">
        <v>0</v>
      </c>
      <c r="AD32" s="78">
        <v>0</v>
      </c>
      <c r="AE32" s="79">
        <v>0</v>
      </c>
      <c r="AF32" s="78">
        <v>0</v>
      </c>
      <c r="AG32" s="78">
        <v>0</v>
      </c>
      <c r="AH32" s="78">
        <v>0</v>
      </c>
      <c r="AI32" s="79">
        <v>0</v>
      </c>
      <c r="AJ32" s="78">
        <v>0</v>
      </c>
      <c r="AK32" s="78">
        <v>0</v>
      </c>
      <c r="AL32" s="78">
        <v>0</v>
      </c>
      <c r="AM32" s="79">
        <v>0</v>
      </c>
      <c r="AN32" s="77">
        <v>0</v>
      </c>
      <c r="AO32" s="78">
        <v>0</v>
      </c>
      <c r="AP32" s="78">
        <v>0</v>
      </c>
      <c r="AQ32" s="79">
        <v>0</v>
      </c>
      <c r="AR32" s="77">
        <v>0</v>
      </c>
      <c r="AS32" s="78">
        <v>0</v>
      </c>
      <c r="AT32" s="78">
        <v>0</v>
      </c>
      <c r="AU32" s="79">
        <v>0</v>
      </c>
      <c r="AV32" s="77">
        <v>0</v>
      </c>
      <c r="AW32" s="78">
        <v>0</v>
      </c>
      <c r="AX32" s="78">
        <v>0</v>
      </c>
      <c r="AY32" s="79">
        <v>0</v>
      </c>
      <c r="AZ32" s="77">
        <v>0</v>
      </c>
      <c r="BA32" s="75">
        <f t="shared" ref="BA32:BA34" si="140">AZ32</f>
        <v>0</v>
      </c>
      <c r="BB32" s="75">
        <f t="shared" ref="BB32:BB34" si="141">BA32</f>
        <v>0</v>
      </c>
      <c r="BC32" s="76">
        <f t="shared" ref="BC32:BC34" si="142">BB32</f>
        <v>0</v>
      </c>
      <c r="BD32" s="74">
        <f t="shared" ref="BD32:BD34" si="143">BC32</f>
        <v>0</v>
      </c>
      <c r="BE32" s="75">
        <f t="shared" si="131"/>
        <v>0</v>
      </c>
      <c r="BF32" s="75">
        <f t="shared" si="132"/>
        <v>0</v>
      </c>
      <c r="BG32" s="1388">
        <f t="shared" si="133"/>
        <v>0</v>
      </c>
      <c r="BH32" s="75">
        <f t="shared" ref="BH32:BH34" si="144">BG32</f>
        <v>0</v>
      </c>
      <c r="BI32" s="75">
        <f t="shared" si="134"/>
        <v>0</v>
      </c>
      <c r="BJ32" s="75">
        <f t="shared" si="135"/>
        <v>0</v>
      </c>
      <c r="BK32" s="76">
        <f t="shared" si="136"/>
        <v>0</v>
      </c>
      <c r="BL32" s="108"/>
      <c r="BM32" s="75">
        <f>G32</f>
        <v>0</v>
      </c>
      <c r="BN32" s="75">
        <f>K32</f>
        <v>0</v>
      </c>
      <c r="BO32" s="75">
        <f>O32</f>
        <v>0</v>
      </c>
      <c r="BP32" s="75">
        <f>S32</f>
        <v>0</v>
      </c>
      <c r="BQ32" s="75">
        <f>W32</f>
        <v>0</v>
      </c>
      <c r="BR32" s="75">
        <f>AA32</f>
        <v>0</v>
      </c>
      <c r="BS32" s="74">
        <f>AE32</f>
        <v>0</v>
      </c>
      <c r="BT32" s="75">
        <f>AI32</f>
        <v>0</v>
      </c>
      <c r="BU32" s="75">
        <f>AM32</f>
        <v>0</v>
      </c>
      <c r="BV32" s="75">
        <f>AQ32</f>
        <v>0</v>
      </c>
      <c r="BW32" s="75">
        <f>AU32</f>
        <v>0</v>
      </c>
      <c r="BX32" s="75">
        <f>AY32</f>
        <v>0</v>
      </c>
      <c r="BY32" s="75">
        <f t="shared" si="137"/>
        <v>0</v>
      </c>
      <c r="BZ32" s="75">
        <f>BG32</f>
        <v>0</v>
      </c>
      <c r="CA32" s="1388">
        <f t="shared" si="138"/>
        <v>0</v>
      </c>
      <c r="CB32" s="19"/>
      <c r="CC32" s="74">
        <f>H32</f>
        <v>0</v>
      </c>
      <c r="CD32" s="75">
        <f>L32</f>
        <v>0</v>
      </c>
      <c r="CE32" s="75">
        <f>P32</f>
        <v>0</v>
      </c>
      <c r="CF32" s="75">
        <f>T32</f>
        <v>0</v>
      </c>
      <c r="CG32" s="75">
        <f>X32</f>
        <v>0</v>
      </c>
      <c r="CH32" s="75">
        <f>AB32</f>
        <v>0</v>
      </c>
      <c r="CI32" s="74">
        <f>AF32</f>
        <v>0</v>
      </c>
      <c r="CJ32" s="75">
        <f>AJ32</f>
        <v>0</v>
      </c>
      <c r="CK32" s="75">
        <f>AN32</f>
        <v>0</v>
      </c>
      <c r="CL32" s="75">
        <f>AR32</f>
        <v>0</v>
      </c>
      <c r="CM32" s="75">
        <f>AV32</f>
        <v>0</v>
      </c>
      <c r="CN32" s="75">
        <f>AZ32</f>
        <v>0</v>
      </c>
      <c r="CO32" s="75">
        <f>BD32</f>
        <v>0</v>
      </c>
      <c r="CP32" s="76">
        <f t="shared" si="139"/>
        <v>0</v>
      </c>
      <c r="CQ32"/>
      <c r="CX32" s="7"/>
    </row>
    <row r="33" spans="1:102" ht="14.25" customHeight="1">
      <c r="A33" s="7"/>
      <c r="B33" s="27" t="s">
        <v>163</v>
      </c>
      <c r="C33" s="28"/>
      <c r="D33" s="77">
        <v>0</v>
      </c>
      <c r="E33" s="78">
        <v>4</v>
      </c>
      <c r="F33" s="78">
        <v>4</v>
      </c>
      <c r="G33" s="79">
        <v>4</v>
      </c>
      <c r="H33" s="77">
        <v>5</v>
      </c>
      <c r="I33" s="78">
        <v>4</v>
      </c>
      <c r="J33" s="78">
        <v>4</v>
      </c>
      <c r="K33" s="79">
        <v>4</v>
      </c>
      <c r="L33" s="77">
        <v>5</v>
      </c>
      <c r="M33" s="78">
        <v>5</v>
      </c>
      <c r="N33" s="78">
        <v>5</v>
      </c>
      <c r="O33" s="79">
        <v>5</v>
      </c>
      <c r="P33" s="77">
        <v>4</v>
      </c>
      <c r="Q33" s="78">
        <v>4</v>
      </c>
      <c r="R33" s="78">
        <v>3</v>
      </c>
      <c r="S33" s="79">
        <v>3</v>
      </c>
      <c r="T33" s="78">
        <v>2</v>
      </c>
      <c r="U33" s="78">
        <v>4</v>
      </c>
      <c r="V33" s="78">
        <v>4</v>
      </c>
      <c r="W33" s="78">
        <v>4</v>
      </c>
      <c r="X33" s="77">
        <v>5</v>
      </c>
      <c r="Y33" s="78">
        <v>4</v>
      </c>
      <c r="Z33" s="78">
        <v>4</v>
      </c>
      <c r="AA33" s="78">
        <v>4</v>
      </c>
      <c r="AB33" s="77">
        <v>3</v>
      </c>
      <c r="AC33" s="78">
        <v>3</v>
      </c>
      <c r="AD33" s="78">
        <v>2</v>
      </c>
      <c r="AE33" s="78">
        <v>2</v>
      </c>
      <c r="AF33" s="77">
        <v>2</v>
      </c>
      <c r="AG33" s="78">
        <v>2</v>
      </c>
      <c r="AH33" s="78">
        <v>1</v>
      </c>
      <c r="AI33" s="78">
        <v>1</v>
      </c>
      <c r="AJ33" s="77">
        <v>1</v>
      </c>
      <c r="AK33" s="78">
        <f t="shared" ref="AK33:AW33" si="145">AJ33</f>
        <v>1</v>
      </c>
      <c r="AL33" s="78">
        <v>0</v>
      </c>
      <c r="AM33" s="78">
        <v>0</v>
      </c>
      <c r="AN33" s="77">
        <v>0</v>
      </c>
      <c r="AO33" s="78">
        <f t="shared" si="145"/>
        <v>0</v>
      </c>
      <c r="AP33" s="78">
        <v>0</v>
      </c>
      <c r="AQ33" s="79">
        <v>0</v>
      </c>
      <c r="AR33" s="77">
        <v>0</v>
      </c>
      <c r="AS33" s="78">
        <f t="shared" si="145"/>
        <v>0</v>
      </c>
      <c r="AT33" s="78">
        <v>0</v>
      </c>
      <c r="AU33" s="79">
        <v>0</v>
      </c>
      <c r="AV33" s="77">
        <v>0</v>
      </c>
      <c r="AW33" s="78">
        <f t="shared" si="145"/>
        <v>0</v>
      </c>
      <c r="AX33" s="78">
        <v>0</v>
      </c>
      <c r="AY33" s="79">
        <v>0</v>
      </c>
      <c r="AZ33" s="77">
        <v>0</v>
      </c>
      <c r="BA33" s="75">
        <f t="shared" si="140"/>
        <v>0</v>
      </c>
      <c r="BB33" s="75">
        <f t="shared" si="141"/>
        <v>0</v>
      </c>
      <c r="BC33" s="76">
        <f t="shared" si="142"/>
        <v>0</v>
      </c>
      <c r="BD33" s="74">
        <f t="shared" si="143"/>
        <v>0</v>
      </c>
      <c r="BE33" s="75">
        <f t="shared" si="131"/>
        <v>0</v>
      </c>
      <c r="BF33" s="75">
        <f t="shared" si="132"/>
        <v>0</v>
      </c>
      <c r="BG33" s="1388">
        <f t="shared" si="133"/>
        <v>0</v>
      </c>
      <c r="BH33" s="75">
        <f t="shared" si="144"/>
        <v>0</v>
      </c>
      <c r="BI33" s="75">
        <f t="shared" si="134"/>
        <v>0</v>
      </c>
      <c r="BJ33" s="75">
        <f t="shared" si="135"/>
        <v>0</v>
      </c>
      <c r="BK33" s="76">
        <f t="shared" si="136"/>
        <v>0</v>
      </c>
      <c r="BL33" s="108"/>
      <c r="BM33" s="75">
        <f>G33</f>
        <v>4</v>
      </c>
      <c r="BN33" s="75">
        <f>K33</f>
        <v>4</v>
      </c>
      <c r="BO33" s="75">
        <f>O33</f>
        <v>5</v>
      </c>
      <c r="BP33" s="75">
        <f>S33</f>
        <v>3</v>
      </c>
      <c r="BQ33" s="75">
        <f>W33</f>
        <v>4</v>
      </c>
      <c r="BR33" s="75">
        <f>AA33</f>
        <v>4</v>
      </c>
      <c r="BS33" s="74">
        <f>AE33</f>
        <v>2</v>
      </c>
      <c r="BT33" s="75">
        <f>AI33</f>
        <v>1</v>
      </c>
      <c r="BU33" s="75">
        <f>AM33</f>
        <v>0</v>
      </c>
      <c r="BV33" s="75">
        <f>AQ33</f>
        <v>0</v>
      </c>
      <c r="BW33" s="75">
        <f>AU33</f>
        <v>0</v>
      </c>
      <c r="BX33" s="75">
        <f>AY33</f>
        <v>0</v>
      </c>
      <c r="BY33" s="75">
        <f t="shared" si="137"/>
        <v>0</v>
      </c>
      <c r="BZ33" s="75">
        <f>BG33</f>
        <v>0</v>
      </c>
      <c r="CA33" s="1388">
        <f t="shared" si="138"/>
        <v>0</v>
      </c>
      <c r="CB33" s="19"/>
      <c r="CC33" s="74">
        <f>H33</f>
        <v>5</v>
      </c>
      <c r="CD33" s="75">
        <f>L33</f>
        <v>5</v>
      </c>
      <c r="CE33" s="75">
        <f>P33</f>
        <v>4</v>
      </c>
      <c r="CF33" s="75">
        <f>T33</f>
        <v>2</v>
      </c>
      <c r="CG33" s="75">
        <f>X33</f>
        <v>5</v>
      </c>
      <c r="CH33" s="75">
        <f>AB33</f>
        <v>3</v>
      </c>
      <c r="CI33" s="74">
        <f>AF33</f>
        <v>2</v>
      </c>
      <c r="CJ33" s="75">
        <f>AJ33</f>
        <v>1</v>
      </c>
      <c r="CK33" s="75">
        <f>AN33</f>
        <v>0</v>
      </c>
      <c r="CL33" s="75">
        <f>AR33</f>
        <v>0</v>
      </c>
      <c r="CM33" s="75">
        <f>AV33</f>
        <v>0</v>
      </c>
      <c r="CN33" s="75">
        <f>AZ33</f>
        <v>0</v>
      </c>
      <c r="CO33" s="75">
        <f>BD33</f>
        <v>0</v>
      </c>
      <c r="CP33" s="76">
        <f t="shared" si="139"/>
        <v>0</v>
      </c>
      <c r="CQ33"/>
      <c r="CX33" s="7"/>
    </row>
    <row r="34" spans="1:102" ht="14.25" customHeight="1">
      <c r="A34" s="7"/>
      <c r="B34" s="27" t="s">
        <v>145</v>
      </c>
      <c r="C34" s="28"/>
      <c r="D34" s="77">
        <v>24</v>
      </c>
      <c r="E34" s="78">
        <v>27</v>
      </c>
      <c r="F34" s="78">
        <v>28</v>
      </c>
      <c r="G34" s="79">
        <v>31</v>
      </c>
      <c r="H34" s="77">
        <v>30</v>
      </c>
      <c r="I34" s="78">
        <v>30</v>
      </c>
      <c r="J34" s="78">
        <v>31</v>
      </c>
      <c r="K34" s="79">
        <v>30</v>
      </c>
      <c r="L34" s="77">
        <v>54</v>
      </c>
      <c r="M34" s="78">
        <v>60</v>
      </c>
      <c r="N34" s="78">
        <v>64</v>
      </c>
      <c r="O34" s="79">
        <v>55</v>
      </c>
      <c r="P34" s="77">
        <v>55</v>
      </c>
      <c r="Q34" s="78">
        <v>61</v>
      </c>
      <c r="R34" s="78">
        <v>63</v>
      </c>
      <c r="S34" s="79">
        <v>64</v>
      </c>
      <c r="T34" s="78">
        <v>65</v>
      </c>
      <c r="U34" s="78">
        <v>67</v>
      </c>
      <c r="V34" s="78">
        <v>68</v>
      </c>
      <c r="W34" s="79">
        <v>83</v>
      </c>
      <c r="X34" s="78">
        <v>85</v>
      </c>
      <c r="Y34" s="78">
        <v>86</v>
      </c>
      <c r="Z34" s="78">
        <v>88</v>
      </c>
      <c r="AA34" s="79">
        <v>86</v>
      </c>
      <c r="AB34" s="78">
        <v>87</v>
      </c>
      <c r="AC34" s="78">
        <v>85</v>
      </c>
      <c r="AD34" s="78">
        <v>82</v>
      </c>
      <c r="AE34" s="79">
        <v>95</v>
      </c>
      <c r="AF34" s="78">
        <v>95</v>
      </c>
      <c r="AG34" s="78">
        <v>96</v>
      </c>
      <c r="AH34" s="78">
        <v>97</v>
      </c>
      <c r="AI34" s="79">
        <v>105</v>
      </c>
      <c r="AJ34" s="78">
        <v>115</v>
      </c>
      <c r="AK34" s="78">
        <f>101-AK33</f>
        <v>100</v>
      </c>
      <c r="AL34" s="78">
        <f>271+481</f>
        <v>752</v>
      </c>
      <c r="AM34" s="79">
        <f>250+506</f>
        <v>756</v>
      </c>
      <c r="AN34" s="77">
        <f>274+496</f>
        <v>770</v>
      </c>
      <c r="AO34" s="78">
        <f>481+232</f>
        <v>713</v>
      </c>
      <c r="AP34" s="78">
        <f>373+467</f>
        <v>840</v>
      </c>
      <c r="AQ34" s="79">
        <f>475+381</f>
        <v>856</v>
      </c>
      <c r="AR34" s="77">
        <f>433+469</f>
        <v>902</v>
      </c>
      <c r="AS34" s="78">
        <f>475+10855</f>
        <v>11330</v>
      </c>
      <c r="AT34" s="78">
        <f>468+10671</f>
        <v>11139</v>
      </c>
      <c r="AU34" s="79">
        <v>11293</v>
      </c>
      <c r="AV34" s="77">
        <f>518+11405</f>
        <v>11923</v>
      </c>
      <c r="AW34" s="78">
        <f>11379+508</f>
        <v>11887</v>
      </c>
      <c r="AX34" s="78">
        <f>503+10945</f>
        <v>11448</v>
      </c>
      <c r="AY34" s="79">
        <f>112+11101</f>
        <v>11213</v>
      </c>
      <c r="AZ34" s="77">
        <v>6018</v>
      </c>
      <c r="BA34" s="75">
        <f t="shared" si="140"/>
        <v>6018</v>
      </c>
      <c r="BB34" s="75">
        <f t="shared" si="141"/>
        <v>6018</v>
      </c>
      <c r="BC34" s="76">
        <f t="shared" si="142"/>
        <v>6018</v>
      </c>
      <c r="BD34" s="74">
        <f t="shared" si="143"/>
        <v>6018</v>
      </c>
      <c r="BE34" s="75">
        <f t="shared" si="131"/>
        <v>6018</v>
      </c>
      <c r="BF34" s="75">
        <f t="shared" si="132"/>
        <v>6018</v>
      </c>
      <c r="BG34" s="1388">
        <f t="shared" si="133"/>
        <v>6018</v>
      </c>
      <c r="BH34" s="75">
        <f t="shared" si="144"/>
        <v>6018</v>
      </c>
      <c r="BI34" s="75">
        <f t="shared" si="134"/>
        <v>6018</v>
      </c>
      <c r="BJ34" s="75">
        <f t="shared" si="135"/>
        <v>6018</v>
      </c>
      <c r="BK34" s="75">
        <f t="shared" si="136"/>
        <v>6018</v>
      </c>
      <c r="BL34" s="108"/>
      <c r="BM34" s="75">
        <f>G34</f>
        <v>31</v>
      </c>
      <c r="BN34" s="75">
        <f>K34</f>
        <v>30</v>
      </c>
      <c r="BO34" s="75">
        <f>O34</f>
        <v>55</v>
      </c>
      <c r="BP34" s="75">
        <f>S34</f>
        <v>64</v>
      </c>
      <c r="BQ34" s="75">
        <f>W34</f>
        <v>83</v>
      </c>
      <c r="BR34" s="75">
        <f>AA34</f>
        <v>86</v>
      </c>
      <c r="BS34" s="74">
        <f>AE34</f>
        <v>95</v>
      </c>
      <c r="BT34" s="75">
        <f>AI34</f>
        <v>105</v>
      </c>
      <c r="BU34" s="75">
        <f>AM34</f>
        <v>756</v>
      </c>
      <c r="BV34" s="75">
        <f>AQ34</f>
        <v>856</v>
      </c>
      <c r="BW34" s="75">
        <f>AU34</f>
        <v>11293</v>
      </c>
      <c r="BX34" s="75">
        <f>AY34</f>
        <v>11213</v>
      </c>
      <c r="BY34" s="75">
        <f t="shared" si="137"/>
        <v>6018</v>
      </c>
      <c r="BZ34" s="75">
        <f>BG34</f>
        <v>6018</v>
      </c>
      <c r="CA34" s="1388">
        <f t="shared" si="138"/>
        <v>6018</v>
      </c>
      <c r="CB34" s="19"/>
      <c r="CC34" s="74">
        <f>H34</f>
        <v>30</v>
      </c>
      <c r="CD34" s="75">
        <f>L34</f>
        <v>54</v>
      </c>
      <c r="CE34" s="75">
        <f>P34</f>
        <v>55</v>
      </c>
      <c r="CF34" s="75">
        <f>T34</f>
        <v>65</v>
      </c>
      <c r="CG34" s="75">
        <f>X34</f>
        <v>85</v>
      </c>
      <c r="CH34" s="75">
        <f>AB34</f>
        <v>87</v>
      </c>
      <c r="CI34" s="74">
        <f>AF34</f>
        <v>95</v>
      </c>
      <c r="CJ34" s="75">
        <f>AJ34</f>
        <v>115</v>
      </c>
      <c r="CK34" s="75">
        <f>AN34</f>
        <v>770</v>
      </c>
      <c r="CL34" s="75">
        <f>AR34</f>
        <v>902</v>
      </c>
      <c r="CM34" s="75">
        <f>AV34</f>
        <v>11923</v>
      </c>
      <c r="CN34" s="75">
        <f>AZ34</f>
        <v>6018</v>
      </c>
      <c r="CO34" s="75">
        <f>BD34</f>
        <v>6018</v>
      </c>
      <c r="CP34" s="76">
        <f t="shared" si="139"/>
        <v>6018</v>
      </c>
      <c r="CQ34"/>
      <c r="CX34" s="7"/>
    </row>
    <row r="35" spans="1:102" ht="14.25" customHeight="1">
      <c r="A35" s="7"/>
      <c r="B35" s="21"/>
      <c r="C35" s="22"/>
      <c r="D35" s="77"/>
      <c r="E35" s="78"/>
      <c r="F35" s="78"/>
      <c r="G35" s="79"/>
      <c r="H35" s="77"/>
      <c r="I35" s="78"/>
      <c r="J35" s="78"/>
      <c r="K35" s="79"/>
      <c r="L35" s="77"/>
      <c r="M35" s="78"/>
      <c r="N35" s="78"/>
      <c r="O35" s="79"/>
      <c r="P35" s="77"/>
      <c r="Q35" s="78"/>
      <c r="R35" s="78"/>
      <c r="S35" s="79"/>
      <c r="T35" s="78"/>
      <c r="U35" s="78"/>
      <c r="V35" s="78"/>
      <c r="W35" s="78"/>
      <c r="X35" s="77"/>
      <c r="Y35" s="78"/>
      <c r="Z35" s="78"/>
      <c r="AA35" s="78"/>
      <c r="AB35" s="77"/>
      <c r="AC35" s="78"/>
      <c r="AD35" s="78"/>
      <c r="AE35" s="78"/>
      <c r="AF35" s="77"/>
      <c r="AG35" s="78"/>
      <c r="AH35" s="78"/>
      <c r="AI35" s="78"/>
      <c r="AJ35" s="77"/>
      <c r="AK35" s="78"/>
      <c r="AL35" s="78"/>
      <c r="AM35" s="78"/>
      <c r="AN35" s="77"/>
      <c r="AO35" s="78"/>
      <c r="AP35" s="78"/>
      <c r="AQ35" s="79"/>
      <c r="AR35" s="77"/>
      <c r="AS35" s="78"/>
      <c r="AT35" s="78"/>
      <c r="AU35" s="79"/>
      <c r="AV35" s="77"/>
      <c r="AW35" s="78"/>
      <c r="AX35" s="78"/>
      <c r="AY35" s="79"/>
      <c r="AZ35" s="77"/>
      <c r="BA35" s="78"/>
      <c r="BB35" s="78"/>
      <c r="BC35" s="79"/>
      <c r="BD35" s="77"/>
      <c r="BE35" s="78"/>
      <c r="BF35" s="78"/>
      <c r="BG35" s="1390"/>
      <c r="BH35" s="78"/>
      <c r="BI35" s="78"/>
      <c r="BJ35" s="78"/>
      <c r="BK35" s="79"/>
      <c r="BL35" s="108"/>
      <c r="BM35" s="78"/>
      <c r="BN35" s="78"/>
      <c r="BO35" s="78"/>
      <c r="BP35" s="78"/>
      <c r="BQ35" s="78"/>
      <c r="BR35" s="78"/>
      <c r="BS35" s="77"/>
      <c r="BT35" s="78"/>
      <c r="BU35" s="78"/>
      <c r="BV35" s="78"/>
      <c r="BW35" s="78"/>
      <c r="BX35" s="78"/>
      <c r="BY35" s="78"/>
      <c r="BZ35" s="78"/>
      <c r="CA35" s="1390"/>
      <c r="CB35" s="19"/>
      <c r="CC35" s="77"/>
      <c r="CD35" s="78"/>
      <c r="CE35" s="78"/>
      <c r="CF35" s="78"/>
      <c r="CG35" s="78"/>
      <c r="CH35" s="78"/>
      <c r="CI35" s="77"/>
      <c r="CJ35" s="78"/>
      <c r="CK35" s="78"/>
      <c r="CL35" s="78"/>
      <c r="CM35" s="78"/>
      <c r="CN35" s="78"/>
      <c r="CO35" s="78"/>
      <c r="CP35" s="79"/>
      <c r="CQ35"/>
      <c r="CX35" s="7"/>
    </row>
    <row r="36" spans="1:102" ht="14.25" customHeight="1">
      <c r="A36" s="7"/>
      <c r="B36" s="127" t="s">
        <v>42</v>
      </c>
      <c r="C36" s="128"/>
      <c r="D36" s="131">
        <v>974</v>
      </c>
      <c r="E36" s="129">
        <v>940</v>
      </c>
      <c r="F36" s="129">
        <v>919</v>
      </c>
      <c r="G36" s="130">
        <v>842</v>
      </c>
      <c r="H36" s="131">
        <v>858</v>
      </c>
      <c r="I36" s="129">
        <v>865</v>
      </c>
      <c r="J36" s="129">
        <v>696</v>
      </c>
      <c r="K36" s="130">
        <v>693</v>
      </c>
      <c r="L36" s="131">
        <v>692</v>
      </c>
      <c r="M36" s="129">
        <v>709</v>
      </c>
      <c r="N36" s="129">
        <v>756</v>
      </c>
      <c r="O36" s="130">
        <v>780</v>
      </c>
      <c r="P36" s="131">
        <v>787</v>
      </c>
      <c r="Q36" s="129">
        <v>758</v>
      </c>
      <c r="R36" s="129">
        <v>758</v>
      </c>
      <c r="S36" s="130">
        <v>1040</v>
      </c>
      <c r="T36" s="129">
        <v>1087</v>
      </c>
      <c r="U36" s="129">
        <v>1200</v>
      </c>
      <c r="V36" s="129">
        <v>1333</v>
      </c>
      <c r="W36" s="129">
        <v>1505</v>
      </c>
      <c r="X36" s="131">
        <v>1644</v>
      </c>
      <c r="Y36" s="129">
        <v>1791</v>
      </c>
      <c r="Z36" s="129">
        <v>1870</v>
      </c>
      <c r="AA36" s="129">
        <v>2006</v>
      </c>
      <c r="AB36" s="131">
        <v>2040</v>
      </c>
      <c r="AC36" s="129">
        <v>2167</v>
      </c>
      <c r="AD36" s="129">
        <v>2289</v>
      </c>
      <c r="AE36" s="129">
        <v>2419</v>
      </c>
      <c r="AF36" s="131">
        <v>2518</v>
      </c>
      <c r="AG36" s="129">
        <v>2611</v>
      </c>
      <c r="AH36" s="129">
        <v>2726</v>
      </c>
      <c r="AI36" s="129">
        <v>2886</v>
      </c>
      <c r="AJ36" s="131">
        <v>2992</v>
      </c>
      <c r="AK36" s="129">
        <v>3154</v>
      </c>
      <c r="AL36" s="129">
        <v>3098</v>
      </c>
      <c r="AM36" s="129">
        <v>3243</v>
      </c>
      <c r="AN36" s="131">
        <v>3628</v>
      </c>
      <c r="AO36" s="129">
        <v>4061</v>
      </c>
      <c r="AP36" s="129">
        <v>4281</v>
      </c>
      <c r="AQ36" s="130">
        <v>4714</v>
      </c>
      <c r="AR36" s="131">
        <v>5121</v>
      </c>
      <c r="AS36" s="129">
        <v>22762</v>
      </c>
      <c r="AT36" s="129">
        <v>22504</v>
      </c>
      <c r="AU36" s="130">
        <v>21876</v>
      </c>
      <c r="AV36" s="131">
        <v>22010</v>
      </c>
      <c r="AW36" s="129">
        <v>22343</v>
      </c>
      <c r="AX36" s="129">
        <v>22704</v>
      </c>
      <c r="AY36" s="130">
        <v>23296</v>
      </c>
      <c r="AZ36" s="131">
        <v>29081</v>
      </c>
      <c r="BA36" s="118">
        <f t="shared" ref="BA36:BC36" si="146">BA65</f>
        <v>30504.394062990999</v>
      </c>
      <c r="BB36" s="118">
        <f t="shared" si="146"/>
        <v>31883.391239612301</v>
      </c>
      <c r="BC36" s="119">
        <f t="shared" si="146"/>
        <v>33440.156426302921</v>
      </c>
      <c r="BD36" s="132">
        <f t="shared" ref="BD36:BG36" si="147">BD65</f>
        <v>34588.260013143161</v>
      </c>
      <c r="BE36" s="118">
        <f t="shared" si="147"/>
        <v>35675.722794674119</v>
      </c>
      <c r="BF36" s="118">
        <f t="shared" si="147"/>
        <v>36930.015212909799</v>
      </c>
      <c r="BG36" s="1456">
        <f t="shared" si="147"/>
        <v>38456.626786454181</v>
      </c>
      <c r="BH36" s="118">
        <f t="shared" ref="BH36:BK36" si="148">BH65</f>
        <v>39867.040814005173</v>
      </c>
      <c r="BI36" s="118">
        <f t="shared" si="148"/>
        <v>41135.471030228364</v>
      </c>
      <c r="BJ36" s="118">
        <f t="shared" si="148"/>
        <v>42517.845580061876</v>
      </c>
      <c r="BK36" s="119">
        <f t="shared" si="148"/>
        <v>44071.624913285756</v>
      </c>
      <c r="BL36" s="108"/>
      <c r="BM36" s="75">
        <f>G36</f>
        <v>842</v>
      </c>
      <c r="BN36" s="75">
        <f>K36</f>
        <v>693</v>
      </c>
      <c r="BO36" s="75">
        <f>O36</f>
        <v>780</v>
      </c>
      <c r="BP36" s="75">
        <f>S36</f>
        <v>1040</v>
      </c>
      <c r="BQ36" s="75">
        <f>W36</f>
        <v>1505</v>
      </c>
      <c r="BR36" s="75">
        <f>AA36</f>
        <v>2006</v>
      </c>
      <c r="BS36" s="74">
        <f>AE36</f>
        <v>2419</v>
      </c>
      <c r="BT36" s="75">
        <f>AI36</f>
        <v>2886</v>
      </c>
      <c r="BU36" s="75">
        <f>AM36</f>
        <v>3243</v>
      </c>
      <c r="BV36" s="75">
        <f>AQ36</f>
        <v>4714</v>
      </c>
      <c r="BW36" s="75">
        <f>AU36</f>
        <v>21876</v>
      </c>
      <c r="BX36" s="75">
        <f>AY36</f>
        <v>23296</v>
      </c>
      <c r="BY36" s="75">
        <f>BC36</f>
        <v>33440.156426302921</v>
      </c>
      <c r="BZ36" s="75">
        <f>BG36</f>
        <v>38456.626786454181</v>
      </c>
      <c r="CA36" s="1388">
        <f>BK36</f>
        <v>44071.624913285756</v>
      </c>
      <c r="CB36" s="19"/>
      <c r="CC36" s="74">
        <f>H36</f>
        <v>858</v>
      </c>
      <c r="CD36" s="75">
        <f>L36</f>
        <v>692</v>
      </c>
      <c r="CE36" s="75">
        <f>P36</f>
        <v>787</v>
      </c>
      <c r="CF36" s="75">
        <f>T36</f>
        <v>1087</v>
      </c>
      <c r="CG36" s="75">
        <f>X36</f>
        <v>1644</v>
      </c>
      <c r="CH36" s="75">
        <f>AB36</f>
        <v>2040</v>
      </c>
      <c r="CI36" s="74">
        <f>AF36</f>
        <v>2518</v>
      </c>
      <c r="CJ36" s="75">
        <f>AJ36</f>
        <v>2992</v>
      </c>
      <c r="CK36" s="75">
        <f>AN36</f>
        <v>3628</v>
      </c>
      <c r="CL36" s="75">
        <f>AR36</f>
        <v>5121</v>
      </c>
      <c r="CM36" s="75">
        <f>AV36</f>
        <v>22010</v>
      </c>
      <c r="CN36" s="75">
        <f>AZ36</f>
        <v>29081</v>
      </c>
      <c r="CO36" s="75">
        <f>BD36</f>
        <v>34588.260013143161</v>
      </c>
      <c r="CP36" s="76">
        <f>BH36</f>
        <v>39867.040814005173</v>
      </c>
      <c r="CQ36"/>
      <c r="CX36" s="7"/>
    </row>
    <row r="37" spans="1:102" ht="14.25" customHeight="1">
      <c r="A37" s="7"/>
      <c r="B37" s="60"/>
      <c r="C37" s="22"/>
      <c r="D37" s="77"/>
      <c r="E37" s="78"/>
      <c r="F37" s="78"/>
      <c r="G37" s="78"/>
      <c r="H37" s="77"/>
      <c r="I37" s="78"/>
      <c r="J37" s="78"/>
      <c r="K37" s="78"/>
      <c r="L37" s="77"/>
      <c r="M37" s="78"/>
      <c r="N37" s="78"/>
      <c r="O37" s="78"/>
      <c r="P37" s="77"/>
      <c r="Q37" s="78"/>
      <c r="R37" s="78"/>
      <c r="S37" s="78"/>
      <c r="T37" s="77"/>
      <c r="U37" s="78"/>
      <c r="V37" s="78"/>
      <c r="W37" s="78"/>
      <c r="X37" s="77"/>
      <c r="Y37" s="78"/>
      <c r="Z37" s="78"/>
      <c r="AA37" s="78"/>
      <c r="AB37" s="77"/>
      <c r="AC37" s="78"/>
      <c r="AD37" s="78"/>
      <c r="AE37" s="78"/>
      <c r="AF37" s="77"/>
      <c r="AG37" s="78"/>
      <c r="AH37" s="78"/>
      <c r="AI37" s="78"/>
      <c r="AJ37" s="77"/>
      <c r="AK37" s="78"/>
      <c r="AL37" s="78"/>
      <c r="AM37" s="78"/>
      <c r="AN37" s="77"/>
      <c r="AO37" s="78"/>
      <c r="AP37" s="78"/>
      <c r="AQ37" s="79"/>
      <c r="AR37" s="77"/>
      <c r="AS37" s="78"/>
      <c r="AT37" s="78"/>
      <c r="AU37" s="79"/>
      <c r="AV37" s="77"/>
      <c r="AW37" s="78"/>
      <c r="AX37" s="78"/>
      <c r="AY37" s="79"/>
      <c r="AZ37" s="297"/>
      <c r="BA37" s="777"/>
      <c r="BB37" s="777"/>
      <c r="BC37" s="159"/>
      <c r="BD37" s="297"/>
      <c r="BE37" s="78"/>
      <c r="BF37" s="78"/>
      <c r="BG37" s="1390"/>
      <c r="BH37" s="777"/>
      <c r="BI37" s="78"/>
      <c r="BJ37" s="78"/>
      <c r="BK37" s="79"/>
      <c r="BL37" s="108"/>
      <c r="BM37" s="78"/>
      <c r="BN37" s="78"/>
      <c r="BO37" s="78"/>
      <c r="BP37" s="78"/>
      <c r="BQ37" s="78"/>
      <c r="BR37" s="78"/>
      <c r="BS37" s="77"/>
      <c r="BT37" s="78"/>
      <c r="BU37" s="78"/>
      <c r="BV37" s="78"/>
      <c r="BW37" s="78"/>
      <c r="BX37" s="777"/>
      <c r="BY37" s="777"/>
      <c r="BZ37" s="777"/>
      <c r="CA37" s="159"/>
      <c r="CB37" s="19"/>
      <c r="CC37" s="77"/>
      <c r="CD37" s="78"/>
      <c r="CE37" s="78"/>
      <c r="CF37" s="78"/>
      <c r="CG37" s="78"/>
      <c r="CH37" s="78"/>
      <c r="CI37" s="297"/>
      <c r="CJ37" s="777"/>
      <c r="CK37" s="777"/>
      <c r="CL37" s="777"/>
      <c r="CM37" s="777"/>
      <c r="CN37" s="777"/>
      <c r="CO37" s="777"/>
      <c r="CP37" s="159"/>
      <c r="CQ37"/>
      <c r="CX37" s="7"/>
    </row>
    <row r="38" spans="1:102" ht="14.25" customHeight="1">
      <c r="A38" s="7"/>
      <c r="B38" s="133" t="s">
        <v>43</v>
      </c>
      <c r="C38" s="134"/>
      <c r="D38" s="126">
        <f t="shared" ref="D38:AJ38" si="149">D36+D29+SUM(D31:D34)</f>
        <v>2991</v>
      </c>
      <c r="E38" s="124">
        <f t="shared" si="149"/>
        <v>2530</v>
      </c>
      <c r="F38" s="124">
        <f t="shared" si="149"/>
        <v>2222</v>
      </c>
      <c r="G38" s="125">
        <f t="shared" si="149"/>
        <v>2217</v>
      </c>
      <c r="H38" s="126">
        <f t="shared" si="149"/>
        <v>2124</v>
      </c>
      <c r="I38" s="124">
        <f t="shared" si="149"/>
        <v>2046</v>
      </c>
      <c r="J38" s="124">
        <f t="shared" si="149"/>
        <v>1896</v>
      </c>
      <c r="K38" s="125">
        <f t="shared" si="149"/>
        <v>1951</v>
      </c>
      <c r="L38" s="126">
        <f t="shared" si="149"/>
        <v>1736</v>
      </c>
      <c r="M38" s="124">
        <f t="shared" si="149"/>
        <v>1741</v>
      </c>
      <c r="N38" s="124">
        <f t="shared" si="149"/>
        <v>1808</v>
      </c>
      <c r="O38" s="125">
        <f t="shared" si="149"/>
        <v>1871</v>
      </c>
      <c r="P38" s="126">
        <f t="shared" si="149"/>
        <v>1824</v>
      </c>
      <c r="Q38" s="124">
        <f t="shared" si="149"/>
        <v>1805</v>
      </c>
      <c r="R38" s="124">
        <f t="shared" si="149"/>
        <v>1775</v>
      </c>
      <c r="S38" s="125">
        <f t="shared" si="149"/>
        <v>1970</v>
      </c>
      <c r="T38" s="124">
        <f t="shared" si="149"/>
        <v>1632</v>
      </c>
      <c r="U38" s="124">
        <f t="shared" si="149"/>
        <v>1782</v>
      </c>
      <c r="V38" s="124">
        <f t="shared" si="149"/>
        <v>1920</v>
      </c>
      <c r="W38" s="125">
        <f t="shared" si="149"/>
        <v>2157</v>
      </c>
      <c r="X38" s="126">
        <f t="shared" si="149"/>
        <v>1971</v>
      </c>
      <c r="Y38" s="124">
        <f t="shared" si="149"/>
        <v>2177</v>
      </c>
      <c r="Z38" s="124">
        <f t="shared" si="149"/>
        <v>2273</v>
      </c>
      <c r="AA38" s="125">
        <f t="shared" si="149"/>
        <v>2446</v>
      </c>
      <c r="AB38" s="126">
        <f t="shared" si="149"/>
        <v>2444</v>
      </c>
      <c r="AC38" s="124">
        <f t="shared" si="149"/>
        <v>2611</v>
      </c>
      <c r="AD38" s="124">
        <f t="shared" si="149"/>
        <v>2715</v>
      </c>
      <c r="AE38" s="125">
        <f t="shared" si="149"/>
        <v>2862</v>
      </c>
      <c r="AF38" s="126">
        <f t="shared" si="149"/>
        <v>2892</v>
      </c>
      <c r="AG38" s="124">
        <f t="shared" si="149"/>
        <v>3039</v>
      </c>
      <c r="AH38" s="124">
        <f t="shared" si="149"/>
        <v>3204</v>
      </c>
      <c r="AI38" s="125">
        <f t="shared" si="149"/>
        <v>3415</v>
      </c>
      <c r="AJ38" s="126">
        <f t="shared" si="149"/>
        <v>3472</v>
      </c>
      <c r="AK38" s="124">
        <f t="shared" ref="AK38:AP38" si="150">AK36+AK29+SUM(AK31:AK34)</f>
        <v>3671</v>
      </c>
      <c r="AL38" s="124">
        <f t="shared" si="150"/>
        <v>10262</v>
      </c>
      <c r="AM38" s="125">
        <f t="shared" si="150"/>
        <v>10491</v>
      </c>
      <c r="AN38" s="126">
        <f t="shared" si="150"/>
        <v>10697</v>
      </c>
      <c r="AO38" s="124">
        <f t="shared" si="150"/>
        <v>10532</v>
      </c>
      <c r="AP38" s="124">
        <f t="shared" si="150"/>
        <v>9988</v>
      </c>
      <c r="AQ38" s="125">
        <f t="shared" ref="AQ38" si="151">AQ36+AQ29+SUM(AQ31:AQ34)</f>
        <v>10592</v>
      </c>
      <c r="AR38" s="126">
        <f t="shared" ref="AR38" si="152">AR36+AR29+SUM(AR31:AR34)</f>
        <v>10777</v>
      </c>
      <c r="AS38" s="124">
        <f t="shared" ref="AS38" si="153">AS36+AS29+SUM(AS31:AS34)</f>
        <v>51407</v>
      </c>
      <c r="AT38" s="124">
        <f t="shared" ref="AT38:AW38" si="154">AT36+AT29+SUM(AT31:AT34)</f>
        <v>49752</v>
      </c>
      <c r="AU38" s="125">
        <f t="shared" si="154"/>
        <v>49966</v>
      </c>
      <c r="AV38" s="126">
        <f t="shared" si="154"/>
        <v>49617</v>
      </c>
      <c r="AW38" s="124">
        <f t="shared" si="154"/>
        <v>49849</v>
      </c>
      <c r="AX38" s="124">
        <f t="shared" ref="AX38:AY38" si="155">AX36+AX29+SUM(AX31:AX34)</f>
        <v>49942</v>
      </c>
      <c r="AY38" s="125">
        <f t="shared" si="155"/>
        <v>54418</v>
      </c>
      <c r="AZ38" s="124">
        <f t="shared" ref="AZ38:BC38" si="156">AZ36+AZ29+SUM(AZ31:AZ34)</f>
        <v>54544</v>
      </c>
      <c r="BA38" s="124">
        <f t="shared" si="156"/>
        <v>55917.072680768775</v>
      </c>
      <c r="BB38" s="124">
        <f t="shared" si="156"/>
        <v>57348.303767390076</v>
      </c>
      <c r="BC38" s="125">
        <f t="shared" si="156"/>
        <v>58978.515221875808</v>
      </c>
      <c r="BD38" s="126">
        <f t="shared" ref="BD38:BG38" si="157">BD36+BD29+SUM(BD31:BD34)</f>
        <v>60494.957156488716</v>
      </c>
      <c r="BE38" s="124">
        <f t="shared" si="157"/>
        <v>61533.708295440985</v>
      </c>
      <c r="BF38" s="124">
        <f t="shared" si="157"/>
        <v>62875.447596529782</v>
      </c>
      <c r="BG38" s="125">
        <f t="shared" si="157"/>
        <v>64560.80831104183</v>
      </c>
      <c r="BH38" s="124">
        <f t="shared" ref="BH38:BK38" si="158">BH36+BH29+SUM(BH31:BH34)</f>
        <v>65898.646600830238</v>
      </c>
      <c r="BI38" s="124">
        <f t="shared" si="158"/>
        <v>67091.168890542031</v>
      </c>
      <c r="BJ38" s="124">
        <f t="shared" si="158"/>
        <v>68523.143447507202</v>
      </c>
      <c r="BK38" s="125">
        <f t="shared" si="158"/>
        <v>70167.067297190573</v>
      </c>
      <c r="BL38" s="791"/>
      <c r="BM38" s="124">
        <f t="shared" ref="BM38:BX38" si="159">BM36+BM29+SUM(BM31:BM34)</f>
        <v>2217</v>
      </c>
      <c r="BN38" s="124">
        <f t="shared" si="159"/>
        <v>1951</v>
      </c>
      <c r="BO38" s="124">
        <f t="shared" si="159"/>
        <v>1871</v>
      </c>
      <c r="BP38" s="124">
        <f t="shared" si="159"/>
        <v>1970</v>
      </c>
      <c r="BQ38" s="124">
        <f t="shared" si="159"/>
        <v>2157</v>
      </c>
      <c r="BR38" s="124">
        <f t="shared" si="159"/>
        <v>2446</v>
      </c>
      <c r="BS38" s="126">
        <f t="shared" si="159"/>
        <v>2862</v>
      </c>
      <c r="BT38" s="124">
        <f t="shared" si="159"/>
        <v>3415</v>
      </c>
      <c r="BU38" s="124">
        <f t="shared" si="159"/>
        <v>10491</v>
      </c>
      <c r="BV38" s="124">
        <f t="shared" si="159"/>
        <v>10592</v>
      </c>
      <c r="BW38" s="124">
        <f t="shared" si="159"/>
        <v>49966</v>
      </c>
      <c r="BX38" s="124">
        <f t="shared" si="159"/>
        <v>54418</v>
      </c>
      <c r="BY38" s="124">
        <f t="shared" ref="BY38:BZ38" si="160">BY36+BY29+SUM(BY31:BY34)</f>
        <v>58978.515221875808</v>
      </c>
      <c r="BZ38" s="124">
        <f t="shared" si="160"/>
        <v>64560.80831104183</v>
      </c>
      <c r="CA38" s="125">
        <f t="shared" ref="CA38" si="161">CA36+CA29+SUM(CA31:CA34)</f>
        <v>70167.067297190573</v>
      </c>
      <c r="CB38" s="19"/>
      <c r="CC38" s="126">
        <f t="shared" ref="CC38:CM38" si="162">CC36+CC29+SUM(CC31:CC34)</f>
        <v>2124</v>
      </c>
      <c r="CD38" s="124">
        <f t="shared" si="162"/>
        <v>1736</v>
      </c>
      <c r="CE38" s="124">
        <f t="shared" si="162"/>
        <v>1824</v>
      </c>
      <c r="CF38" s="124">
        <f t="shared" si="162"/>
        <v>1632</v>
      </c>
      <c r="CG38" s="124">
        <f t="shared" si="162"/>
        <v>1971</v>
      </c>
      <c r="CH38" s="124">
        <f t="shared" si="162"/>
        <v>2444</v>
      </c>
      <c r="CI38" s="126">
        <f t="shared" si="162"/>
        <v>2892</v>
      </c>
      <c r="CJ38" s="124">
        <f t="shared" si="162"/>
        <v>3472</v>
      </c>
      <c r="CK38" s="124">
        <f t="shared" si="162"/>
        <v>10697</v>
      </c>
      <c r="CL38" s="124">
        <f t="shared" si="162"/>
        <v>10777</v>
      </c>
      <c r="CM38" s="124">
        <f t="shared" si="162"/>
        <v>49617</v>
      </c>
      <c r="CN38" s="124">
        <f t="shared" ref="CN38:CO38" si="163">CN36+CN29+SUM(CN31:CN34)</f>
        <v>54544</v>
      </c>
      <c r="CO38" s="124">
        <f t="shared" si="163"/>
        <v>60494.957156488716</v>
      </c>
      <c r="CP38" s="125">
        <f t="shared" ref="CP38" si="164">CP36+CP29+SUM(CP31:CP34)</f>
        <v>65898.646600830238</v>
      </c>
      <c r="CQ38"/>
      <c r="CX38" s="7"/>
    </row>
    <row r="39" spans="1:102" ht="14.25" customHeight="1">
      <c r="A39" s="7"/>
      <c r="B39" s="135"/>
      <c r="C39" s="6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64"/>
      <c r="U39" s="103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144"/>
      <c r="BA39" s="64"/>
      <c r="BB39" s="64"/>
      <c r="BC39" s="144"/>
      <c r="BD39" s="144"/>
      <c r="BE39" s="64"/>
      <c r="BF39" s="64"/>
      <c r="BG39" s="144"/>
      <c r="BH39" s="144"/>
      <c r="BI39" s="64"/>
      <c r="BJ39" s="64"/>
      <c r="BK39" s="144"/>
      <c r="BL39" s="1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7"/>
      <c r="CC39" s="103"/>
      <c r="CD39" s="103"/>
      <c r="CE39" s="103"/>
      <c r="CF39" s="103"/>
      <c r="CG39" s="103"/>
      <c r="CH39" s="103"/>
      <c r="CI39" s="103"/>
      <c r="CJ39" s="103"/>
      <c r="CK39" s="103"/>
      <c r="CL39" s="103"/>
      <c r="CM39" s="103"/>
      <c r="CN39" s="103"/>
      <c r="CO39" s="103"/>
      <c r="CP39" s="103"/>
      <c r="CQ39"/>
      <c r="CX39" s="7"/>
    </row>
    <row r="40" spans="1:102" ht="14.25" customHeight="1">
      <c r="A40" s="7"/>
      <c r="B40" s="136" t="s">
        <v>44</v>
      </c>
      <c r="C40" s="137"/>
      <c r="D40" s="140">
        <f t="shared" ref="D40:AI40" si="165">IF(ROUND(D38,4)=ROUND(D20,4),0,D38-D20)</f>
        <v>0</v>
      </c>
      <c r="E40" s="138">
        <f t="shared" si="165"/>
        <v>0</v>
      </c>
      <c r="F40" s="138">
        <f t="shared" si="165"/>
        <v>0</v>
      </c>
      <c r="G40" s="139">
        <f t="shared" si="165"/>
        <v>0</v>
      </c>
      <c r="H40" s="140">
        <f t="shared" si="165"/>
        <v>0</v>
      </c>
      <c r="I40" s="138">
        <f t="shared" si="165"/>
        <v>0</v>
      </c>
      <c r="J40" s="138">
        <f t="shared" si="165"/>
        <v>0</v>
      </c>
      <c r="K40" s="139">
        <f t="shared" si="165"/>
        <v>0</v>
      </c>
      <c r="L40" s="140">
        <f t="shared" si="165"/>
        <v>0</v>
      </c>
      <c r="M40" s="138">
        <f t="shared" si="165"/>
        <v>0</v>
      </c>
      <c r="N40" s="138">
        <f t="shared" si="165"/>
        <v>0</v>
      </c>
      <c r="O40" s="139">
        <f t="shared" si="165"/>
        <v>0</v>
      </c>
      <c r="P40" s="140">
        <f t="shared" si="165"/>
        <v>0</v>
      </c>
      <c r="Q40" s="138">
        <f t="shared" si="165"/>
        <v>0</v>
      </c>
      <c r="R40" s="138">
        <f t="shared" si="165"/>
        <v>0</v>
      </c>
      <c r="S40" s="139">
        <f t="shared" si="165"/>
        <v>0</v>
      </c>
      <c r="T40" s="138">
        <f t="shared" si="165"/>
        <v>0</v>
      </c>
      <c r="U40" s="138">
        <f t="shared" si="165"/>
        <v>0</v>
      </c>
      <c r="V40" s="138">
        <f t="shared" si="165"/>
        <v>0</v>
      </c>
      <c r="W40" s="138">
        <f t="shared" si="165"/>
        <v>0</v>
      </c>
      <c r="X40" s="140">
        <f t="shared" si="165"/>
        <v>0</v>
      </c>
      <c r="Y40" s="138">
        <f t="shared" si="165"/>
        <v>0</v>
      </c>
      <c r="Z40" s="138">
        <f t="shared" si="165"/>
        <v>0</v>
      </c>
      <c r="AA40" s="138">
        <f t="shared" si="165"/>
        <v>0</v>
      </c>
      <c r="AB40" s="140">
        <f t="shared" si="165"/>
        <v>0</v>
      </c>
      <c r="AC40" s="138">
        <f t="shared" si="165"/>
        <v>0</v>
      </c>
      <c r="AD40" s="138">
        <f t="shared" si="165"/>
        <v>0</v>
      </c>
      <c r="AE40" s="138">
        <f t="shared" si="165"/>
        <v>0</v>
      </c>
      <c r="AF40" s="140">
        <f t="shared" si="165"/>
        <v>0</v>
      </c>
      <c r="AG40" s="138">
        <f t="shared" si="165"/>
        <v>0</v>
      </c>
      <c r="AH40" s="138">
        <f t="shared" si="165"/>
        <v>0</v>
      </c>
      <c r="AI40" s="138">
        <f t="shared" si="165"/>
        <v>0</v>
      </c>
      <c r="AJ40" s="140">
        <f t="shared" ref="AJ40:AO40" si="166">IF(ROUND(AJ38-AJ20,4)=0,0,AJ38-AJ20)</f>
        <v>0</v>
      </c>
      <c r="AK40" s="138">
        <f t="shared" si="166"/>
        <v>0</v>
      </c>
      <c r="AL40" s="138">
        <f t="shared" si="166"/>
        <v>0</v>
      </c>
      <c r="AM40" s="138">
        <f t="shared" si="166"/>
        <v>0</v>
      </c>
      <c r="AN40" s="140">
        <f t="shared" si="166"/>
        <v>0</v>
      </c>
      <c r="AO40" s="138">
        <f t="shared" si="166"/>
        <v>0</v>
      </c>
      <c r="AP40" s="138">
        <f t="shared" ref="AP40:AS40" si="167">IF(ROUND(AP38-AP20,4)=0,0,AP38-AP20)</f>
        <v>0</v>
      </c>
      <c r="AQ40" s="138">
        <f t="shared" si="167"/>
        <v>0</v>
      </c>
      <c r="AR40" s="140">
        <f t="shared" si="167"/>
        <v>0</v>
      </c>
      <c r="AS40" s="138">
        <f t="shared" si="167"/>
        <v>0</v>
      </c>
      <c r="AT40" s="138">
        <f t="shared" ref="AT40:AW40" si="168">IF(ROUND(AT38-AT20,4)=0,0,AT38-AT20)</f>
        <v>0</v>
      </c>
      <c r="AU40" s="138">
        <f t="shared" si="168"/>
        <v>0</v>
      </c>
      <c r="AV40" s="140">
        <f t="shared" si="168"/>
        <v>0</v>
      </c>
      <c r="AW40" s="138">
        <f t="shared" si="168"/>
        <v>0</v>
      </c>
      <c r="AX40" s="138">
        <f>IF(ROUND(AX38-AX20,4)=0,0,AX38-AX20)</f>
        <v>0</v>
      </c>
      <c r="AY40" s="138">
        <f t="shared" ref="AY40" si="169">IF(ROUND(AY38-AY20,4)=0,0,AY38-AY20)</f>
        <v>0</v>
      </c>
      <c r="AZ40" s="140">
        <f t="shared" ref="AZ40:BA40" si="170">IF(ROUND(AZ38-AZ20,4)=0,0,AZ38-AZ20)</f>
        <v>0</v>
      </c>
      <c r="BA40" s="138">
        <f t="shared" si="170"/>
        <v>0</v>
      </c>
      <c r="BB40" s="138">
        <f>IF(ROUND(BB38-BB20,4)=0,0,BB38-BB20)</f>
        <v>0</v>
      </c>
      <c r="BC40" s="139">
        <f>IF(ROUND(BC38-BC20,4)=0,0,BC38-BC20)</f>
        <v>0</v>
      </c>
      <c r="BD40" s="140">
        <f t="shared" ref="BD40:BE40" si="171">IF(ROUND(BD38-BD20,4)=0,0,BD38-BD20)</f>
        <v>0</v>
      </c>
      <c r="BE40" s="138">
        <f t="shared" si="171"/>
        <v>0</v>
      </c>
      <c r="BF40" s="138">
        <f>IF(ROUND(BF38-BF20,4)=0,0,BF38-BF20)</f>
        <v>0</v>
      </c>
      <c r="BG40" s="139">
        <f>IF(ROUND(BG38-BG20,4)=0,0,BG38-BG20)</f>
        <v>0</v>
      </c>
      <c r="BH40" s="140">
        <f t="shared" ref="BH40:BI40" si="172">IF(ROUND(BH38-BH20,4)=0,0,BH38-BH20)</f>
        <v>0</v>
      </c>
      <c r="BI40" s="138">
        <f t="shared" si="172"/>
        <v>0</v>
      </c>
      <c r="BJ40" s="138">
        <f>IF(ROUND(BJ38-BJ20,4)=0,0,BJ38-BJ20)</f>
        <v>0</v>
      </c>
      <c r="BK40" s="139">
        <f>IF(ROUND(BK38-BK20,4)=0,0,BK38-BK20)</f>
        <v>0</v>
      </c>
      <c r="BL40" s="19"/>
      <c r="BM40" s="140">
        <f t="shared" ref="BM40:BR40" si="173">IF(ROUND(BM38,4)=ROUND(BM20,4),0,BM38-BM20)</f>
        <v>0</v>
      </c>
      <c r="BN40" s="138">
        <f t="shared" si="173"/>
        <v>0</v>
      </c>
      <c r="BO40" s="138">
        <f t="shared" si="173"/>
        <v>0</v>
      </c>
      <c r="BP40" s="138">
        <f t="shared" si="173"/>
        <v>0</v>
      </c>
      <c r="BQ40" s="138">
        <f t="shared" si="173"/>
        <v>0</v>
      </c>
      <c r="BR40" s="139">
        <f t="shared" si="173"/>
        <v>0</v>
      </c>
      <c r="BS40" s="138">
        <f t="shared" ref="BS40:BX40" si="174">IF(ROUND(BS38-BS20,4)=0,0,BS38-BS20)</f>
        <v>0</v>
      </c>
      <c r="BT40" s="138">
        <f t="shared" si="174"/>
        <v>0</v>
      </c>
      <c r="BU40" s="138">
        <f t="shared" si="174"/>
        <v>0</v>
      </c>
      <c r="BV40" s="138">
        <f t="shared" si="174"/>
        <v>0</v>
      </c>
      <c r="BW40" s="138">
        <f t="shared" si="174"/>
        <v>0</v>
      </c>
      <c r="BX40" s="138">
        <f t="shared" si="174"/>
        <v>0</v>
      </c>
      <c r="BY40" s="138">
        <f t="shared" ref="BY40:BZ40" si="175">IF(ROUND(BY38-BY20,4)=0,0,BY38-BY20)</f>
        <v>0</v>
      </c>
      <c r="BZ40" s="138">
        <f t="shared" si="175"/>
        <v>0</v>
      </c>
      <c r="CA40" s="138">
        <f t="shared" ref="CA40" si="176">IF(ROUND(CA38-CA20,4)=0,0,CA38-CA20)</f>
        <v>0</v>
      </c>
      <c r="CB40" s="19"/>
      <c r="CC40" s="140">
        <f t="shared" ref="CC40:CK40" si="177">IF(ROUND(CC38,4)=ROUND(CC20,4),0,CC38-CC20)</f>
        <v>0</v>
      </c>
      <c r="CD40" s="138">
        <f t="shared" si="177"/>
        <v>0</v>
      </c>
      <c r="CE40" s="138">
        <f t="shared" si="177"/>
        <v>0</v>
      </c>
      <c r="CF40" s="138">
        <f t="shared" si="177"/>
        <v>0</v>
      </c>
      <c r="CG40" s="138">
        <f t="shared" si="177"/>
        <v>0</v>
      </c>
      <c r="CH40" s="138">
        <f t="shared" si="177"/>
        <v>0</v>
      </c>
      <c r="CI40" s="140">
        <f t="shared" si="177"/>
        <v>0</v>
      </c>
      <c r="CJ40" s="138">
        <f t="shared" si="177"/>
        <v>0</v>
      </c>
      <c r="CK40" s="138">
        <f t="shared" si="177"/>
        <v>0</v>
      </c>
      <c r="CL40" s="138">
        <f t="shared" ref="CL40:CM40" si="178">IF(ROUND(CL38,3)=ROUND(CL20,3),0,CL38-CL20)</f>
        <v>0</v>
      </c>
      <c r="CM40" s="138">
        <f t="shared" si="178"/>
        <v>0</v>
      </c>
      <c r="CN40" s="138">
        <f t="shared" ref="CN40:CO40" si="179">IF(ROUND(CN38,3)=ROUND(CN20,3),0,CN38-CN20)</f>
        <v>0</v>
      </c>
      <c r="CO40" s="138">
        <f t="shared" si="179"/>
        <v>0</v>
      </c>
      <c r="CP40" s="139">
        <f t="shared" ref="CP40" si="180">IF(ROUND(CP38,3)=ROUND(CP20,3),0,CP38-CP20)</f>
        <v>0</v>
      </c>
      <c r="CQ40" s="10"/>
      <c r="CX40" s="7"/>
    </row>
    <row r="41" spans="1:102" ht="14.25" customHeight="1">
      <c r="A41" s="7"/>
      <c r="B41" s="62"/>
      <c r="C41" s="63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2"/>
      <c r="AJ41" s="141"/>
      <c r="AK41" s="141"/>
      <c r="AL41" s="141"/>
      <c r="AM41" s="142"/>
      <c r="AN41" s="141"/>
      <c r="AO41" s="141"/>
      <c r="AP41" s="141"/>
      <c r="AQ41" s="142"/>
      <c r="AR41" s="141"/>
      <c r="AS41" s="141"/>
      <c r="AT41" s="141"/>
      <c r="AU41" s="142"/>
      <c r="AV41" s="141"/>
      <c r="AW41" s="141"/>
      <c r="AX41" s="141"/>
      <c r="AY41" s="142"/>
      <c r="AZ41" s="141"/>
      <c r="BA41" s="141"/>
      <c r="BB41" s="141"/>
      <c r="BC41" s="142"/>
      <c r="BD41" s="141"/>
      <c r="BE41" s="141"/>
      <c r="BF41" s="141"/>
      <c r="BG41" s="142"/>
      <c r="BH41" s="141"/>
      <c r="BI41" s="141"/>
      <c r="BJ41" s="141"/>
      <c r="BK41" s="142"/>
      <c r="BL41" s="13"/>
      <c r="BM41" s="103"/>
      <c r="BN41" s="103"/>
      <c r="BO41" s="103"/>
      <c r="BP41" s="103"/>
      <c r="BQ41" s="103"/>
      <c r="BR41" s="65"/>
      <c r="BS41" s="143"/>
      <c r="BT41" s="143"/>
      <c r="BU41" s="143"/>
      <c r="BV41" s="143"/>
      <c r="BW41" s="143"/>
      <c r="BX41" s="143"/>
      <c r="BY41" s="143"/>
      <c r="BZ41" s="143"/>
      <c r="CA41" s="143"/>
      <c r="CB41" s="7"/>
      <c r="CC41" s="103"/>
      <c r="CD41" s="103"/>
      <c r="CE41" s="103"/>
      <c r="CF41" s="103"/>
      <c r="CG41" s="103"/>
      <c r="CH41" s="65"/>
      <c r="CI41" s="65"/>
      <c r="CJ41" s="65"/>
      <c r="CK41" s="65"/>
      <c r="CL41" s="65"/>
      <c r="CM41" s="65"/>
      <c r="CN41" s="65"/>
      <c r="CO41" s="65"/>
      <c r="CP41" s="65"/>
      <c r="CQ41" s="10"/>
      <c r="CX41" s="7"/>
    </row>
    <row r="42" spans="1:102" ht="14.25" customHeight="1">
      <c r="A42" s="7"/>
      <c r="B42" s="66"/>
      <c r="C42" s="63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141"/>
      <c r="X42" s="141"/>
      <c r="Y42" s="64"/>
      <c r="Z42" s="64"/>
      <c r="AA42" s="141"/>
      <c r="AB42" s="141"/>
      <c r="AC42" s="64"/>
      <c r="AD42" s="64"/>
      <c r="AE42" s="141"/>
      <c r="AF42" s="141"/>
      <c r="AG42" s="64"/>
      <c r="AH42" s="64"/>
      <c r="AI42" s="144"/>
      <c r="AJ42" s="64"/>
      <c r="AK42" s="64"/>
      <c r="AL42" s="64"/>
      <c r="AM42" s="144"/>
      <c r="AN42" s="64"/>
      <c r="AO42" s="64"/>
      <c r="AP42" s="64"/>
      <c r="AQ42" s="144"/>
      <c r="AR42" s="64"/>
      <c r="AS42" s="64"/>
      <c r="AT42" s="64"/>
      <c r="AU42" s="144"/>
      <c r="AV42" s="64"/>
      <c r="AW42" s="64"/>
      <c r="AX42" s="64"/>
      <c r="AY42" s="144"/>
      <c r="AZ42" s="64"/>
      <c r="BA42" s="64"/>
      <c r="BB42" s="64"/>
      <c r="BC42" s="144"/>
      <c r="BD42" s="64"/>
      <c r="BE42" s="64"/>
      <c r="BF42" s="64"/>
      <c r="BG42" s="144"/>
      <c r="BH42" s="64"/>
      <c r="BI42" s="64"/>
      <c r="BJ42" s="64"/>
      <c r="BK42" s="144"/>
      <c r="BL42" s="13"/>
      <c r="BM42" s="103"/>
      <c r="BN42" s="103"/>
      <c r="BO42" s="103"/>
      <c r="BP42" s="103"/>
      <c r="BQ42" s="103"/>
      <c r="BR42" s="103"/>
      <c r="BS42" s="145"/>
      <c r="BT42" s="145"/>
      <c r="BU42" s="145"/>
      <c r="BV42" s="145"/>
      <c r="BW42" s="145"/>
      <c r="BX42" s="145"/>
      <c r="BY42" s="145"/>
      <c r="BZ42" s="145"/>
      <c r="CA42" s="145"/>
      <c r="CB42" s="7"/>
      <c r="CC42" s="103"/>
      <c r="CD42" s="103"/>
      <c r="CE42" s="103"/>
      <c r="CF42" s="103"/>
      <c r="CG42" s="103"/>
      <c r="CH42" s="103"/>
      <c r="CI42" s="145"/>
      <c r="CJ42" s="145"/>
      <c r="CK42" s="145"/>
      <c r="CL42" s="145"/>
      <c r="CM42" s="145"/>
      <c r="CN42" s="145"/>
      <c r="CO42" s="145"/>
      <c r="CP42" s="145"/>
      <c r="CQ42" s="10"/>
      <c r="CX42" s="7"/>
    </row>
    <row r="43" spans="1:102" ht="14.25" customHeight="1">
      <c r="A43" s="7"/>
      <c r="B43" s="146" t="s">
        <v>45</v>
      </c>
      <c r="C43" s="147"/>
      <c r="D43" s="16" t="str">
        <f t="shared" ref="D43:AY43" si="181">D7</f>
        <v>F1Q06</v>
      </c>
      <c r="E43" s="17" t="str">
        <f t="shared" si="181"/>
        <v>F2Q06</v>
      </c>
      <c r="F43" s="17" t="str">
        <f t="shared" si="181"/>
        <v>F3Q06</v>
      </c>
      <c r="G43" s="18" t="str">
        <f t="shared" si="181"/>
        <v>F4Q06</v>
      </c>
      <c r="H43" s="16" t="str">
        <f t="shared" si="181"/>
        <v>F1Q07</v>
      </c>
      <c r="I43" s="17" t="str">
        <f t="shared" si="181"/>
        <v>F2Q07</v>
      </c>
      <c r="J43" s="17" t="str">
        <f t="shared" si="181"/>
        <v>F3Q07</v>
      </c>
      <c r="K43" s="18" t="str">
        <f t="shared" si="181"/>
        <v>F4Q07</v>
      </c>
      <c r="L43" s="16" t="str">
        <f t="shared" si="181"/>
        <v>F1Q08</v>
      </c>
      <c r="M43" s="17" t="str">
        <f t="shared" si="181"/>
        <v>F2Q08</v>
      </c>
      <c r="N43" s="17" t="str">
        <f t="shared" si="181"/>
        <v>F3Q08</v>
      </c>
      <c r="O43" s="18" t="str">
        <f t="shared" si="181"/>
        <v>F4Q08</v>
      </c>
      <c r="P43" s="16" t="str">
        <f t="shared" si="181"/>
        <v>F1Q09</v>
      </c>
      <c r="Q43" s="17" t="str">
        <f t="shared" si="181"/>
        <v>F2Q09</v>
      </c>
      <c r="R43" s="17" t="str">
        <f t="shared" si="181"/>
        <v>F3Q09</v>
      </c>
      <c r="S43" s="18" t="str">
        <f t="shared" si="181"/>
        <v>F4Q09</v>
      </c>
      <c r="T43" s="16" t="str">
        <f t="shared" si="181"/>
        <v>F1Q10</v>
      </c>
      <c r="U43" s="17" t="str">
        <f t="shared" si="181"/>
        <v>F2Q10</v>
      </c>
      <c r="V43" s="17" t="str">
        <f t="shared" si="181"/>
        <v>F3Q10</v>
      </c>
      <c r="W43" s="18" t="str">
        <f t="shared" si="181"/>
        <v>F4Q10</v>
      </c>
      <c r="X43" s="16" t="str">
        <f t="shared" si="181"/>
        <v>F1Q11</v>
      </c>
      <c r="Y43" s="17" t="str">
        <f t="shared" si="181"/>
        <v>F2Q11</v>
      </c>
      <c r="Z43" s="17" t="str">
        <f t="shared" si="181"/>
        <v>F3Q11</v>
      </c>
      <c r="AA43" s="18" t="str">
        <f t="shared" si="181"/>
        <v>F4Q11</v>
      </c>
      <c r="AB43" s="16" t="str">
        <f t="shared" si="181"/>
        <v>F1Q12</v>
      </c>
      <c r="AC43" s="17" t="str">
        <f t="shared" si="181"/>
        <v>F2Q12</v>
      </c>
      <c r="AD43" s="17" t="str">
        <f t="shared" si="181"/>
        <v>F3Q12</v>
      </c>
      <c r="AE43" s="18" t="str">
        <f t="shared" si="181"/>
        <v>F4Q12</v>
      </c>
      <c r="AF43" s="16" t="str">
        <f t="shared" si="181"/>
        <v>F1Q13</v>
      </c>
      <c r="AG43" s="17" t="str">
        <f t="shared" si="181"/>
        <v>F2Q13</v>
      </c>
      <c r="AH43" s="17" t="str">
        <f t="shared" si="181"/>
        <v>F3Q13</v>
      </c>
      <c r="AI43" s="18" t="str">
        <f t="shared" si="181"/>
        <v>F4Q13</v>
      </c>
      <c r="AJ43" s="16" t="str">
        <f t="shared" si="181"/>
        <v>F1Q14</v>
      </c>
      <c r="AK43" s="17" t="str">
        <f t="shared" si="181"/>
        <v>F2Q14A</v>
      </c>
      <c r="AL43" s="17" t="str">
        <f t="shared" si="181"/>
        <v>F3Q14A</v>
      </c>
      <c r="AM43" s="18" t="str">
        <f t="shared" si="181"/>
        <v>F4Q14A</v>
      </c>
      <c r="AN43" s="16" t="str">
        <f t="shared" si="181"/>
        <v>F1Q15A</v>
      </c>
      <c r="AO43" s="17" t="str">
        <f t="shared" si="181"/>
        <v>F2Q15A</v>
      </c>
      <c r="AP43" s="17" t="str">
        <f t="shared" ref="AP43:AS43" si="182">AP7</f>
        <v>F3Q15A</v>
      </c>
      <c r="AQ43" s="952" t="str">
        <f t="shared" si="182"/>
        <v>F4Q15A</v>
      </c>
      <c r="AR43" s="1138" t="str">
        <f t="shared" si="182"/>
        <v>F1Q16A</v>
      </c>
      <c r="AS43" s="1139" t="str">
        <f t="shared" si="182"/>
        <v>F2Q16A</v>
      </c>
      <c r="AT43" s="1139" t="str">
        <f t="shared" ref="AT43:AV43" si="183">AT7</f>
        <v>F3Q16A</v>
      </c>
      <c r="AU43" s="1140" t="str">
        <f t="shared" si="183"/>
        <v>F4Q16A</v>
      </c>
      <c r="AV43" s="1224" t="str">
        <f t="shared" si="183"/>
        <v>F1Q17A</v>
      </c>
      <c r="AW43" s="1139" t="str">
        <f t="shared" si="181"/>
        <v>F2Q17A</v>
      </c>
      <c r="AX43" s="1139" t="str">
        <f t="shared" si="181"/>
        <v>F3Q17A</v>
      </c>
      <c r="AY43" s="1140" t="str">
        <f t="shared" si="181"/>
        <v>F4Q17A</v>
      </c>
      <c r="AZ43" s="1306" t="str">
        <f t="shared" ref="AZ43:BC43" si="184">AZ7</f>
        <v>F1Q18A</v>
      </c>
      <c r="BA43" s="1225" t="str">
        <f t="shared" si="184"/>
        <v>F2Q18E</v>
      </c>
      <c r="BB43" s="1225" t="str">
        <f t="shared" si="184"/>
        <v>F3Q18E</v>
      </c>
      <c r="BC43" s="1226" t="str">
        <f t="shared" si="184"/>
        <v>F4Q18E</v>
      </c>
      <c r="BD43" s="1224" t="str">
        <f t="shared" ref="BD43:BG43" si="185">BD7</f>
        <v>F1Q19E</v>
      </c>
      <c r="BE43" s="1225" t="str">
        <f t="shared" si="185"/>
        <v>F2Q19E</v>
      </c>
      <c r="BF43" s="1225" t="str">
        <f t="shared" si="185"/>
        <v>F3Q19E</v>
      </c>
      <c r="BG43" s="1226" t="str">
        <f t="shared" si="185"/>
        <v>F4Q19E</v>
      </c>
      <c r="BH43" s="1361" t="str">
        <f t="shared" ref="BH43:BK43" si="186">BH7</f>
        <v>F1Q20E</v>
      </c>
      <c r="BI43" s="1362" t="str">
        <f t="shared" si="186"/>
        <v>F2Q20E</v>
      </c>
      <c r="BJ43" s="1362" t="str">
        <f t="shared" si="186"/>
        <v>F3Q20E</v>
      </c>
      <c r="BK43" s="1363" t="str">
        <f t="shared" si="186"/>
        <v>F4Q20E</v>
      </c>
      <c r="BL43" s="232"/>
      <c r="BM43" s="16" t="str">
        <f t="shared" ref="BM43:BX43" si="187">BM7</f>
        <v>FY2006</v>
      </c>
      <c r="BN43" s="17" t="str">
        <f t="shared" si="187"/>
        <v>FY2007</v>
      </c>
      <c r="BO43" s="17" t="str">
        <f t="shared" si="187"/>
        <v>FY2008</v>
      </c>
      <c r="BP43" s="17" t="str">
        <f t="shared" si="187"/>
        <v>FY2009</v>
      </c>
      <c r="BQ43" s="17" t="str">
        <f t="shared" si="187"/>
        <v>FY2010</v>
      </c>
      <c r="BR43" s="18" t="str">
        <f t="shared" si="187"/>
        <v>FY2011</v>
      </c>
      <c r="BS43" s="17" t="str">
        <f t="shared" si="187"/>
        <v>FY2012</v>
      </c>
      <c r="BT43" s="17" t="str">
        <f t="shared" si="187"/>
        <v>FY2013</v>
      </c>
      <c r="BU43" s="17" t="str">
        <f t="shared" si="187"/>
        <v>FY2014A</v>
      </c>
      <c r="BV43" s="17" t="str">
        <f t="shared" si="187"/>
        <v>FY2015A</v>
      </c>
      <c r="BW43" s="17" t="str">
        <f t="shared" si="187"/>
        <v>FY2016A</v>
      </c>
      <c r="BX43" s="1361" t="str">
        <f t="shared" si="187"/>
        <v>FY2017A</v>
      </c>
      <c r="BY43" s="1362" t="str">
        <f t="shared" ref="BY43:BZ43" si="188">BY7</f>
        <v>FY2018E</v>
      </c>
      <c r="BZ43" s="1362" t="str">
        <f t="shared" si="188"/>
        <v>FY2019E</v>
      </c>
      <c r="CA43" s="1363" t="str">
        <f t="shared" ref="CA43" si="189">CA7</f>
        <v>FY2020E</v>
      </c>
      <c r="CB43" s="19"/>
      <c r="CC43" s="16" t="str">
        <f t="shared" ref="CC43:CM43" si="190">CC7</f>
        <v>CY2006</v>
      </c>
      <c r="CD43" s="17" t="str">
        <f t="shared" si="190"/>
        <v>CY2007</v>
      </c>
      <c r="CE43" s="17" t="str">
        <f t="shared" si="190"/>
        <v>CY2008</v>
      </c>
      <c r="CF43" s="17" t="str">
        <f t="shared" si="190"/>
        <v>CY2009</v>
      </c>
      <c r="CG43" s="17" t="str">
        <f t="shared" si="190"/>
        <v>CY2010</v>
      </c>
      <c r="CH43" s="18" t="str">
        <f t="shared" si="190"/>
        <v>CY2011</v>
      </c>
      <c r="CI43" s="17" t="str">
        <f t="shared" si="190"/>
        <v>CY2012</v>
      </c>
      <c r="CJ43" s="17" t="str">
        <f t="shared" si="190"/>
        <v>CY2013</v>
      </c>
      <c r="CK43" s="17" t="str">
        <f t="shared" si="190"/>
        <v>CY2014A</v>
      </c>
      <c r="CL43" s="17" t="str">
        <f t="shared" si="190"/>
        <v>CY2015A</v>
      </c>
      <c r="CM43" s="951" t="str">
        <f t="shared" si="190"/>
        <v>CY2016A</v>
      </c>
      <c r="CN43" s="1225" t="str">
        <f t="shared" ref="CN43:CO43" si="191">CN7</f>
        <v>CY2017A</v>
      </c>
      <c r="CO43" s="1362" t="str">
        <f t="shared" si="191"/>
        <v>CY2018E</v>
      </c>
      <c r="CP43" s="1363" t="str">
        <f t="shared" ref="CP43" si="192">CP7</f>
        <v>CY2019E</v>
      </c>
      <c r="CQ43" s="10"/>
      <c r="CX43" s="7"/>
    </row>
    <row r="44" spans="1:102" ht="14.25" customHeight="1">
      <c r="A44" s="7"/>
      <c r="B44" s="21" t="s">
        <v>46</v>
      </c>
      <c r="C44" s="22"/>
      <c r="D44" s="74">
        <f t="shared" ref="D44:AJ44" si="193">D11/(D51*4)*365</f>
        <v>71.435714285714283</v>
      </c>
      <c r="E44" s="75">
        <f t="shared" si="193"/>
        <v>55.707872928176798</v>
      </c>
      <c r="F44" s="75">
        <f t="shared" si="193"/>
        <v>43.612132352941181</v>
      </c>
      <c r="G44" s="76">
        <f t="shared" si="193"/>
        <v>43.419211195928753</v>
      </c>
      <c r="H44" s="74">
        <f t="shared" si="193"/>
        <v>42.826666666666668</v>
      </c>
      <c r="I44" s="75">
        <f t="shared" si="193"/>
        <v>49.467105263157897</v>
      </c>
      <c r="J44" s="75">
        <f t="shared" si="193"/>
        <v>52.4507874015748</v>
      </c>
      <c r="K44" s="76">
        <f t="shared" si="193"/>
        <v>50.875959079283895</v>
      </c>
      <c r="L44" s="74">
        <f t="shared" si="193"/>
        <v>53.342661691542283</v>
      </c>
      <c r="M44" s="75">
        <f t="shared" si="193"/>
        <v>47.290145985401466</v>
      </c>
      <c r="N44" s="75">
        <f t="shared" si="193"/>
        <v>44.273917995444194</v>
      </c>
      <c r="O44" s="76">
        <f t="shared" si="193"/>
        <v>37.561521252796418</v>
      </c>
      <c r="P44" s="74">
        <f t="shared" si="193"/>
        <v>45.625</v>
      </c>
      <c r="Q44" s="75">
        <f t="shared" si="193"/>
        <v>51.942307692307693</v>
      </c>
      <c r="R44" s="75">
        <f t="shared" si="193"/>
        <v>44.745179063360879</v>
      </c>
      <c r="S44" s="76">
        <f t="shared" si="193"/>
        <v>39.655373831775698</v>
      </c>
      <c r="T44" s="74">
        <f t="shared" si="193"/>
        <v>40.622258771929822</v>
      </c>
      <c r="U44" s="75">
        <f t="shared" si="193"/>
        <v>44.118932038834949</v>
      </c>
      <c r="V44" s="75">
        <f t="shared" si="193"/>
        <v>46.288636363636371</v>
      </c>
      <c r="W44" s="76">
        <f t="shared" si="193"/>
        <v>45.465472027972027</v>
      </c>
      <c r="X44" s="74">
        <f t="shared" si="193"/>
        <v>48.279545454545449</v>
      </c>
      <c r="Y44" s="303">
        <f t="shared" si="193"/>
        <v>47.091517857142861</v>
      </c>
      <c r="Z44" s="303">
        <f t="shared" si="193"/>
        <v>43.128109452736318</v>
      </c>
      <c r="AA44" s="76">
        <f t="shared" si="193"/>
        <v>48.041733547351519</v>
      </c>
      <c r="AB44" s="74">
        <f t="shared" si="193"/>
        <v>49.920071047957364</v>
      </c>
      <c r="AC44" s="303">
        <f t="shared" si="193"/>
        <v>43.331889081455806</v>
      </c>
      <c r="AD44" s="303">
        <f t="shared" si="193"/>
        <v>49.690594059405946</v>
      </c>
      <c r="AE44" s="76">
        <f t="shared" si="193"/>
        <v>50.349919093851135</v>
      </c>
      <c r="AF44" s="74">
        <f t="shared" si="193"/>
        <v>42.13975694444445</v>
      </c>
      <c r="AG44" s="303">
        <f t="shared" si="193"/>
        <v>44.001334519572957</v>
      </c>
      <c r="AH44" s="303">
        <f t="shared" si="193"/>
        <v>51.717779503105596</v>
      </c>
      <c r="AI44" s="76">
        <f t="shared" si="193"/>
        <v>51.683604336043359</v>
      </c>
      <c r="AJ44" s="74">
        <f t="shared" si="193"/>
        <v>41.570874471086036</v>
      </c>
      <c r="AK44" s="303">
        <f t="shared" ref="AK44:AP44" si="194">AK11/(AK51*4)*365</f>
        <v>41.524607703281028</v>
      </c>
      <c r="AL44" s="303">
        <f t="shared" si="194"/>
        <v>42.425137903861305</v>
      </c>
      <c r="AM44" s="76">
        <f t="shared" si="194"/>
        <v>44.878930817610062</v>
      </c>
      <c r="AN44" s="74">
        <f t="shared" si="194"/>
        <v>40.071865443425075</v>
      </c>
      <c r="AO44" s="303">
        <f t="shared" si="194"/>
        <v>42.854708798017349</v>
      </c>
      <c r="AP44" s="303">
        <f t="shared" si="194"/>
        <v>42.548270893371757</v>
      </c>
      <c r="AQ44" s="76">
        <f t="shared" ref="AQ44:AT44" si="195">AQ11/(AQ51*4)*365</f>
        <v>50.534646739130437</v>
      </c>
      <c r="AR44" s="74">
        <f t="shared" si="195"/>
        <v>54.616036137775275</v>
      </c>
      <c r="AS44" s="1152">
        <f t="shared" si="195"/>
        <v>47.854066647839595</v>
      </c>
      <c r="AT44" s="1152">
        <f t="shared" si="195"/>
        <v>52.483188291139236</v>
      </c>
      <c r="AU44" s="76">
        <f t="shared" ref="AU44:AX44" si="196">AU11/(AU51*4)*365</f>
        <v>48.11804883945841</v>
      </c>
      <c r="AV44" s="74">
        <f t="shared" si="196"/>
        <v>42.924317467987436</v>
      </c>
      <c r="AW44" s="1152">
        <f t="shared" si="196"/>
        <v>45.1458830548926</v>
      </c>
      <c r="AX44" s="1152">
        <f t="shared" si="196"/>
        <v>49.417712301142728</v>
      </c>
      <c r="AY44" s="76">
        <f t="shared" ref="AY44:AZ44" si="197">AY11/(AY51*4)*365</f>
        <v>46.114781172584642</v>
      </c>
      <c r="AZ44" s="74">
        <f t="shared" si="197"/>
        <v>42.121972967899382</v>
      </c>
      <c r="BA44" s="1161">
        <v>44</v>
      </c>
      <c r="BB44" s="1161">
        <v>42</v>
      </c>
      <c r="BC44" s="1162">
        <v>40</v>
      </c>
      <c r="BD44" s="1299">
        <f>BC44</f>
        <v>40</v>
      </c>
      <c r="BE44" s="1161">
        <f>BD44</f>
        <v>40</v>
      </c>
      <c r="BF44" s="1161">
        <v>40</v>
      </c>
      <c r="BG44" s="1162">
        <f>BF44</f>
        <v>40</v>
      </c>
      <c r="BH44" s="1299">
        <v>40</v>
      </c>
      <c r="BI44" s="1161">
        <f>BH44</f>
        <v>40</v>
      </c>
      <c r="BJ44" s="1161">
        <f>BI44</f>
        <v>40</v>
      </c>
      <c r="BK44" s="1162">
        <f>BJ44</f>
        <v>40</v>
      </c>
      <c r="BL44" s="791"/>
      <c r="BM44" s="153">
        <f t="shared" ref="BM44:BX44" si="198">BM11/BM51*365</f>
        <v>45.112359550561798</v>
      </c>
      <c r="BN44" s="148">
        <f t="shared" si="198"/>
        <v>52.108709888670596</v>
      </c>
      <c r="BO44" s="148">
        <f t="shared" si="198"/>
        <v>39.529134785167741</v>
      </c>
      <c r="BP44" s="148">
        <f t="shared" si="198"/>
        <v>45.747978436657682</v>
      </c>
      <c r="BQ44" s="148">
        <f t="shared" si="198"/>
        <v>49.701385570950784</v>
      </c>
      <c r="BR44" s="152">
        <f t="shared" si="198"/>
        <v>51.25</v>
      </c>
      <c r="BS44" s="148">
        <f t="shared" si="198"/>
        <v>52.650169204737729</v>
      </c>
      <c r="BT44" s="148">
        <f t="shared" si="198"/>
        <v>60.543650793650791</v>
      </c>
      <c r="BU44" s="148">
        <f t="shared" si="198"/>
        <v>66.861091590536418</v>
      </c>
      <c r="BV44" s="148">
        <f t="shared" si="198"/>
        <v>54.503956623681127</v>
      </c>
      <c r="BW44" s="148">
        <f t="shared" si="198"/>
        <v>60.125755287009063</v>
      </c>
      <c r="BX44" s="153">
        <f t="shared" si="198"/>
        <v>50.664549784531637</v>
      </c>
      <c r="BY44" s="148">
        <f t="shared" ref="BY44:BZ44" si="199">BY11/BY51*365</f>
        <v>42.854552534480639</v>
      </c>
      <c r="BZ44" s="148">
        <f t="shared" si="199"/>
        <v>45.072262554186189</v>
      </c>
      <c r="CA44" s="152">
        <f t="shared" ref="CA44" si="200">CA11/CA51*365</f>
        <v>42.705343953802988</v>
      </c>
      <c r="CB44" s="19"/>
      <c r="CC44" s="153">
        <f t="shared" ref="CC44:CM44" si="201">CC11/CC51*365</f>
        <v>41.76853055916775</v>
      </c>
      <c r="CD44" s="148">
        <f t="shared" si="201"/>
        <v>55.196267696267697</v>
      </c>
      <c r="CE44" s="148">
        <f t="shared" si="201"/>
        <v>40.336336336336338</v>
      </c>
      <c r="CF44" s="148">
        <f t="shared" si="201"/>
        <v>47.134223918575067</v>
      </c>
      <c r="CG44" s="148">
        <f t="shared" si="201"/>
        <v>48.566529492455416</v>
      </c>
      <c r="CH44" s="152">
        <f t="shared" si="201"/>
        <v>47.858663260962111</v>
      </c>
      <c r="CI44" s="148">
        <f t="shared" si="201"/>
        <v>40.84560370214556</v>
      </c>
      <c r="CJ44" s="148">
        <f t="shared" si="201"/>
        <v>44.438371654730496</v>
      </c>
      <c r="CK44" s="148">
        <f t="shared" si="201"/>
        <v>50.446583253128011</v>
      </c>
      <c r="CL44" s="148">
        <f t="shared" si="201"/>
        <v>55.589080459770116</v>
      </c>
      <c r="CM44" s="148">
        <f t="shared" si="201"/>
        <v>45.531458226550484</v>
      </c>
      <c r="CN44" s="148">
        <f t="shared" ref="CN44:CO44" si="202">CN11/CN51*365</f>
        <v>47.680354866128347</v>
      </c>
      <c r="CO44" s="148">
        <f t="shared" si="202"/>
        <v>40.915533721641843</v>
      </c>
      <c r="CP44" s="152">
        <f t="shared" ref="CP44" si="203">CP11/CP51*365</f>
        <v>41.985115949983296</v>
      </c>
      <c r="CQ44" s="10"/>
      <c r="CX44" s="7"/>
    </row>
    <row r="45" spans="1:102" ht="14.25" customHeight="1">
      <c r="A45" s="7"/>
      <c r="B45" s="21" t="s">
        <v>47</v>
      </c>
      <c r="C45" s="22"/>
      <c r="D45" s="74">
        <f t="shared" ref="D45:W45" si="204">365/D46</f>
        <v>6.1173184357541901</v>
      </c>
      <c r="E45" s="75">
        <f t="shared" si="204"/>
        <v>5.237879767291532</v>
      </c>
      <c r="F45" s="75">
        <f t="shared" si="204"/>
        <v>5.5883442400296337</v>
      </c>
      <c r="G45" s="76">
        <f t="shared" si="204"/>
        <v>6.4080889524676508</v>
      </c>
      <c r="H45" s="74">
        <f t="shared" si="204"/>
        <v>5.6782073348338411</v>
      </c>
      <c r="I45" s="75">
        <f t="shared" si="204"/>
        <v>6.4231921924229614</v>
      </c>
      <c r="J45" s="75">
        <f t="shared" si="204"/>
        <v>6.5249187432286027</v>
      </c>
      <c r="K45" s="76">
        <f t="shared" si="204"/>
        <v>6.9046310832025108</v>
      </c>
      <c r="L45" s="74">
        <f t="shared" si="204"/>
        <v>6.0295913237089707</v>
      </c>
      <c r="M45" s="75">
        <f t="shared" si="204"/>
        <v>5.7265325036409376</v>
      </c>
      <c r="N45" s="75">
        <f t="shared" si="204"/>
        <v>5.2163639469338952</v>
      </c>
      <c r="O45" s="76">
        <f t="shared" si="204"/>
        <v>5.6111176057984569</v>
      </c>
      <c r="P45" s="74">
        <f t="shared" si="204"/>
        <v>4.5968638103469566</v>
      </c>
      <c r="Q45" s="75">
        <f t="shared" si="204"/>
        <v>5.5781966377992864</v>
      </c>
      <c r="R45" s="75">
        <f t="shared" si="204"/>
        <v>5.3742009624362561</v>
      </c>
      <c r="S45" s="76">
        <f t="shared" si="204"/>
        <v>5.84316917650251</v>
      </c>
      <c r="T45" s="74">
        <f t="shared" si="204"/>
        <v>5.96815834767642</v>
      </c>
      <c r="U45" s="75">
        <f t="shared" si="204"/>
        <v>6.0390171626126676</v>
      </c>
      <c r="V45" s="75">
        <f t="shared" si="204"/>
        <v>5.8755568755568763</v>
      </c>
      <c r="W45" s="76">
        <f t="shared" si="204"/>
        <v>5.9846502703645559</v>
      </c>
      <c r="X45" s="74">
        <f t="shared" ref="X45:BK45" si="205">365/X46</f>
        <v>5.2360201374979694</v>
      </c>
      <c r="Y45" s="75">
        <f t="shared" si="205"/>
        <v>5.6029794947320717</v>
      </c>
      <c r="Z45" s="75">
        <f t="shared" si="205"/>
        <v>5.8560439560439566</v>
      </c>
      <c r="AA45" s="76">
        <f t="shared" si="205"/>
        <v>6.3059363317095283</v>
      </c>
      <c r="AB45" s="74">
        <f t="shared" si="205"/>
        <v>5.7982690884245285</v>
      </c>
      <c r="AC45" s="75">
        <f t="shared" si="205"/>
        <v>5.2253251335820146</v>
      </c>
      <c r="AD45" s="75">
        <f t="shared" si="205"/>
        <v>5.5151098901098896</v>
      </c>
      <c r="AE45" s="76">
        <f t="shared" si="205"/>
        <v>6.2852611306219544</v>
      </c>
      <c r="AF45" s="74">
        <f t="shared" si="205"/>
        <v>5.5151098901098896</v>
      </c>
      <c r="AG45" s="75">
        <f t="shared" si="205"/>
        <v>4.8342050962138297</v>
      </c>
      <c r="AH45" s="75">
        <f t="shared" si="205"/>
        <v>4.5053010369911775</v>
      </c>
      <c r="AI45" s="76">
        <f t="shared" si="205"/>
        <v>5.1791016001542314</v>
      </c>
      <c r="AJ45" s="74">
        <f t="shared" si="205"/>
        <v>4.8524552370706227</v>
      </c>
      <c r="AK45" s="75">
        <f t="shared" si="205"/>
        <v>4.3041509985031583</v>
      </c>
      <c r="AL45" s="75">
        <f t="shared" si="205"/>
        <v>4.4936391409420455</v>
      </c>
      <c r="AM45" s="76">
        <f t="shared" si="205"/>
        <v>5.0774947595756847</v>
      </c>
      <c r="AN45" s="74">
        <f t="shared" si="205"/>
        <v>5.350659340659341</v>
      </c>
      <c r="AO45" s="75">
        <f t="shared" si="205"/>
        <v>5.0915003363982958</v>
      </c>
      <c r="AP45" s="75">
        <f t="shared" si="205"/>
        <v>5.3717190107722654</v>
      </c>
      <c r="AQ45" s="76">
        <f t="shared" si="205"/>
        <v>5.3428823085311627</v>
      </c>
      <c r="AR45" s="74">
        <f t="shared" si="205"/>
        <v>5.6317559991029382</v>
      </c>
      <c r="AS45" s="75">
        <f t="shared" si="205"/>
        <v>3.8715476752286566</v>
      </c>
      <c r="AT45" s="75">
        <f t="shared" si="205"/>
        <v>4.6375140938693766</v>
      </c>
      <c r="AU45" s="76">
        <f t="shared" si="205"/>
        <v>4.664207221350078</v>
      </c>
      <c r="AV45" s="74">
        <f t="shared" si="205"/>
        <v>4.6924968743831021</v>
      </c>
      <c r="AW45" s="75">
        <f t="shared" si="205"/>
        <v>4.7513851518428174</v>
      </c>
      <c r="AX45" s="75">
        <f t="shared" si="205"/>
        <v>4.636041805853127</v>
      </c>
      <c r="AY45" s="76">
        <f t="shared" si="205"/>
        <v>4.9700782976525897</v>
      </c>
      <c r="AZ45" s="74">
        <f t="shared" si="205"/>
        <v>5.8813340029451568</v>
      </c>
      <c r="BA45" s="75">
        <f t="shared" si="205"/>
        <v>5.887096774193548</v>
      </c>
      <c r="BB45" s="75">
        <f t="shared" si="205"/>
        <v>5.887096774193548</v>
      </c>
      <c r="BC45" s="76">
        <f t="shared" si="205"/>
        <v>5.887096774193548</v>
      </c>
      <c r="BD45" s="74">
        <f t="shared" si="205"/>
        <v>4.8666666666666663</v>
      </c>
      <c r="BE45" s="75">
        <f t="shared" si="205"/>
        <v>4.9324324324324325</v>
      </c>
      <c r="BF45" s="75">
        <f t="shared" si="205"/>
        <v>5</v>
      </c>
      <c r="BG45" s="76">
        <f t="shared" si="205"/>
        <v>5.0694444444444446</v>
      </c>
      <c r="BH45" s="74">
        <f t="shared" si="205"/>
        <v>5.2142857142857144</v>
      </c>
      <c r="BI45" s="75">
        <f t="shared" si="205"/>
        <v>5.2142857142857144</v>
      </c>
      <c r="BJ45" s="75">
        <f t="shared" si="205"/>
        <v>5.2142857142857144</v>
      </c>
      <c r="BK45" s="76">
        <f t="shared" si="205"/>
        <v>5.2142857142857144</v>
      </c>
      <c r="BL45" s="791"/>
      <c r="BM45" s="74">
        <f>365/BM46</f>
        <v>5.9940828402366861</v>
      </c>
      <c r="BN45" s="75">
        <f>365/BN46</f>
        <v>6.6857142857142859</v>
      </c>
      <c r="BO45" s="75">
        <f>365/BO46</f>
        <v>5.2180851063829783</v>
      </c>
      <c r="BP45" s="75">
        <f t="shared" ref="BP45:BV45" si="206">365/BP46</f>
        <v>5.2777777777777777</v>
      </c>
      <c r="BQ45" s="75">
        <f t="shared" si="206"/>
        <v>5.6507936507936511</v>
      </c>
      <c r="BR45" s="76">
        <f t="shared" si="206"/>
        <v>5.84020618556701</v>
      </c>
      <c r="BS45" s="75">
        <f t="shared" si="206"/>
        <v>6.0000000000000009</v>
      </c>
      <c r="BT45" s="75">
        <f t="shared" si="206"/>
        <v>4.382456140350877</v>
      </c>
      <c r="BU45" s="75">
        <f t="shared" si="206"/>
        <v>3.5953757225433529</v>
      </c>
      <c r="BV45" s="75">
        <f t="shared" si="206"/>
        <v>5.0877862595419847</v>
      </c>
      <c r="BW45" s="75">
        <f>365/BW46</f>
        <v>3.7442857142857142</v>
      </c>
      <c r="BX45" s="74">
        <f>365/BX46</f>
        <v>4.5355908776779543</v>
      </c>
      <c r="BY45" s="75">
        <f>365/BY46</f>
        <v>5.4006979185824351</v>
      </c>
      <c r="BZ45" s="75">
        <f>365/BZ46</f>
        <v>4.4832236616839687</v>
      </c>
      <c r="CA45" s="1388">
        <f>365/CA46</f>
        <v>4.8821306880561117</v>
      </c>
      <c r="CB45" s="19"/>
      <c r="CC45" s="74">
        <f t="shared" ref="CC45:CP45" si="207">365/CC46</f>
        <v>5.8734939759036147</v>
      </c>
      <c r="CD45" s="75">
        <f t="shared" si="207"/>
        <v>6.0849673202614376</v>
      </c>
      <c r="CE45" s="75">
        <f t="shared" si="207"/>
        <v>5.3651685393258424</v>
      </c>
      <c r="CF45" s="75">
        <f t="shared" si="207"/>
        <v>5.4096385542168681</v>
      </c>
      <c r="CG45" s="75">
        <f t="shared" si="207"/>
        <v>5.3497536945812811</v>
      </c>
      <c r="CH45" s="76">
        <f t="shared" si="207"/>
        <v>5.9430051813471501</v>
      </c>
      <c r="CI45" s="75">
        <f t="shared" si="207"/>
        <v>5.6298076923076925</v>
      </c>
      <c r="CJ45" s="75">
        <f t="shared" si="207"/>
        <v>4.5769230769230775</v>
      </c>
      <c r="CK45" s="75">
        <f t="shared" si="207"/>
        <v>4.3739999999999997</v>
      </c>
      <c r="CL45" s="75">
        <f t="shared" si="207"/>
        <v>5.4836734693877549</v>
      </c>
      <c r="CM45" s="75">
        <f t="shared" si="207"/>
        <v>4.5785928143712571</v>
      </c>
      <c r="CN45" s="75">
        <f t="shared" si="207"/>
        <v>5.3392718822618122</v>
      </c>
      <c r="CO45" s="75">
        <f t="shared" si="207"/>
        <v>4.7364928130262136</v>
      </c>
      <c r="CP45" s="76">
        <f t="shared" si="207"/>
        <v>4.9690106971200079</v>
      </c>
      <c r="CQ45" s="10"/>
      <c r="CX45" s="7"/>
    </row>
    <row r="46" spans="1:102" ht="14.25" customHeight="1">
      <c r="A46" s="7"/>
      <c r="B46" s="21" t="s">
        <v>48</v>
      </c>
      <c r="C46" s="22"/>
      <c r="D46" s="74">
        <f t="shared" ref="D46:AJ46" si="208">(D12/D52)*91</f>
        <v>59.666666666666664</v>
      </c>
      <c r="E46" s="75">
        <f t="shared" si="208"/>
        <v>69.684684684684683</v>
      </c>
      <c r="F46" s="75">
        <f t="shared" si="208"/>
        <v>65.314516129032256</v>
      </c>
      <c r="G46" s="76">
        <f t="shared" si="208"/>
        <v>56.959259259259255</v>
      </c>
      <c r="H46" s="74">
        <f t="shared" si="208"/>
        <v>64.280851063829786</v>
      </c>
      <c r="I46" s="75">
        <f t="shared" si="208"/>
        <v>56.825327510917035</v>
      </c>
      <c r="J46" s="75">
        <f t="shared" si="208"/>
        <v>55.939393939393938</v>
      </c>
      <c r="K46" s="76">
        <f t="shared" si="208"/>
        <v>52.863070539419091</v>
      </c>
      <c r="L46" s="74">
        <f t="shared" si="208"/>
        <v>60.534782608695657</v>
      </c>
      <c r="M46" s="75">
        <f t="shared" si="208"/>
        <v>63.738396624472571</v>
      </c>
      <c r="N46" s="75">
        <f t="shared" si="208"/>
        <v>69.972111553784856</v>
      </c>
      <c r="O46" s="76">
        <f t="shared" si="208"/>
        <v>65.049429657794676</v>
      </c>
      <c r="P46" s="74">
        <f t="shared" si="208"/>
        <v>79.401960784313729</v>
      </c>
      <c r="Q46" s="75">
        <f t="shared" si="208"/>
        <v>65.433333333333337</v>
      </c>
      <c r="R46" s="75">
        <f t="shared" si="208"/>
        <v>67.917073170731712</v>
      </c>
      <c r="S46" s="76">
        <f t="shared" si="208"/>
        <v>62.466101694915253</v>
      </c>
      <c r="T46" s="74">
        <f t="shared" si="208"/>
        <v>61.15789473684211</v>
      </c>
      <c r="U46" s="75">
        <f t="shared" si="208"/>
        <v>60.440298507462693</v>
      </c>
      <c r="V46" s="75">
        <f t="shared" si="208"/>
        <v>62.121771217712173</v>
      </c>
      <c r="W46" s="76">
        <f t="shared" si="208"/>
        <v>60.98936170212766</v>
      </c>
      <c r="X46" s="74">
        <f t="shared" si="208"/>
        <v>69.709433962264157</v>
      </c>
      <c r="Y46" s="303">
        <f t="shared" si="208"/>
        <v>65.14391143911439</v>
      </c>
      <c r="Z46" s="303">
        <f t="shared" si="208"/>
        <v>62.328767123287669</v>
      </c>
      <c r="AA46" s="76">
        <f t="shared" si="208"/>
        <v>57.881967213114748</v>
      </c>
      <c r="AB46" s="74">
        <f t="shared" si="208"/>
        <v>62.949820788530467</v>
      </c>
      <c r="AC46" s="303">
        <f t="shared" si="208"/>
        <v>69.852112676056336</v>
      </c>
      <c r="AD46" s="303">
        <f t="shared" si="208"/>
        <v>66.181818181818187</v>
      </c>
      <c r="AE46" s="76">
        <f t="shared" si="208"/>
        <v>58.072368421052637</v>
      </c>
      <c r="AF46" s="74">
        <f t="shared" si="208"/>
        <v>66.181818181818187</v>
      </c>
      <c r="AG46" s="303">
        <f t="shared" si="208"/>
        <v>75.503623188405797</v>
      </c>
      <c r="AH46" s="303">
        <f t="shared" si="208"/>
        <v>81.015673981191227</v>
      </c>
      <c r="AI46" s="76">
        <f t="shared" si="208"/>
        <v>70.475543478260875</v>
      </c>
      <c r="AJ46" s="74">
        <f t="shared" si="208"/>
        <v>75.219653179190743</v>
      </c>
      <c r="AK46" s="303">
        <f t="shared" ref="AK46:AP46" si="209">(AK12/AK52)*91</f>
        <v>84.801857585139317</v>
      </c>
      <c r="AL46" s="303">
        <f t="shared" si="209"/>
        <v>81.225925925925921</v>
      </c>
      <c r="AM46" s="76">
        <f t="shared" si="209"/>
        <v>71.885844748858446</v>
      </c>
      <c r="AN46" s="74">
        <f t="shared" si="209"/>
        <v>68.215892053973008</v>
      </c>
      <c r="AO46" s="303">
        <f t="shared" si="209"/>
        <v>71.688102893890672</v>
      </c>
      <c r="AP46" s="303">
        <f t="shared" si="209"/>
        <v>67.948453608247419</v>
      </c>
      <c r="AQ46" s="76">
        <f t="shared" ref="AQ46:AT46" si="210">(AQ12/AQ52)*91</f>
        <v>68.315186246418349</v>
      </c>
      <c r="AR46" s="74">
        <f t="shared" si="210"/>
        <v>64.811046511627907</v>
      </c>
      <c r="AS46" s="1152">
        <f t="shared" si="210"/>
        <v>94.277542372881356</v>
      </c>
      <c r="AT46" s="1152">
        <f t="shared" si="210"/>
        <v>78.705960264900668</v>
      </c>
      <c r="AU46" s="76">
        <f t="shared" ref="AU46:AX46" si="211">(AU12/AU52)*91</f>
        <v>78.255528255528262</v>
      </c>
      <c r="AV46" s="74">
        <f t="shared" si="211"/>
        <v>77.783749200255912</v>
      </c>
      <c r="AW46" s="1152">
        <f t="shared" si="211"/>
        <v>76.819703799098519</v>
      </c>
      <c r="AX46" s="1152">
        <f t="shared" si="211"/>
        <v>78.730955259975815</v>
      </c>
      <c r="AY46" s="76">
        <f t="shared" ref="AY46:AZ46" si="212">(AY12/AY52)*91</f>
        <v>73.439486893474623</v>
      </c>
      <c r="AZ46" s="74">
        <f t="shared" si="212"/>
        <v>62.060750132065508</v>
      </c>
      <c r="BA46" s="1161">
        <v>62</v>
      </c>
      <c r="BB46" s="1161">
        <f t="shared" ref="BB46:BC46" si="213">BA46</f>
        <v>62</v>
      </c>
      <c r="BC46" s="1162">
        <f t="shared" si="213"/>
        <v>62</v>
      </c>
      <c r="BD46" s="1299">
        <v>75</v>
      </c>
      <c r="BE46" s="1161">
        <v>74</v>
      </c>
      <c r="BF46" s="1161">
        <v>73</v>
      </c>
      <c r="BG46" s="1162">
        <v>72</v>
      </c>
      <c r="BH46" s="1299">
        <v>70</v>
      </c>
      <c r="BI46" s="1161">
        <f t="shared" ref="BI46:BI48" si="214">BH46</f>
        <v>70</v>
      </c>
      <c r="BJ46" s="1161">
        <f t="shared" ref="BJ46:BJ48" si="215">BI46</f>
        <v>70</v>
      </c>
      <c r="BK46" s="1162">
        <f t="shared" ref="BK46:BK48" si="216">BJ46</f>
        <v>70</v>
      </c>
      <c r="BL46" s="791"/>
      <c r="BM46" s="74">
        <f t="shared" ref="BM46:BX46" si="217">(BM12/BM52)*365</f>
        <v>60.893385982231003</v>
      </c>
      <c r="BN46" s="75">
        <f t="shared" si="217"/>
        <v>54.59401709401709</v>
      </c>
      <c r="BO46" s="75">
        <f t="shared" si="217"/>
        <v>69.94903160040775</v>
      </c>
      <c r="BP46" s="75">
        <f t="shared" si="217"/>
        <v>69.15789473684211</v>
      </c>
      <c r="BQ46" s="75">
        <f t="shared" si="217"/>
        <v>64.592696629213478</v>
      </c>
      <c r="BR46" s="76">
        <f t="shared" si="217"/>
        <v>62.497793468667254</v>
      </c>
      <c r="BS46" s="75">
        <f t="shared" si="217"/>
        <v>60.833333333333329</v>
      </c>
      <c r="BT46" s="75">
        <f t="shared" si="217"/>
        <v>83.286629303442751</v>
      </c>
      <c r="BU46" s="75">
        <f t="shared" si="217"/>
        <v>101.5192926045016</v>
      </c>
      <c r="BV46" s="75">
        <f t="shared" si="217"/>
        <v>71.740435108777191</v>
      </c>
      <c r="BW46" s="75">
        <f t="shared" si="217"/>
        <v>97.481877146127431</v>
      </c>
      <c r="BX46" s="74">
        <f t="shared" si="217"/>
        <v>80.474630504342528</v>
      </c>
      <c r="BY46" s="75">
        <f t="shared" ref="BY46:BZ46" si="218">(BY12/BY52)*365</f>
        <v>67.583857772182995</v>
      </c>
      <c r="BZ46" s="75">
        <f t="shared" si="218"/>
        <v>81.414630976251658</v>
      </c>
      <c r="CA46" s="1388">
        <f t="shared" ref="CA46" si="219">(CA12/CA52)*365</f>
        <v>74.762439459671626</v>
      </c>
      <c r="CB46" s="19"/>
      <c r="CC46" s="74">
        <f t="shared" ref="CC46:CM46" si="220">(CC12/CC52)*365</f>
        <v>62.143589743589743</v>
      </c>
      <c r="CD46" s="75">
        <f t="shared" si="220"/>
        <v>59.983888292158973</v>
      </c>
      <c r="CE46" s="75">
        <f t="shared" si="220"/>
        <v>68.031413612565444</v>
      </c>
      <c r="CF46" s="75">
        <f t="shared" si="220"/>
        <v>67.47216035634743</v>
      </c>
      <c r="CG46" s="75">
        <f t="shared" si="220"/>
        <v>68.227440147329645</v>
      </c>
      <c r="CH46" s="76">
        <f t="shared" si="220"/>
        <v>61.416739319965124</v>
      </c>
      <c r="CI46" s="75">
        <f t="shared" si="220"/>
        <v>64.833475661827492</v>
      </c>
      <c r="CJ46" s="75">
        <f t="shared" si="220"/>
        <v>79.747899159663859</v>
      </c>
      <c r="CK46" s="75">
        <f t="shared" si="220"/>
        <v>83.44764517604024</v>
      </c>
      <c r="CL46" s="75">
        <f t="shared" si="220"/>
        <v>66.561220692221809</v>
      </c>
      <c r="CM46" s="75">
        <f t="shared" si="220"/>
        <v>79.718816413274482</v>
      </c>
      <c r="CN46" s="75">
        <f t="shared" ref="CN46:CO46" si="221">(CN12/CN52)*365</f>
        <v>68.361381111272308</v>
      </c>
      <c r="CO46" s="75">
        <f t="shared" si="221"/>
        <v>77.061238010576915</v>
      </c>
      <c r="CP46" s="76">
        <f t="shared" ref="CP46" si="222">(CP12/CP52)*365</f>
        <v>73.455265494105419</v>
      </c>
      <c r="CQ46" s="10"/>
      <c r="CX46" s="7"/>
    </row>
    <row r="47" spans="1:102" ht="14.25" customHeight="1">
      <c r="A47" s="7"/>
      <c r="B47" s="21" t="s">
        <v>49</v>
      </c>
      <c r="C47" s="22"/>
      <c r="D47" s="74">
        <f t="shared" ref="D47:AJ47" si="223">(D23/D52)*91</f>
        <v>62</v>
      </c>
      <c r="E47" s="75">
        <f t="shared" si="223"/>
        <v>79.112612612612608</v>
      </c>
      <c r="F47" s="75">
        <f t="shared" si="223"/>
        <v>59.443548387096769</v>
      </c>
      <c r="G47" s="76">
        <f t="shared" si="223"/>
        <v>55.611111111111114</v>
      </c>
      <c r="H47" s="74">
        <f t="shared" si="223"/>
        <v>52.663829787234036</v>
      </c>
      <c r="I47" s="75">
        <f t="shared" si="223"/>
        <v>50.069868995633186</v>
      </c>
      <c r="J47" s="75">
        <f t="shared" si="223"/>
        <v>65</v>
      </c>
      <c r="K47" s="76">
        <f t="shared" si="223"/>
        <v>73.253112033195023</v>
      </c>
      <c r="L47" s="74">
        <f t="shared" si="223"/>
        <v>79.526086956521738</v>
      </c>
      <c r="M47" s="75">
        <f t="shared" si="223"/>
        <v>59.130801687763707</v>
      </c>
      <c r="N47" s="75">
        <f t="shared" si="223"/>
        <v>60.183266932270911</v>
      </c>
      <c r="O47" s="76">
        <f t="shared" si="223"/>
        <v>60.20532319391635</v>
      </c>
      <c r="P47" s="74">
        <f t="shared" si="223"/>
        <v>75.387254901960787</v>
      </c>
      <c r="Q47" s="75">
        <f t="shared" si="223"/>
        <v>72.36666666666666</v>
      </c>
      <c r="R47" s="75">
        <f t="shared" si="223"/>
        <v>67.473170731707313</v>
      </c>
      <c r="S47" s="76">
        <f t="shared" si="223"/>
        <v>59.381355932203391</v>
      </c>
      <c r="T47" s="74">
        <f t="shared" si="223"/>
        <v>58.94736842105263</v>
      </c>
      <c r="U47" s="75">
        <f t="shared" si="223"/>
        <v>57.384328358208954</v>
      </c>
      <c r="V47" s="75">
        <f t="shared" si="223"/>
        <v>57.756457564575641</v>
      </c>
      <c r="W47" s="76">
        <f t="shared" si="223"/>
        <v>63.893617021276597</v>
      </c>
      <c r="X47" s="74">
        <f t="shared" si="223"/>
        <v>53.569811320754717</v>
      </c>
      <c r="Y47" s="303">
        <f t="shared" si="223"/>
        <v>69.173431734317347</v>
      </c>
      <c r="Z47" s="303">
        <f t="shared" si="223"/>
        <v>61.082191780821923</v>
      </c>
      <c r="AA47" s="76">
        <f t="shared" si="223"/>
        <v>65.937704918032779</v>
      </c>
      <c r="AB47" s="74">
        <f t="shared" si="223"/>
        <v>72.408602150537632</v>
      </c>
      <c r="AC47" s="303">
        <f t="shared" si="223"/>
        <v>82.348591549295776</v>
      </c>
      <c r="AD47" s="303">
        <f t="shared" si="223"/>
        <v>73.228956228956235</v>
      </c>
      <c r="AE47" s="76">
        <f t="shared" si="223"/>
        <v>74.23684210526315</v>
      </c>
      <c r="AF47" s="74">
        <f t="shared" si="223"/>
        <v>62.363636363636367</v>
      </c>
      <c r="AG47" s="303">
        <f t="shared" si="223"/>
        <v>79.130434782608688</v>
      </c>
      <c r="AH47" s="303">
        <f t="shared" si="223"/>
        <v>75.880877742946709</v>
      </c>
      <c r="AI47" s="76">
        <f t="shared" si="223"/>
        <v>68.744565217391312</v>
      </c>
      <c r="AJ47" s="74">
        <f t="shared" si="223"/>
        <v>67.592485549132945</v>
      </c>
      <c r="AK47" s="303">
        <f t="shared" ref="AK47:AP47" si="224">(AK23/AK52)*91</f>
        <v>77.195046439628484</v>
      </c>
      <c r="AL47" s="303">
        <f t="shared" si="224"/>
        <v>77.349999999999994</v>
      </c>
      <c r="AM47" s="76">
        <f t="shared" si="224"/>
        <v>71.331811263318116</v>
      </c>
      <c r="AN47" s="74">
        <f t="shared" si="224"/>
        <v>61.667166416791602</v>
      </c>
      <c r="AO47" s="303">
        <f t="shared" si="224"/>
        <v>73.29742765273312</v>
      </c>
      <c r="AP47" s="303">
        <f t="shared" si="224"/>
        <v>67.144329896907223</v>
      </c>
      <c r="AQ47" s="76">
        <f t="shared" ref="AQ47:AT47" si="225">(AQ23/AQ52)*91</f>
        <v>80.439828080229233</v>
      </c>
      <c r="AR47" s="74">
        <f t="shared" si="225"/>
        <v>69.175872093023258</v>
      </c>
      <c r="AS47" s="1152">
        <f t="shared" si="225"/>
        <v>63.301553672316381</v>
      </c>
      <c r="AT47" s="1152">
        <f t="shared" si="225"/>
        <v>67.918543046357613</v>
      </c>
      <c r="AU47" s="76">
        <f t="shared" ref="AU47:AX47" si="226">(AU23/AU52)*91</f>
        <v>70.485872235872236</v>
      </c>
      <c r="AV47" s="74">
        <f t="shared" si="226"/>
        <v>60.95777351247601</v>
      </c>
      <c r="AW47" s="1152">
        <f t="shared" si="226"/>
        <v>54.201545396007724</v>
      </c>
      <c r="AX47" s="1152">
        <f t="shared" si="226"/>
        <v>63.711003627569525</v>
      </c>
      <c r="AY47" s="76">
        <f t="shared" ref="AY47:AZ47" si="227">(AY23/AY52)*91</f>
        <v>56.081985499163416</v>
      </c>
      <c r="AZ47" s="74">
        <f t="shared" si="227"/>
        <v>39.22662440570523</v>
      </c>
      <c r="BA47" s="1161">
        <v>40</v>
      </c>
      <c r="BB47" s="1161">
        <f t="shared" ref="BA47:BC48" si="228">BA47</f>
        <v>40</v>
      </c>
      <c r="BC47" s="1162">
        <f t="shared" si="228"/>
        <v>40</v>
      </c>
      <c r="BD47" s="1299">
        <v>60</v>
      </c>
      <c r="BE47" s="1161">
        <f t="shared" ref="BE47:BE48" si="229">BD47</f>
        <v>60</v>
      </c>
      <c r="BF47" s="1161">
        <f t="shared" ref="BF47:BF48" si="230">BE47</f>
        <v>60</v>
      </c>
      <c r="BG47" s="1162">
        <f t="shared" ref="BG47:BG48" si="231">BF47</f>
        <v>60</v>
      </c>
      <c r="BH47" s="1299">
        <v>60</v>
      </c>
      <c r="BI47" s="1161">
        <f t="shared" si="214"/>
        <v>60</v>
      </c>
      <c r="BJ47" s="1161">
        <f t="shared" si="215"/>
        <v>60</v>
      </c>
      <c r="BK47" s="1162">
        <f t="shared" si="216"/>
        <v>60</v>
      </c>
      <c r="BL47" s="791"/>
      <c r="BM47" s="74">
        <f t="shared" ref="BM47:BX47" si="232">(BM23/BM52)*365</f>
        <v>59.452122408687075</v>
      </c>
      <c r="BN47" s="75">
        <f t="shared" si="232"/>
        <v>75.651709401709411</v>
      </c>
      <c r="BO47" s="75">
        <f t="shared" si="232"/>
        <v>64.740061162079513</v>
      </c>
      <c r="BP47" s="75">
        <f t="shared" si="232"/>
        <v>65.742690058479525</v>
      </c>
      <c r="BQ47" s="75">
        <f t="shared" si="232"/>
        <v>67.668539325842701</v>
      </c>
      <c r="BR47" s="76">
        <f t="shared" si="232"/>
        <v>71.195939982347738</v>
      </c>
      <c r="BS47" s="75">
        <f t="shared" si="232"/>
        <v>77.766323024054984</v>
      </c>
      <c r="BT47" s="75">
        <f t="shared" si="232"/>
        <v>81.240992794235396</v>
      </c>
      <c r="BU47" s="75">
        <f t="shared" si="232"/>
        <v>100.73687031082528</v>
      </c>
      <c r="BV47" s="75">
        <f t="shared" si="232"/>
        <v>84.472993248312079</v>
      </c>
      <c r="BW47" s="75">
        <f t="shared" si="232"/>
        <v>87.803319343761927</v>
      </c>
      <c r="BX47" s="74">
        <f t="shared" si="232"/>
        <v>61.454365381685207</v>
      </c>
      <c r="BY47" s="75">
        <f t="shared" ref="BY47:BZ47" si="233">(BY23/BY52)*365</f>
        <v>43.60248888527935</v>
      </c>
      <c r="BZ47" s="75">
        <f t="shared" si="233"/>
        <v>67.845525813543034</v>
      </c>
      <c r="CA47" s="1388">
        <f t="shared" ref="CA47" si="234">(CA23/CA52)*365</f>
        <v>64.082090965432812</v>
      </c>
      <c r="CB47" s="19"/>
      <c r="CC47" s="74">
        <f t="shared" ref="CC47:CM47" si="235">(CC23/CC52)*365</f>
        <v>50.91282051282051</v>
      </c>
      <c r="CD47" s="75">
        <f t="shared" si="235"/>
        <v>78.802363050483351</v>
      </c>
      <c r="CE47" s="75">
        <f t="shared" si="235"/>
        <v>64.59162303664921</v>
      </c>
      <c r="CF47" s="75">
        <f t="shared" si="235"/>
        <v>65.033407572383069</v>
      </c>
      <c r="CG47" s="75">
        <f t="shared" si="235"/>
        <v>52.430939226519335</v>
      </c>
      <c r="CH47" s="76">
        <f t="shared" si="235"/>
        <v>70.645161290322577</v>
      </c>
      <c r="CI47" s="75">
        <f t="shared" si="235"/>
        <v>61.093082835183608</v>
      </c>
      <c r="CJ47" s="75">
        <f t="shared" si="235"/>
        <v>71.661573720397257</v>
      </c>
      <c r="CK47" s="75">
        <f t="shared" si="235"/>
        <v>75.436671239140367</v>
      </c>
      <c r="CL47" s="75">
        <f t="shared" si="235"/>
        <v>71.043915147004085</v>
      </c>
      <c r="CM47" s="75">
        <f t="shared" si="235"/>
        <v>62.474252084355079</v>
      </c>
      <c r="CN47" s="75">
        <f t="shared" ref="CN47:CO47" si="236">(CN23/CN52)*365</f>
        <v>43.209052662120996</v>
      </c>
      <c r="CO47" s="75">
        <f t="shared" si="236"/>
        <v>61.648990408461522</v>
      </c>
      <c r="CP47" s="76">
        <f t="shared" ref="CP47" si="237">(CP23/CP52)*365</f>
        <v>62.961656137804624</v>
      </c>
      <c r="CQ47" s="10"/>
      <c r="CX47" s="7"/>
    </row>
    <row r="48" spans="1:102" ht="14.25" customHeight="1">
      <c r="A48" s="7"/>
      <c r="B48" s="21" t="s">
        <v>50</v>
      </c>
      <c r="C48" s="22"/>
      <c r="D48" s="149">
        <f t="shared" ref="D48:AJ48" si="238">D13/D51/4</f>
        <v>0.34285714285714286</v>
      </c>
      <c r="E48" s="87">
        <f t="shared" si="238"/>
        <v>0.20925414364640885</v>
      </c>
      <c r="F48" s="87">
        <f t="shared" si="238"/>
        <v>3.3088235294117647E-2</v>
      </c>
      <c r="G48" s="88">
        <f t="shared" si="238"/>
        <v>2.1628498727735368E-2</v>
      </c>
      <c r="H48" s="149">
        <f t="shared" si="238"/>
        <v>2.9333333333333333E-2</v>
      </c>
      <c r="I48" s="87">
        <f t="shared" si="238"/>
        <v>2.6315789473684209E-2</v>
      </c>
      <c r="J48" s="87">
        <f t="shared" si="238"/>
        <v>2.4278215223097113E-2</v>
      </c>
      <c r="K48" s="88">
        <f t="shared" si="238"/>
        <v>3.1969309462915603E-2</v>
      </c>
      <c r="L48" s="149">
        <f t="shared" si="238"/>
        <v>1.7412935323383085E-2</v>
      </c>
      <c r="M48" s="87">
        <f t="shared" si="238"/>
        <v>1.9464720194647202E-2</v>
      </c>
      <c r="N48" s="87">
        <f t="shared" si="238"/>
        <v>1.5945330296127564E-2</v>
      </c>
      <c r="O48" s="88">
        <f t="shared" si="238"/>
        <v>1.901565995525727E-2</v>
      </c>
      <c r="P48" s="149">
        <f t="shared" si="238"/>
        <v>2.9211956521739132E-2</v>
      </c>
      <c r="Q48" s="87">
        <f t="shared" si="238"/>
        <v>2.923076923076923E-2</v>
      </c>
      <c r="R48" s="87">
        <f t="shared" si="238"/>
        <v>2.1349862258953169E-2</v>
      </c>
      <c r="S48" s="88">
        <f t="shared" si="238"/>
        <v>2.5700934579439252E-2</v>
      </c>
      <c r="T48" s="87">
        <f t="shared" si="238"/>
        <v>2.4122807017543858E-2</v>
      </c>
      <c r="U48" s="87">
        <f t="shared" si="238"/>
        <v>2.1359223300970873E-2</v>
      </c>
      <c r="V48" s="87">
        <f t="shared" si="238"/>
        <v>1.9090909090909092E-2</v>
      </c>
      <c r="W48" s="88">
        <f t="shared" si="238"/>
        <v>2.2727272727272728E-2</v>
      </c>
      <c r="X48" s="87">
        <f t="shared" si="238"/>
        <v>2.409090909090909E-2</v>
      </c>
      <c r="Y48" s="87">
        <f t="shared" si="238"/>
        <v>2.1874999999999999E-2</v>
      </c>
      <c r="Z48" s="87">
        <f t="shared" si="238"/>
        <v>1.658374792703151E-2</v>
      </c>
      <c r="AA48" s="88">
        <f t="shared" si="238"/>
        <v>1.6853932584269662E-2</v>
      </c>
      <c r="AB48" s="87">
        <f t="shared" si="238"/>
        <v>2.3090586145648313E-2</v>
      </c>
      <c r="AC48" s="87">
        <f t="shared" si="238"/>
        <v>2.6863084922010397E-2</v>
      </c>
      <c r="AD48" s="87">
        <f t="shared" si="238"/>
        <v>2.5577557755775578E-2</v>
      </c>
      <c r="AE48" s="88">
        <f t="shared" si="238"/>
        <v>2.9126213592233011E-2</v>
      </c>
      <c r="AF48" s="87">
        <f t="shared" si="238"/>
        <v>3.8194444444444448E-2</v>
      </c>
      <c r="AG48" s="87">
        <f t="shared" si="238"/>
        <v>4.4039145907473307E-2</v>
      </c>
      <c r="AH48" s="87">
        <f t="shared" si="238"/>
        <v>5.0077639751552792E-2</v>
      </c>
      <c r="AI48" s="88">
        <f t="shared" si="238"/>
        <v>4.4037940379403791E-2</v>
      </c>
      <c r="AJ48" s="87">
        <f t="shared" si="238"/>
        <v>4.8660084626234133E-2</v>
      </c>
      <c r="AK48" s="87">
        <f t="shared" ref="AK48:AP48" si="239">AK13/AK51/4</f>
        <v>4.850213980028531E-2</v>
      </c>
      <c r="AL48" s="87">
        <f t="shared" si="239"/>
        <v>0.29373522458628842</v>
      </c>
      <c r="AM48" s="88">
        <f t="shared" si="239"/>
        <v>0.14449685534591195</v>
      </c>
      <c r="AN48" s="87">
        <f t="shared" si="239"/>
        <v>4.7553516819571866E-2</v>
      </c>
      <c r="AO48" s="87">
        <f t="shared" si="239"/>
        <v>4.9566294919454773E-2</v>
      </c>
      <c r="AP48" s="943">
        <f t="shared" si="239"/>
        <v>7.1902017291066281E-2</v>
      </c>
      <c r="AQ48" s="944">
        <f t="shared" ref="AQ48:AT48" si="240">AQ13/AQ51/4</f>
        <v>5.5706521739130432E-2</v>
      </c>
      <c r="AR48" s="1144">
        <f t="shared" si="240"/>
        <v>3.5573122529644272E-2</v>
      </c>
      <c r="AS48" s="1143">
        <f t="shared" si="240"/>
        <v>9.3335216040666483E-2</v>
      </c>
      <c r="AT48" s="1177">
        <f t="shared" si="240"/>
        <v>3.9556962025316458E-2</v>
      </c>
      <c r="AU48" s="1210">
        <f t="shared" ref="AU48:AX48" si="241">AU13/AU51/4</f>
        <v>2.7018858800773694E-2</v>
      </c>
      <c r="AV48" s="1237">
        <f t="shared" si="241"/>
        <v>3.2072964484174925E-2</v>
      </c>
      <c r="AW48" s="1229">
        <f t="shared" si="241"/>
        <v>3.7589498806682581E-2</v>
      </c>
      <c r="AX48" s="1308">
        <f t="shared" si="241"/>
        <v>3.6186421689446559E-2</v>
      </c>
      <c r="AY48" s="1309">
        <f t="shared" ref="AY48:AZ48" si="242">AY13/AY51/4</f>
        <v>3.7365813377374074E-2</v>
      </c>
      <c r="AZ48" s="1313">
        <f t="shared" si="242"/>
        <v>1.8490707715412051E-2</v>
      </c>
      <c r="BA48" s="1329">
        <f t="shared" si="228"/>
        <v>1.8490707715412051E-2</v>
      </c>
      <c r="BB48" s="1329">
        <f t="shared" si="228"/>
        <v>1.8490707715412051E-2</v>
      </c>
      <c r="BC48" s="1334">
        <f t="shared" si="228"/>
        <v>1.8490707715412051E-2</v>
      </c>
      <c r="BD48" s="1275">
        <f t="shared" ref="BD48" si="243">BC48</f>
        <v>1.8490707715412051E-2</v>
      </c>
      <c r="BE48" s="1266">
        <f t="shared" si="229"/>
        <v>1.8490707715412051E-2</v>
      </c>
      <c r="BF48" s="1266">
        <f t="shared" si="230"/>
        <v>1.8490707715412051E-2</v>
      </c>
      <c r="BG48" s="1274">
        <f t="shared" si="231"/>
        <v>1.8490707715412051E-2</v>
      </c>
      <c r="BH48" s="1372">
        <f t="shared" ref="BH48" si="244">BG48</f>
        <v>1.8490707715412051E-2</v>
      </c>
      <c r="BI48" s="1369">
        <f t="shared" si="214"/>
        <v>1.8490707715412051E-2</v>
      </c>
      <c r="BJ48" s="1369">
        <f t="shared" si="215"/>
        <v>1.8490707715412051E-2</v>
      </c>
      <c r="BK48" s="1334">
        <f t="shared" si="216"/>
        <v>1.8490707715412051E-2</v>
      </c>
      <c r="BL48" s="1242"/>
      <c r="BM48" s="149">
        <f t="shared" ref="BM48:BX48" si="245">BM13/BM51</f>
        <v>2.247191011235955E-2</v>
      </c>
      <c r="BN48" s="87">
        <f t="shared" si="245"/>
        <v>3.274394237066143E-2</v>
      </c>
      <c r="BO48" s="87">
        <f t="shared" si="245"/>
        <v>2.0011771630370805E-2</v>
      </c>
      <c r="BP48" s="87">
        <f t="shared" si="245"/>
        <v>2.9649595687331536E-2</v>
      </c>
      <c r="BQ48" s="87">
        <f t="shared" si="245"/>
        <v>2.4844720496894408E-2</v>
      </c>
      <c r="BR48" s="88">
        <f t="shared" si="245"/>
        <v>1.797945205479452E-2</v>
      </c>
      <c r="BS48" s="87">
        <f t="shared" si="245"/>
        <v>3.0456852791878174E-2</v>
      </c>
      <c r="BT48" s="87">
        <f t="shared" si="245"/>
        <v>5.1587301587301584E-2</v>
      </c>
      <c r="BU48" s="87">
        <f t="shared" si="245"/>
        <v>0.21527289763410634</v>
      </c>
      <c r="BV48" s="87">
        <f t="shared" si="245"/>
        <v>6.00820633059789E-2</v>
      </c>
      <c r="BW48" s="87">
        <f t="shared" si="245"/>
        <v>3.3761329305135951E-2</v>
      </c>
      <c r="BX48" s="1313">
        <f t="shared" si="245"/>
        <v>4.1052392832841914E-2</v>
      </c>
      <c r="BY48" s="1308">
        <f t="shared" ref="BY48:BZ48" si="246">BY13/BY51</f>
        <v>1.8643763591558442E-2</v>
      </c>
      <c r="BZ48" s="1308">
        <f t="shared" si="246"/>
        <v>1.7720345086981563E-2</v>
      </c>
      <c r="CA48" s="1395">
        <f t="shared" ref="CA48" si="247">CA13/CA51</f>
        <v>1.6777102708411634E-2</v>
      </c>
      <c r="CB48" s="19"/>
      <c r="CC48" s="149">
        <f t="shared" ref="CC48:CM48" si="248">CC13/CC51</f>
        <v>2.8608582574772431E-2</v>
      </c>
      <c r="CD48" s="87">
        <f t="shared" si="248"/>
        <v>1.8018018018018018E-2</v>
      </c>
      <c r="CE48" s="87">
        <f t="shared" si="248"/>
        <v>2.5825825825825825E-2</v>
      </c>
      <c r="CF48" s="87">
        <f t="shared" si="248"/>
        <v>2.7989821882951654E-2</v>
      </c>
      <c r="CG48" s="87">
        <f t="shared" si="248"/>
        <v>2.4234110653863741E-2</v>
      </c>
      <c r="CH48" s="88">
        <f t="shared" si="248"/>
        <v>2.2137079608343976E-2</v>
      </c>
      <c r="CI48" s="87">
        <f t="shared" si="248"/>
        <v>3.7021455616323098E-2</v>
      </c>
      <c r="CJ48" s="87">
        <f t="shared" si="248"/>
        <v>5.2016584998115338E-2</v>
      </c>
      <c r="CK48" s="87">
        <f t="shared" si="248"/>
        <v>5.9865255052935516E-2</v>
      </c>
      <c r="CL48" s="87">
        <f t="shared" si="248"/>
        <v>3.6206896551724141E-2</v>
      </c>
      <c r="CM48" s="943">
        <f t="shared" si="248"/>
        <v>3.4021014864172222E-2</v>
      </c>
      <c r="CN48" s="1229">
        <f t="shared" ref="CN48:CO48" si="249">CN13/CN51</f>
        <v>2.0930726731831703E-2</v>
      </c>
      <c r="CO48" s="1308">
        <f t="shared" si="249"/>
        <v>1.8640032463272675E-2</v>
      </c>
      <c r="CP48" s="1309">
        <f t="shared" ref="CP48" si="250">CP13/CP51</f>
        <v>1.7276590314068304E-2</v>
      </c>
      <c r="CQ48" s="10"/>
      <c r="CX48" s="7"/>
    </row>
    <row r="49" spans="1:102" ht="14.25" customHeight="1">
      <c r="A49" s="7"/>
      <c r="B49" s="21" t="s">
        <v>179</v>
      </c>
      <c r="C49" s="22"/>
      <c r="D49" s="149">
        <f t="shared" ref="D49:AJ49" si="251">D34/SUM(D23:D27)</f>
        <v>8.9219330855018583E-2</v>
      </c>
      <c r="E49" s="87">
        <f t="shared" si="251"/>
        <v>8.7096774193548387E-2</v>
      </c>
      <c r="F49" s="87">
        <f t="shared" si="251"/>
        <v>0.10332103321033211</v>
      </c>
      <c r="G49" s="88">
        <f t="shared" si="251"/>
        <v>9.1176470588235289E-2</v>
      </c>
      <c r="H49" s="149">
        <f t="shared" si="251"/>
        <v>0.12987012987012986</v>
      </c>
      <c r="I49" s="87">
        <f t="shared" si="251"/>
        <v>0.13392857142857142</v>
      </c>
      <c r="J49" s="87">
        <f t="shared" si="251"/>
        <v>0.125</v>
      </c>
      <c r="K49" s="88">
        <f t="shared" si="251"/>
        <v>9.3457943925233641E-2</v>
      </c>
      <c r="L49" s="149">
        <f t="shared" si="251"/>
        <v>0.19285714285714287</v>
      </c>
      <c r="M49" s="87">
        <f t="shared" si="251"/>
        <v>0.22900763358778625</v>
      </c>
      <c r="N49" s="87">
        <f t="shared" si="251"/>
        <v>0.22857142857142856</v>
      </c>
      <c r="O49" s="88">
        <f t="shared" si="251"/>
        <v>0.1676829268292683</v>
      </c>
      <c r="P49" s="149">
        <f t="shared" si="251"/>
        <v>0.19784172661870503</v>
      </c>
      <c r="Q49" s="87">
        <f t="shared" si="251"/>
        <v>0.21631205673758866</v>
      </c>
      <c r="R49" s="87">
        <f t="shared" si="251"/>
        <v>0.25099601593625498</v>
      </c>
      <c r="S49" s="88">
        <f t="shared" si="251"/>
        <v>0.23791821561338289</v>
      </c>
      <c r="T49" s="87">
        <f t="shared" si="251"/>
        <v>0.26209677419354838</v>
      </c>
      <c r="U49" s="87">
        <f t="shared" si="251"/>
        <v>0.23843416370106763</v>
      </c>
      <c r="V49" s="87">
        <f t="shared" si="251"/>
        <v>0.23859649122807017</v>
      </c>
      <c r="W49" s="88">
        <f t="shared" si="251"/>
        <v>0.24776119402985075</v>
      </c>
      <c r="X49" s="87">
        <f t="shared" si="251"/>
        <v>0.35864978902953587</v>
      </c>
      <c r="Y49" s="87">
        <f t="shared" si="251"/>
        <v>0.29054054054054052</v>
      </c>
      <c r="Z49" s="87">
        <f t="shared" si="251"/>
        <v>0.28295819935691319</v>
      </c>
      <c r="AA49" s="88">
        <f t="shared" si="251"/>
        <v>0.24571428571428572</v>
      </c>
      <c r="AB49" s="87">
        <f t="shared" si="251"/>
        <v>0.27707006369426751</v>
      </c>
      <c r="AC49" s="87">
        <f t="shared" si="251"/>
        <v>0.23876404494382023</v>
      </c>
      <c r="AD49" s="87">
        <f t="shared" si="251"/>
        <v>0.23976608187134502</v>
      </c>
      <c r="AE49" s="88">
        <f t="shared" si="251"/>
        <v>0.27456647398843931</v>
      </c>
      <c r="AF49" s="87">
        <f t="shared" si="251"/>
        <v>0.34296028880866425</v>
      </c>
      <c r="AG49" s="87">
        <f t="shared" si="251"/>
        <v>0.29090909090909089</v>
      </c>
      <c r="AH49" s="87">
        <f t="shared" si="251"/>
        <v>0.25526315789473686</v>
      </c>
      <c r="AI49" s="88">
        <f t="shared" si="251"/>
        <v>0.24822695035460993</v>
      </c>
      <c r="AJ49" s="87">
        <f t="shared" si="251"/>
        <v>0.31593406593406592</v>
      </c>
      <c r="AK49" s="87">
        <f t="shared" ref="AK49:AP49" si="252">AK34/SUM(AK23:AK27)</f>
        <v>0.24038461538461539</v>
      </c>
      <c r="AL49" s="87">
        <f t="shared" si="252"/>
        <v>0.84116331096196872</v>
      </c>
      <c r="AM49" s="88">
        <f t="shared" si="252"/>
        <v>0.76907426246185151</v>
      </c>
      <c r="AN49" s="87">
        <f t="shared" si="252"/>
        <v>0.96370463078848556</v>
      </c>
      <c r="AO49" s="87">
        <f t="shared" si="252"/>
        <v>0.82906976744186045</v>
      </c>
      <c r="AP49" s="943">
        <f t="shared" si="252"/>
        <v>0.92715231788079466</v>
      </c>
      <c r="AQ49" s="944">
        <f t="shared" ref="AQ49" si="253">AQ34/SUM(AQ23:AQ27)</f>
        <v>0.79776328052190126</v>
      </c>
      <c r="AR49" s="1144">
        <f t="shared" ref="AR49" si="254">AR34/SUM(AR23:AR27)</f>
        <v>1.1053921568627452</v>
      </c>
      <c r="AS49" s="1143">
        <f t="shared" ref="AS49" si="255">AS34/SUM(AS23:AS27)</f>
        <v>4.9111400086692676</v>
      </c>
      <c r="AT49" s="1177">
        <f t="shared" ref="AT49:BG49" si="256">AT34/SUM(AT23:AT27)</f>
        <v>4.6528822055137846</v>
      </c>
      <c r="AU49" s="1229">
        <f t="shared" si="256"/>
        <v>3.5793977812995244</v>
      </c>
      <c r="AV49" s="1237">
        <f t="shared" si="256"/>
        <v>5.6187558906691804</v>
      </c>
      <c r="AW49" s="1229">
        <f t="shared" si="256"/>
        <v>5.7928849902534116</v>
      </c>
      <c r="AX49" s="1308">
        <f t="shared" ref="AX49:AZ49" si="257">AX34/SUM(AX23:AX27)</f>
        <v>5.1614066726780887</v>
      </c>
      <c r="AY49" s="1308">
        <f t="shared" si="257"/>
        <v>4.749258788648878</v>
      </c>
      <c r="AZ49" s="1313">
        <f t="shared" si="257"/>
        <v>3.2477064220183487</v>
      </c>
      <c r="BA49" s="1308">
        <f t="shared" si="256"/>
        <v>3.3383654416551458</v>
      </c>
      <c r="BB49" s="1308">
        <f t="shared" si="256"/>
        <v>3.2443578389163639</v>
      </c>
      <c r="BC49" s="1309">
        <f t="shared" si="256"/>
        <v>3.1207885243223816</v>
      </c>
      <c r="BD49" s="1237">
        <f t="shared" si="256"/>
        <v>2.6202845322625774</v>
      </c>
      <c r="BE49" s="1229">
        <f t="shared" si="256"/>
        <v>2.6770635299680778</v>
      </c>
      <c r="BF49" s="1229">
        <f t="shared" si="256"/>
        <v>2.576824763674781</v>
      </c>
      <c r="BG49" s="1230">
        <f t="shared" si="256"/>
        <v>2.4128155632116348</v>
      </c>
      <c r="BH49" s="1313">
        <f t="shared" ref="BH49:BK49" si="258">BH34/SUM(BH23:BH27)</f>
        <v>2.4851278572017792</v>
      </c>
      <c r="BI49" s="1308">
        <f t="shared" si="258"/>
        <v>2.5655478063979191</v>
      </c>
      <c r="BJ49" s="1308">
        <f t="shared" si="258"/>
        <v>2.5124223929687708</v>
      </c>
      <c r="BK49" s="1309">
        <f t="shared" si="258"/>
        <v>2.4212993384884993</v>
      </c>
      <c r="BL49" s="1242"/>
      <c r="BM49" s="149">
        <f t="shared" ref="BM49:BX49" si="259">BM34/SUM(BM23:BM27)</f>
        <v>9.1176470588235289E-2</v>
      </c>
      <c r="BN49" s="87">
        <f t="shared" si="259"/>
        <v>9.3457943925233641E-2</v>
      </c>
      <c r="BO49" s="87">
        <f t="shared" si="259"/>
        <v>0.1676829268292683</v>
      </c>
      <c r="BP49" s="87">
        <f t="shared" si="259"/>
        <v>0.23791821561338289</v>
      </c>
      <c r="BQ49" s="87">
        <f t="shared" si="259"/>
        <v>0.24776119402985075</v>
      </c>
      <c r="BR49" s="88">
        <f t="shared" si="259"/>
        <v>0.24571428571428572</v>
      </c>
      <c r="BS49" s="87">
        <f t="shared" si="259"/>
        <v>0.27456647398843931</v>
      </c>
      <c r="BT49" s="87">
        <f t="shared" si="259"/>
        <v>0.24822695035460993</v>
      </c>
      <c r="BU49" s="87">
        <f t="shared" si="259"/>
        <v>0.76907426246185151</v>
      </c>
      <c r="BV49" s="87">
        <f t="shared" si="259"/>
        <v>0.79776328052190126</v>
      </c>
      <c r="BW49" s="87">
        <f t="shared" si="259"/>
        <v>3.5793977812995244</v>
      </c>
      <c r="BX49" s="1313">
        <f t="shared" si="259"/>
        <v>4.749258788648878</v>
      </c>
      <c r="BY49" s="1308">
        <f t="shared" ref="BY49:BZ49" si="260">BY34/SUM(BY23:BY27)</f>
        <v>3.1207885243223816</v>
      </c>
      <c r="BZ49" s="1308">
        <f t="shared" si="260"/>
        <v>2.4128155632116348</v>
      </c>
      <c r="CA49" s="1395">
        <f t="shared" ref="CA49" si="261">CA34/SUM(CA23:CA27)</f>
        <v>2.4212993384884993</v>
      </c>
      <c r="CB49" s="19"/>
      <c r="CC49" s="149">
        <f t="shared" ref="CC49:CM49" si="262">CC34/SUM(CC23:CC27)</f>
        <v>0.12987012987012986</v>
      </c>
      <c r="CD49" s="87">
        <f t="shared" si="262"/>
        <v>0.19285714285714287</v>
      </c>
      <c r="CE49" s="87">
        <f t="shared" si="262"/>
        <v>0.19784172661870503</v>
      </c>
      <c r="CF49" s="87">
        <f t="shared" si="262"/>
        <v>0.26209677419354838</v>
      </c>
      <c r="CG49" s="87">
        <f t="shared" si="262"/>
        <v>0.35864978902953587</v>
      </c>
      <c r="CH49" s="88">
        <f t="shared" si="262"/>
        <v>0.27707006369426751</v>
      </c>
      <c r="CI49" s="87">
        <f t="shared" si="262"/>
        <v>0.34296028880866425</v>
      </c>
      <c r="CJ49" s="87">
        <f t="shared" si="262"/>
        <v>0.31593406593406592</v>
      </c>
      <c r="CK49" s="87">
        <f t="shared" si="262"/>
        <v>0.96370463078848556</v>
      </c>
      <c r="CL49" s="87">
        <f t="shared" si="262"/>
        <v>1.1053921568627452</v>
      </c>
      <c r="CM49" s="943">
        <f t="shared" si="262"/>
        <v>5.6187558906691804</v>
      </c>
      <c r="CN49" s="1229">
        <f t="shared" ref="CN49:CO49" si="263">CN34/SUM(CN23:CN27)</f>
        <v>3.2477064220183487</v>
      </c>
      <c r="CO49" s="1308">
        <f t="shared" si="263"/>
        <v>2.6202845322625774</v>
      </c>
      <c r="CP49" s="1309">
        <f t="shared" ref="CP49" si="264">CP34/SUM(CP23:CP27)</f>
        <v>2.4851278572017792</v>
      </c>
      <c r="CQ49" s="10"/>
      <c r="CX49" s="7"/>
    </row>
    <row r="50" spans="1:102" ht="14.25" customHeight="1">
      <c r="A50" s="7"/>
      <c r="B50" s="21"/>
      <c r="C50" s="22"/>
      <c r="D50" s="105"/>
      <c r="E50" s="103"/>
      <c r="F50" s="103"/>
      <c r="G50" s="104"/>
      <c r="H50" s="105"/>
      <c r="I50" s="103"/>
      <c r="J50" s="103"/>
      <c r="K50" s="104"/>
      <c r="L50" s="105"/>
      <c r="M50" s="103"/>
      <c r="N50" s="103"/>
      <c r="O50" s="104"/>
      <c r="P50" s="105"/>
      <c r="Q50" s="103"/>
      <c r="R50" s="103"/>
      <c r="S50" s="104"/>
      <c r="T50" s="105"/>
      <c r="U50" s="103"/>
      <c r="V50" s="103"/>
      <c r="W50" s="103"/>
      <c r="X50" s="105"/>
      <c r="Y50" s="103"/>
      <c r="Z50" s="103"/>
      <c r="AA50" s="103"/>
      <c r="AB50" s="105"/>
      <c r="AC50" s="103"/>
      <c r="AD50" s="103"/>
      <c r="AE50" s="103"/>
      <c r="AF50" s="105"/>
      <c r="AG50" s="103"/>
      <c r="AH50" s="103"/>
      <c r="AI50" s="103"/>
      <c r="AJ50" s="105"/>
      <c r="AK50" s="103"/>
      <c r="AL50" s="103"/>
      <c r="AM50" s="103"/>
      <c r="AN50" s="105"/>
      <c r="AO50" s="103"/>
      <c r="AP50" s="103"/>
      <c r="AQ50" s="103"/>
      <c r="AR50" s="105"/>
      <c r="AS50" s="103"/>
      <c r="AT50" s="103"/>
      <c r="AU50" s="103"/>
      <c r="AV50" s="105"/>
      <c r="AW50" s="103"/>
      <c r="AX50" s="103"/>
      <c r="AY50" s="103"/>
      <c r="AZ50" s="105"/>
      <c r="BA50" s="103"/>
      <c r="BB50" s="103"/>
      <c r="BC50" s="104"/>
      <c r="BD50" s="105"/>
      <c r="BE50" s="103"/>
      <c r="BF50" s="103"/>
      <c r="BG50" s="104"/>
      <c r="BH50" s="105"/>
      <c r="BI50" s="103"/>
      <c r="BJ50" s="103"/>
      <c r="BK50" s="104"/>
      <c r="BL50" s="232"/>
      <c r="BM50" s="105"/>
      <c r="BN50" s="103"/>
      <c r="BO50" s="103"/>
      <c r="BP50" s="103"/>
      <c r="BQ50" s="103"/>
      <c r="BR50" s="104"/>
      <c r="BS50" s="103"/>
      <c r="BT50" s="103"/>
      <c r="BU50" s="103"/>
      <c r="BV50" s="103"/>
      <c r="BW50" s="103"/>
      <c r="BX50" s="105"/>
      <c r="BY50" s="103"/>
      <c r="BZ50" s="103"/>
      <c r="CA50" s="1457"/>
      <c r="CB50" s="19"/>
      <c r="CC50" s="105"/>
      <c r="CD50" s="103"/>
      <c r="CE50" s="103"/>
      <c r="CF50" s="103"/>
      <c r="CG50" s="103"/>
      <c r="CH50" s="104"/>
      <c r="CI50" s="103"/>
      <c r="CJ50" s="103"/>
      <c r="CK50" s="103"/>
      <c r="CL50" s="103"/>
      <c r="CM50" s="103"/>
      <c r="CN50" s="103"/>
      <c r="CO50" s="103"/>
      <c r="CP50" s="104"/>
      <c r="CQ50" s="10"/>
      <c r="CX50" s="7"/>
    </row>
    <row r="51" spans="1:102" ht="14.25" customHeight="1">
      <c r="A51" s="7"/>
      <c r="B51" s="21" t="s">
        <v>51</v>
      </c>
      <c r="C51" s="22"/>
      <c r="D51" s="919">
        <f>'AVGO IS'!D8</f>
        <v>350</v>
      </c>
      <c r="E51" s="906">
        <f>'AVGO IS'!E8</f>
        <v>362</v>
      </c>
      <c r="F51" s="906">
        <f>'AVGO IS'!F8</f>
        <v>408</v>
      </c>
      <c r="G51" s="907">
        <f>'AVGO IS'!G8</f>
        <v>393</v>
      </c>
      <c r="H51" s="919">
        <f>'AVGO IS'!H8</f>
        <v>375</v>
      </c>
      <c r="I51" s="906">
        <f>'AVGO IS'!I8</f>
        <v>380</v>
      </c>
      <c r="J51" s="906">
        <f>'AVGO IS'!J8</f>
        <v>381</v>
      </c>
      <c r="K51" s="907">
        <f>'AVGO IS'!K8</f>
        <v>391</v>
      </c>
      <c r="L51" s="919">
        <f>'AVGO IS'!L8</f>
        <v>402</v>
      </c>
      <c r="M51" s="906">
        <f>'AVGO IS'!M8</f>
        <v>411</v>
      </c>
      <c r="N51" s="906">
        <f>'AVGO IS'!N8</f>
        <v>439</v>
      </c>
      <c r="O51" s="907">
        <f>'AVGO IS'!O8</f>
        <v>447</v>
      </c>
      <c r="P51" s="919">
        <f>'AVGO IS'!P8</f>
        <v>368</v>
      </c>
      <c r="Q51" s="906">
        <f>'AVGO IS'!Q8</f>
        <v>325</v>
      </c>
      <c r="R51" s="906">
        <f>'AVGO IS'!R8</f>
        <v>363</v>
      </c>
      <c r="S51" s="907">
        <f>'AVGO IS'!S8</f>
        <v>428</v>
      </c>
      <c r="T51" s="919">
        <f>'AVGO IS'!T8</f>
        <v>456</v>
      </c>
      <c r="U51" s="906">
        <f>'AVGO IS'!U8</f>
        <v>515</v>
      </c>
      <c r="V51" s="906">
        <f>'AVGO IS'!V8</f>
        <v>550</v>
      </c>
      <c r="W51" s="907">
        <f>'AVGO IS'!W8</f>
        <v>572</v>
      </c>
      <c r="X51" s="919">
        <f>'AVGO IS'!X8</f>
        <v>550</v>
      </c>
      <c r="Y51" s="906">
        <f>'AVGO IS'!Y8</f>
        <v>560</v>
      </c>
      <c r="Z51" s="906">
        <f>'AVGO IS'!Z8</f>
        <v>603</v>
      </c>
      <c r="AA51" s="907">
        <f>'AVGO IS'!AA8</f>
        <v>623</v>
      </c>
      <c r="AB51" s="919">
        <f>'AVGO IS'!AB8</f>
        <v>563</v>
      </c>
      <c r="AC51" s="906">
        <f>'AVGO IS'!AC8</f>
        <v>577</v>
      </c>
      <c r="AD51" s="906">
        <f>'AVGO IS'!AD8</f>
        <v>606</v>
      </c>
      <c r="AE51" s="907">
        <f>'AVGO IS'!AE8</f>
        <v>618</v>
      </c>
      <c r="AF51" s="919">
        <f>'AVGO IS'!AF8</f>
        <v>576</v>
      </c>
      <c r="AG51" s="906">
        <f>'AVGO IS'!AG8</f>
        <v>562</v>
      </c>
      <c r="AH51" s="906">
        <f>'AVGO IS'!AH8</f>
        <v>644</v>
      </c>
      <c r="AI51" s="907">
        <f>'AVGO IS'!AI8</f>
        <v>738</v>
      </c>
      <c r="AJ51" s="919">
        <f>'AVGO IS'!AJ8</f>
        <v>709</v>
      </c>
      <c r="AK51" s="906">
        <f>'AVGO IS'!AK8</f>
        <v>701</v>
      </c>
      <c r="AL51" s="906">
        <f>'AVGO IS'!AL8</f>
        <v>1269</v>
      </c>
      <c r="AM51" s="907">
        <f>'AVGO IS'!AM8</f>
        <v>1590</v>
      </c>
      <c r="AN51" s="919">
        <f>'AVGO IS'!AN8</f>
        <v>1635</v>
      </c>
      <c r="AO51" s="906">
        <f>'AVGO IS'!AO8</f>
        <v>1614</v>
      </c>
      <c r="AP51" s="906">
        <f>'AVGO IS'!AP8</f>
        <v>1735</v>
      </c>
      <c r="AQ51" s="907">
        <f>'AVGO IS'!AQ8</f>
        <v>1840</v>
      </c>
      <c r="AR51" s="1163">
        <f>'AVGO IS'!AR8</f>
        <v>1771</v>
      </c>
      <c r="AS51" s="1159">
        <f>'AVGO IS'!AS8</f>
        <v>3541</v>
      </c>
      <c r="AT51" s="1159">
        <f>'AVGO IS'!AT8</f>
        <v>3792</v>
      </c>
      <c r="AU51" s="1160">
        <f>'AVGO IS'!AU8</f>
        <v>4136</v>
      </c>
      <c r="AV51" s="1263">
        <f>'AVGO IS'!AV8</f>
        <v>4139</v>
      </c>
      <c r="AW51" s="1261">
        <f>'AVGO IS'!AW8</f>
        <v>4190</v>
      </c>
      <c r="AX51" s="1261">
        <f>'AVGO IS'!AX8</f>
        <v>4463</v>
      </c>
      <c r="AY51" s="1262">
        <f>'AVGO IS'!AY8</f>
        <v>4844</v>
      </c>
      <c r="AZ51" s="1263">
        <f>'AVGO IS'!AZ8</f>
        <v>5327</v>
      </c>
      <c r="BA51" s="1261">
        <f>'AVGO IS'!BA8</f>
        <v>5011.0400000000009</v>
      </c>
      <c r="BB51" s="1261">
        <f>'AVGO IS'!BB8</f>
        <v>5212.2682999999997</v>
      </c>
      <c r="BC51" s="1262">
        <f>'AVGO IS'!BC8</f>
        <v>5582.7637894999998</v>
      </c>
      <c r="BD51" s="1263">
        <f>'AVGO IS'!BD8</f>
        <v>5331.2301537399999</v>
      </c>
      <c r="BE51" s="1261">
        <f>'AVGO IS'!BE8</f>
        <v>5178.2279473991994</v>
      </c>
      <c r="BF51" s="1261">
        <f>'AVGO IS'!BF8</f>
        <v>5547.2252839510556</v>
      </c>
      <c r="BG51" s="1262">
        <f>'AVGO IS'!BG8</f>
        <v>6177.6465935881088</v>
      </c>
      <c r="BH51" s="1263">
        <f>'AVGO IS'!BH8</f>
        <v>5902.3260627824538</v>
      </c>
      <c r="BI51" s="1261">
        <f>'AVGO IS'!BI8</f>
        <v>5586.4773156728315</v>
      </c>
      <c r="BJ51" s="1261">
        <f>'AVGO IS'!BJ8</f>
        <v>5813.2701476710463</v>
      </c>
      <c r="BK51" s="1262">
        <f>'AVGO IS'!BK8</f>
        <v>6182.3150985232551</v>
      </c>
      <c r="BL51" s="13"/>
      <c r="BM51" s="919">
        <f>'AVGO IS'!BM8</f>
        <v>1513</v>
      </c>
      <c r="BN51" s="906">
        <f>'AVGO IS'!BN8</f>
        <v>1527</v>
      </c>
      <c r="BO51" s="906">
        <f>'AVGO IS'!BO8</f>
        <v>1699</v>
      </c>
      <c r="BP51" s="906">
        <f>'AVGO IS'!BP8</f>
        <v>1484</v>
      </c>
      <c r="BQ51" s="906">
        <f>'AVGO IS'!BQ8</f>
        <v>2093</v>
      </c>
      <c r="BR51" s="907">
        <f>'AVGO IS'!BR8</f>
        <v>2336</v>
      </c>
      <c r="BS51" s="919">
        <f>'AVGO IS'!BS8</f>
        <v>2364</v>
      </c>
      <c r="BT51" s="906">
        <f>'AVGO IS'!BT8</f>
        <v>2520</v>
      </c>
      <c r="BU51" s="906">
        <f>'AVGO IS'!BU8</f>
        <v>4269</v>
      </c>
      <c r="BV51" s="906">
        <f>'AVGO IS'!BV8</f>
        <v>6824</v>
      </c>
      <c r="BW51" s="906">
        <f>'AVGO IS'!BW8</f>
        <v>13240</v>
      </c>
      <c r="BX51" s="1263">
        <f>'AVGO IS'!BX8</f>
        <v>17636</v>
      </c>
      <c r="BY51" s="1261">
        <f>'AVGO IS'!BY8</f>
        <v>21133.072089500001</v>
      </c>
      <c r="BZ51" s="1261">
        <f>'AVGO IS'!BZ8</f>
        <v>22234.329978678365</v>
      </c>
      <c r="CA51" s="1389">
        <f>'AVGO IS'!CA8</f>
        <v>23484.388624649589</v>
      </c>
      <c r="CB51" s="19"/>
      <c r="CC51" s="906">
        <f>'AVGO IS'!CC8</f>
        <v>1538</v>
      </c>
      <c r="CD51" s="906">
        <f>'AVGO IS'!CD8</f>
        <v>1554</v>
      </c>
      <c r="CE51" s="906">
        <f>'AVGO IS'!CE8</f>
        <v>1665</v>
      </c>
      <c r="CF51" s="906">
        <f>'AVGO IS'!CF8</f>
        <v>1572</v>
      </c>
      <c r="CG51" s="906">
        <f>'AVGO IS'!CG8</f>
        <v>2187</v>
      </c>
      <c r="CH51" s="907">
        <f>'AVGO IS'!CH8</f>
        <v>2349</v>
      </c>
      <c r="CI51" s="906">
        <f>'AVGO IS'!CI8</f>
        <v>2377</v>
      </c>
      <c r="CJ51" s="906">
        <f>'AVGO IS'!CJ8</f>
        <v>2653</v>
      </c>
      <c r="CK51" s="906">
        <f>'AVGO IS'!CK8</f>
        <v>5195</v>
      </c>
      <c r="CL51" s="906">
        <f>'AVGO IS'!CL8</f>
        <v>6960</v>
      </c>
      <c r="CM51" s="906">
        <f>'AVGO IS'!CM8</f>
        <v>15608</v>
      </c>
      <c r="CN51" s="1261">
        <f>'AVGO IS'!CN8</f>
        <v>18824</v>
      </c>
      <c r="CO51" s="1261">
        <f>'AVGO IS'!CO8</f>
        <v>21137.302243240003</v>
      </c>
      <c r="CP51" s="1262">
        <f>'AVGO IS'!CP8</f>
        <v>22805.425887720816</v>
      </c>
      <c r="CQ51" s="10"/>
      <c r="CX51" s="7"/>
    </row>
    <row r="52" spans="1:102" ht="14.25" customHeight="1">
      <c r="A52" s="7"/>
      <c r="B52" s="60" t="s">
        <v>52</v>
      </c>
      <c r="C52" s="61"/>
      <c r="D52" s="920">
        <f>'AVGO IS'!D18</f>
        <v>273</v>
      </c>
      <c r="E52" s="921">
        <f>'AVGO IS'!E18</f>
        <v>222</v>
      </c>
      <c r="F52" s="921">
        <f>'AVGO IS'!F18</f>
        <v>248</v>
      </c>
      <c r="G52" s="922">
        <f>'AVGO IS'!G18</f>
        <v>270</v>
      </c>
      <c r="H52" s="920">
        <f>'AVGO IS'!H18</f>
        <v>235</v>
      </c>
      <c r="I52" s="921">
        <f>'AVGO IS'!I18</f>
        <v>229</v>
      </c>
      <c r="J52" s="921">
        <f>'AVGO IS'!J18</f>
        <v>231</v>
      </c>
      <c r="K52" s="922">
        <f>'AVGO IS'!K18</f>
        <v>241</v>
      </c>
      <c r="L52" s="920">
        <f>'AVGO IS'!L18</f>
        <v>230</v>
      </c>
      <c r="M52" s="921">
        <f>'AVGO IS'!M18</f>
        <v>237</v>
      </c>
      <c r="N52" s="921">
        <f>'AVGO IS'!N18</f>
        <v>251</v>
      </c>
      <c r="O52" s="922">
        <f>'AVGO IS'!O18</f>
        <v>263</v>
      </c>
      <c r="P52" s="920">
        <f>'AVGO IS'!P18</f>
        <v>204</v>
      </c>
      <c r="Q52" s="921">
        <f>'AVGO IS'!Q18</f>
        <v>210</v>
      </c>
      <c r="R52" s="921">
        <f>'AVGO IS'!R18</f>
        <v>205</v>
      </c>
      <c r="S52" s="922">
        <f>'AVGO IS'!S18</f>
        <v>236</v>
      </c>
      <c r="T52" s="920">
        <f>'AVGO IS'!T18</f>
        <v>247</v>
      </c>
      <c r="U52" s="921">
        <f>'AVGO IS'!U18</f>
        <v>268</v>
      </c>
      <c r="V52" s="921">
        <f>'AVGO IS'!V18</f>
        <v>271</v>
      </c>
      <c r="W52" s="922">
        <f>'AVGO IS'!W18</f>
        <v>282</v>
      </c>
      <c r="X52" s="920">
        <f>'AVGO IS'!X18</f>
        <v>265</v>
      </c>
      <c r="Y52" s="921">
        <f>'AVGO IS'!Y18</f>
        <v>271</v>
      </c>
      <c r="Z52" s="921">
        <f>'AVGO IS'!Z18</f>
        <v>292</v>
      </c>
      <c r="AA52" s="922">
        <f>'AVGO IS'!AA18</f>
        <v>305</v>
      </c>
      <c r="AB52" s="920">
        <f>'AVGO IS'!AB18</f>
        <v>279</v>
      </c>
      <c r="AC52" s="921">
        <f>'AVGO IS'!AC18</f>
        <v>284</v>
      </c>
      <c r="AD52" s="921">
        <f>'AVGO IS'!AD18</f>
        <v>297</v>
      </c>
      <c r="AE52" s="922">
        <f>'AVGO IS'!AE18</f>
        <v>304</v>
      </c>
      <c r="AF52" s="920">
        <f>'AVGO IS'!AF18</f>
        <v>286</v>
      </c>
      <c r="AG52" s="921">
        <f>'AVGO IS'!AG18</f>
        <v>276</v>
      </c>
      <c r="AH52" s="921">
        <f>'AVGO IS'!AH18</f>
        <v>319</v>
      </c>
      <c r="AI52" s="922">
        <f>'AVGO IS'!AI18</f>
        <v>368</v>
      </c>
      <c r="AJ52" s="920">
        <f>'AVGO IS'!AJ18</f>
        <v>346</v>
      </c>
      <c r="AK52" s="921">
        <f>'AVGO IS'!AK18</f>
        <v>323</v>
      </c>
      <c r="AL52" s="921">
        <f>'AVGO IS'!AL18</f>
        <v>540</v>
      </c>
      <c r="AM52" s="922">
        <f>'AVGO IS'!AM18</f>
        <v>657</v>
      </c>
      <c r="AN52" s="920">
        <f>'AVGO IS'!AN18</f>
        <v>667</v>
      </c>
      <c r="AO52" s="921">
        <f>'AVGO IS'!AO18</f>
        <v>622</v>
      </c>
      <c r="AP52" s="921">
        <f>'AVGO IS'!AP18</f>
        <v>679</v>
      </c>
      <c r="AQ52" s="922">
        <f>'AVGO IS'!AQ18</f>
        <v>698</v>
      </c>
      <c r="AR52" s="1164">
        <f>'AVGO IS'!AR18</f>
        <v>688</v>
      </c>
      <c r="AS52" s="1165">
        <f>'AVGO IS'!AS18</f>
        <v>1416</v>
      </c>
      <c r="AT52" s="1165">
        <f>'AVGO IS'!AT18</f>
        <v>1510</v>
      </c>
      <c r="AU52" s="1166">
        <f>'AVGO IS'!AU18</f>
        <v>1628</v>
      </c>
      <c r="AV52" s="1164">
        <f>'AVGO IS'!AV18</f>
        <v>1563</v>
      </c>
      <c r="AW52" s="1165">
        <f>'AVGO IS'!AW18</f>
        <v>1553</v>
      </c>
      <c r="AX52" s="1165">
        <f>'AVGO IS'!AX18</f>
        <v>1654</v>
      </c>
      <c r="AY52" s="1166">
        <f>'AVGO IS'!AY18</f>
        <v>1793</v>
      </c>
      <c r="AZ52" s="1164">
        <f>'AVGO IS'!AZ18</f>
        <v>1893</v>
      </c>
      <c r="BA52" s="1165">
        <f>'AVGO IS'!BA18</f>
        <v>1722.776890000001</v>
      </c>
      <c r="BB52" s="1165">
        <f>'AVGO IS'!BB18</f>
        <v>1840.3031874999997</v>
      </c>
      <c r="BC52" s="1166">
        <f>'AVGO IS'!BC18</f>
        <v>2005.5572900389993</v>
      </c>
      <c r="BD52" s="1164">
        <f>'AVGO IS'!BD18</f>
        <v>1889.5457150183297</v>
      </c>
      <c r="BE52" s="1165">
        <f>'AVGO IS'!BE18</f>
        <v>1816.4782511502976</v>
      </c>
      <c r="BF52" s="1165">
        <f>'AVGO IS'!BF18</f>
        <v>1947.6485754299783</v>
      </c>
      <c r="BG52" s="1166">
        <f>'AVGO IS'!BG18</f>
        <v>2185.7722868814726</v>
      </c>
      <c r="BH52" s="1164">
        <f>'AVGO IS'!BH18</f>
        <v>2076.9086802375964</v>
      </c>
      <c r="BI52" s="1165">
        <f>'AVGO IS'!BI18</f>
        <v>1963.0467904704888</v>
      </c>
      <c r="BJ52" s="1165">
        <f>'AVGO IS'!BJ18</f>
        <v>2037.4468011680019</v>
      </c>
      <c r="BK52" s="1166">
        <f>'AVGO IS'!BK18</f>
        <v>2172.6635758572179</v>
      </c>
      <c r="BL52" s="13"/>
      <c r="BM52" s="920">
        <f>'AVGO IS'!BM18</f>
        <v>1013</v>
      </c>
      <c r="BN52" s="921">
        <f>'AVGO IS'!BN18</f>
        <v>936</v>
      </c>
      <c r="BO52" s="921">
        <f>'AVGO IS'!BO18</f>
        <v>981</v>
      </c>
      <c r="BP52" s="921">
        <f>'AVGO IS'!BP18</f>
        <v>855</v>
      </c>
      <c r="BQ52" s="921">
        <f>'AVGO IS'!BQ18</f>
        <v>1068</v>
      </c>
      <c r="BR52" s="922">
        <f>'AVGO IS'!BR18</f>
        <v>1133</v>
      </c>
      <c r="BS52" s="920">
        <f>'AVGO IS'!BS18</f>
        <v>1164</v>
      </c>
      <c r="BT52" s="921">
        <f>'AVGO IS'!BT18</f>
        <v>1249</v>
      </c>
      <c r="BU52" s="921">
        <f>'AVGO IS'!BU18</f>
        <v>1866</v>
      </c>
      <c r="BV52" s="921">
        <f>'AVGO IS'!BV18</f>
        <v>2666</v>
      </c>
      <c r="BW52" s="921">
        <f>'AVGO IS'!BW18</f>
        <v>5242</v>
      </c>
      <c r="BX52" s="1164">
        <f>'AVGO IS'!BX18</f>
        <v>6563</v>
      </c>
      <c r="BY52" s="1165">
        <f>'AVGO IS'!BY18</f>
        <v>7461.6373675390005</v>
      </c>
      <c r="BZ52" s="1165">
        <f>'AVGO IS'!BZ18</f>
        <v>7839.4448284800783</v>
      </c>
      <c r="CA52" s="1166">
        <f>'AVGO IS'!CA18</f>
        <v>8250.0658477333054</v>
      </c>
      <c r="CB52" s="19"/>
      <c r="CC52" s="921">
        <f>'AVGO IS'!CC18</f>
        <v>975</v>
      </c>
      <c r="CD52" s="921">
        <f>'AVGO IS'!CD18</f>
        <v>931</v>
      </c>
      <c r="CE52" s="921">
        <f>'AVGO IS'!CE18</f>
        <v>955</v>
      </c>
      <c r="CF52" s="921">
        <f>'AVGO IS'!CF18</f>
        <v>898</v>
      </c>
      <c r="CG52" s="921">
        <f>'AVGO IS'!CG18</f>
        <v>1086</v>
      </c>
      <c r="CH52" s="922">
        <f>'AVGO IS'!CH18</f>
        <v>1147</v>
      </c>
      <c r="CI52" s="921">
        <f>'AVGO IS'!CI18</f>
        <v>1171</v>
      </c>
      <c r="CJ52" s="921">
        <f>'AVGO IS'!CJ18</f>
        <v>1309</v>
      </c>
      <c r="CK52" s="921">
        <f>'AVGO IS'!CK18</f>
        <v>2187</v>
      </c>
      <c r="CL52" s="921">
        <f>'AVGO IS'!CL18</f>
        <v>2687</v>
      </c>
      <c r="CM52" s="921">
        <f>'AVGO IS'!CM18</f>
        <v>6117</v>
      </c>
      <c r="CN52" s="1165">
        <f>'AVGO IS'!CN18</f>
        <v>6893</v>
      </c>
      <c r="CO52" s="1165">
        <f>'AVGO IS'!CO18</f>
        <v>7458.1830825573306</v>
      </c>
      <c r="CP52" s="1166">
        <f>'AVGO IS'!CP18</f>
        <v>8026.807793699345</v>
      </c>
      <c r="CQ52" s="10"/>
      <c r="CX52" s="7"/>
    </row>
    <row r="53" spans="1:102" ht="14.25" customHeight="1">
      <c r="A53" s="7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1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7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10"/>
      <c r="CX53" s="7"/>
    </row>
    <row r="54" spans="1:102" ht="14.25" customHeight="1">
      <c r="A54" s="7"/>
      <c r="B54" s="66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75"/>
      <c r="Y54" s="63"/>
      <c r="Z54" s="63"/>
      <c r="AA54" s="63"/>
      <c r="AB54" s="75"/>
      <c r="AC54" s="63"/>
      <c r="AD54" s="63"/>
      <c r="AE54" s="63"/>
      <c r="AF54" s="75"/>
      <c r="AG54" s="63"/>
      <c r="AH54" s="63"/>
      <c r="AI54" s="66"/>
      <c r="AJ54" s="63"/>
      <c r="AK54" s="63"/>
      <c r="AL54" s="63"/>
      <c r="AM54" s="66"/>
      <c r="AN54" s="63"/>
      <c r="AO54" s="63"/>
      <c r="AP54" s="63"/>
      <c r="AQ54" s="66"/>
      <c r="AR54" s="63"/>
      <c r="AS54" s="63"/>
      <c r="AT54" s="63"/>
      <c r="AU54" s="66"/>
      <c r="AV54" s="63"/>
      <c r="AW54" s="63"/>
      <c r="AX54" s="63"/>
      <c r="AY54" s="66"/>
      <c r="AZ54" s="63"/>
      <c r="BA54" s="63"/>
      <c r="BB54" s="63"/>
      <c r="BC54" s="66"/>
      <c r="BD54" s="63"/>
      <c r="BE54" s="63"/>
      <c r="BF54" s="63"/>
      <c r="BG54" s="66"/>
      <c r="BH54" s="63"/>
      <c r="BI54" s="63"/>
      <c r="BJ54" s="63"/>
      <c r="BK54" s="66"/>
      <c r="BL54" s="1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7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10"/>
      <c r="CX54" s="7"/>
    </row>
    <row r="55" spans="1:102" ht="14.25" customHeight="1">
      <c r="A55" s="7"/>
      <c r="B55" s="146" t="s">
        <v>53</v>
      </c>
      <c r="C55" s="147"/>
      <c r="D55" s="16" t="str">
        <f t="shared" ref="D55:W55" si="265">D43</f>
        <v>F1Q06</v>
      </c>
      <c r="E55" s="17" t="str">
        <f t="shared" si="265"/>
        <v>F2Q06</v>
      </c>
      <c r="F55" s="17" t="str">
        <f t="shared" si="265"/>
        <v>F3Q06</v>
      </c>
      <c r="G55" s="18" t="str">
        <f t="shared" si="265"/>
        <v>F4Q06</v>
      </c>
      <c r="H55" s="16" t="str">
        <f t="shared" si="265"/>
        <v>F1Q07</v>
      </c>
      <c r="I55" s="17" t="str">
        <f t="shared" si="265"/>
        <v>F2Q07</v>
      </c>
      <c r="J55" s="17" t="str">
        <f t="shared" si="265"/>
        <v>F3Q07</v>
      </c>
      <c r="K55" s="18" t="str">
        <f t="shared" si="265"/>
        <v>F4Q07</v>
      </c>
      <c r="L55" s="16" t="str">
        <f t="shared" si="265"/>
        <v>F1Q08</v>
      </c>
      <c r="M55" s="17" t="str">
        <f t="shared" si="265"/>
        <v>F2Q08</v>
      </c>
      <c r="N55" s="17" t="str">
        <f t="shared" si="265"/>
        <v>F3Q08</v>
      </c>
      <c r="O55" s="18" t="str">
        <f t="shared" si="265"/>
        <v>F4Q08</v>
      </c>
      <c r="P55" s="16" t="str">
        <f t="shared" si="265"/>
        <v>F1Q09</v>
      </c>
      <c r="Q55" s="17" t="str">
        <f t="shared" si="265"/>
        <v>F2Q09</v>
      </c>
      <c r="R55" s="17" t="str">
        <f t="shared" si="265"/>
        <v>F3Q09</v>
      </c>
      <c r="S55" s="18" t="str">
        <f t="shared" si="265"/>
        <v>F4Q09</v>
      </c>
      <c r="T55" s="16" t="str">
        <f t="shared" si="265"/>
        <v>F1Q10</v>
      </c>
      <c r="U55" s="17" t="str">
        <f t="shared" si="265"/>
        <v>F2Q10</v>
      </c>
      <c r="V55" s="17" t="str">
        <f t="shared" si="265"/>
        <v>F3Q10</v>
      </c>
      <c r="W55" s="17" t="str">
        <f t="shared" si="265"/>
        <v>F4Q10</v>
      </c>
      <c r="X55" s="16" t="str">
        <f t="shared" ref="X55:AM55" si="266">X43</f>
        <v>F1Q11</v>
      </c>
      <c r="Y55" s="17" t="str">
        <f t="shared" si="266"/>
        <v>F2Q11</v>
      </c>
      <c r="Z55" s="17" t="str">
        <f>Z43</f>
        <v>F3Q11</v>
      </c>
      <c r="AA55" s="18" t="str">
        <f>AA43</f>
        <v>F4Q11</v>
      </c>
      <c r="AB55" s="17" t="str">
        <f t="shared" si="266"/>
        <v>F1Q12</v>
      </c>
      <c r="AC55" s="17" t="str">
        <f>AC43</f>
        <v>F2Q12</v>
      </c>
      <c r="AD55" s="17" t="str">
        <f>AD43</f>
        <v>F3Q12</v>
      </c>
      <c r="AE55" s="18" t="str">
        <f t="shared" si="266"/>
        <v>F4Q12</v>
      </c>
      <c r="AF55" s="17" t="str">
        <f>AF43</f>
        <v>F1Q13</v>
      </c>
      <c r="AG55" s="17" t="str">
        <f t="shared" si="266"/>
        <v>F2Q13</v>
      </c>
      <c r="AH55" s="17" t="str">
        <f t="shared" si="266"/>
        <v>F3Q13</v>
      </c>
      <c r="AI55" s="18" t="str">
        <f t="shared" si="266"/>
        <v>F4Q13</v>
      </c>
      <c r="AJ55" s="16" t="str">
        <f t="shared" si="266"/>
        <v>F1Q14</v>
      </c>
      <c r="AK55" s="17" t="str">
        <f t="shared" si="266"/>
        <v>F2Q14A</v>
      </c>
      <c r="AL55" s="17" t="str">
        <f t="shared" si="266"/>
        <v>F3Q14A</v>
      </c>
      <c r="AM55" s="18" t="str">
        <f t="shared" si="266"/>
        <v>F4Q14A</v>
      </c>
      <c r="AN55" s="16" t="str">
        <f t="shared" ref="AN55:AQ55" si="267">AN43</f>
        <v>F1Q15A</v>
      </c>
      <c r="AO55" s="17" t="str">
        <f t="shared" si="267"/>
        <v>F2Q15A</v>
      </c>
      <c r="AP55" s="17" t="str">
        <f t="shared" si="267"/>
        <v>F3Q15A</v>
      </c>
      <c r="AQ55" s="952" t="str">
        <f t="shared" si="267"/>
        <v>F4Q15A</v>
      </c>
      <c r="AR55" s="1006" t="str">
        <f t="shared" ref="AR55:AU55" si="268">AR43</f>
        <v>F1Q16A</v>
      </c>
      <c r="AS55" s="1007" t="str">
        <f t="shared" si="268"/>
        <v>F2Q16A</v>
      </c>
      <c r="AT55" s="1139" t="str">
        <f t="shared" si="268"/>
        <v>F3Q16A</v>
      </c>
      <c r="AU55" s="1140" t="str">
        <f t="shared" si="268"/>
        <v>F4Q16A</v>
      </c>
      <c r="AV55" s="1224" t="str">
        <f t="shared" ref="AV55" si="269">AV43</f>
        <v>F1Q17A</v>
      </c>
      <c r="AW55" s="17" t="str">
        <f t="shared" ref="AW55:BC55" si="270">AW43</f>
        <v>F2Q17A</v>
      </c>
      <c r="AX55" s="17" t="str">
        <f t="shared" si="270"/>
        <v>F3Q17A</v>
      </c>
      <c r="AY55" s="18" t="str">
        <f t="shared" si="270"/>
        <v>F4Q17A</v>
      </c>
      <c r="AZ55" s="950" t="str">
        <f t="shared" si="270"/>
        <v>F1Q18A</v>
      </c>
      <c r="BA55" s="951" t="str">
        <f t="shared" si="270"/>
        <v>F2Q18E</v>
      </c>
      <c r="BB55" s="951" t="str">
        <f t="shared" si="270"/>
        <v>F3Q18E</v>
      </c>
      <c r="BC55" s="952" t="str">
        <f t="shared" si="270"/>
        <v>F4Q18E</v>
      </c>
      <c r="BD55" s="1224" t="str">
        <f t="shared" ref="BD55:BG55" si="271">BD43</f>
        <v>F1Q19E</v>
      </c>
      <c r="BE55" s="1225" t="str">
        <f t="shared" si="271"/>
        <v>F2Q19E</v>
      </c>
      <c r="BF55" s="1225" t="str">
        <f t="shared" si="271"/>
        <v>F3Q19E</v>
      </c>
      <c r="BG55" s="1226" t="str">
        <f t="shared" si="271"/>
        <v>F4Q19E</v>
      </c>
      <c r="BH55" s="1361" t="str">
        <f t="shared" ref="BH55:BK55" si="272">BH43</f>
        <v>F1Q20E</v>
      </c>
      <c r="BI55" s="1362" t="str">
        <f t="shared" si="272"/>
        <v>F2Q20E</v>
      </c>
      <c r="BJ55" s="1362" t="str">
        <f t="shared" si="272"/>
        <v>F3Q20E</v>
      </c>
      <c r="BK55" s="1363" t="str">
        <f t="shared" si="272"/>
        <v>F4Q20E</v>
      </c>
      <c r="BL55" s="19"/>
      <c r="BM55" s="16" t="str">
        <f>BM43</f>
        <v>FY2006</v>
      </c>
      <c r="BN55" s="17" t="str">
        <f>BN43</f>
        <v>FY2007</v>
      </c>
      <c r="BO55" s="17" t="str">
        <f>BO43</f>
        <v>FY2008</v>
      </c>
      <c r="BP55" s="17" t="str">
        <f t="shared" ref="BP55:BU55" si="273">BP43</f>
        <v>FY2009</v>
      </c>
      <c r="BQ55" s="17" t="str">
        <f t="shared" si="273"/>
        <v>FY2010</v>
      </c>
      <c r="BR55" s="18" t="str">
        <f t="shared" si="273"/>
        <v>FY2011</v>
      </c>
      <c r="BS55" s="17" t="str">
        <f t="shared" si="273"/>
        <v>FY2012</v>
      </c>
      <c r="BT55" s="17" t="str">
        <f t="shared" si="273"/>
        <v>FY2013</v>
      </c>
      <c r="BU55" s="17" t="str">
        <f t="shared" si="273"/>
        <v>FY2014A</v>
      </c>
      <c r="BV55" s="17" t="str">
        <f t="shared" ref="BV55:CA55" si="274">BV43</f>
        <v>FY2015A</v>
      </c>
      <c r="BW55" s="17" t="str">
        <f t="shared" si="274"/>
        <v>FY2016A</v>
      </c>
      <c r="BX55" s="951" t="str">
        <f t="shared" si="274"/>
        <v>FY2017A</v>
      </c>
      <c r="BY55" s="1225" t="str">
        <f t="shared" si="274"/>
        <v>FY2018E</v>
      </c>
      <c r="BZ55" s="1362" t="str">
        <f t="shared" si="274"/>
        <v>FY2019E</v>
      </c>
      <c r="CA55" s="1363" t="str">
        <f t="shared" si="274"/>
        <v>FY2020E</v>
      </c>
      <c r="CB55" s="19"/>
      <c r="CC55" s="16" t="str">
        <f t="shared" ref="CC55:CJ55" si="275">CC43</f>
        <v>CY2006</v>
      </c>
      <c r="CD55" s="17" t="str">
        <f t="shared" si="275"/>
        <v>CY2007</v>
      </c>
      <c r="CE55" s="17" t="str">
        <f t="shared" si="275"/>
        <v>CY2008</v>
      </c>
      <c r="CF55" s="17" t="str">
        <f t="shared" si="275"/>
        <v>CY2009</v>
      </c>
      <c r="CG55" s="17" t="str">
        <f t="shared" si="275"/>
        <v>CY2010</v>
      </c>
      <c r="CH55" s="18" t="str">
        <f t="shared" si="275"/>
        <v>CY2011</v>
      </c>
      <c r="CI55" s="17" t="str">
        <f t="shared" si="275"/>
        <v>CY2012</v>
      </c>
      <c r="CJ55" s="17" t="str">
        <f t="shared" si="275"/>
        <v>CY2013</v>
      </c>
      <c r="CK55" s="17" t="str">
        <f t="shared" ref="CK55:CP55" si="276">CK43</f>
        <v>CY2014A</v>
      </c>
      <c r="CL55" s="17" t="str">
        <f t="shared" si="276"/>
        <v>CY2015A</v>
      </c>
      <c r="CM55" s="951" t="str">
        <f t="shared" si="276"/>
        <v>CY2016A</v>
      </c>
      <c r="CN55" s="1225" t="str">
        <f t="shared" si="276"/>
        <v>CY2017A</v>
      </c>
      <c r="CO55" s="1362" t="str">
        <f t="shared" si="276"/>
        <v>CY2018E</v>
      </c>
      <c r="CP55" s="1363" t="str">
        <f t="shared" si="276"/>
        <v>CY2019E</v>
      </c>
      <c r="CQ55" s="10"/>
      <c r="CX55" s="7"/>
    </row>
    <row r="56" spans="1:102" ht="14.25" customHeight="1">
      <c r="A56" s="7"/>
      <c r="B56" s="150" t="s">
        <v>54</v>
      </c>
      <c r="C56" s="151"/>
      <c r="D56" s="69">
        <v>0</v>
      </c>
      <c r="E56" s="70">
        <v>0</v>
      </c>
      <c r="F56" s="70">
        <v>0</v>
      </c>
      <c r="G56" s="71">
        <v>0</v>
      </c>
      <c r="H56" s="69">
        <v>0</v>
      </c>
      <c r="I56" s="70">
        <v>0</v>
      </c>
      <c r="J56" s="70">
        <v>0</v>
      </c>
      <c r="K56" s="71">
        <v>0</v>
      </c>
      <c r="L56" s="69">
        <v>0</v>
      </c>
      <c r="M56" s="70">
        <v>0</v>
      </c>
      <c r="N56" s="70">
        <v>0</v>
      </c>
      <c r="O56" s="71">
        <v>0</v>
      </c>
      <c r="P56" s="69">
        <v>0</v>
      </c>
      <c r="Q56" s="70">
        <v>0</v>
      </c>
      <c r="R56" s="70">
        <v>0</v>
      </c>
      <c r="S56" s="71">
        <v>0</v>
      </c>
      <c r="T56" s="70">
        <v>0</v>
      </c>
      <c r="U56" s="70">
        <v>0</v>
      </c>
      <c r="V56" s="70">
        <v>0</v>
      </c>
      <c r="W56" s="70">
        <v>0</v>
      </c>
      <c r="X56" s="69">
        <v>0</v>
      </c>
      <c r="Y56" s="78">
        <v>0</v>
      </c>
      <c r="Z56" s="78">
        <v>0</v>
      </c>
      <c r="AA56" s="71">
        <v>0</v>
      </c>
      <c r="AB56" s="75">
        <f>AA56</f>
        <v>0</v>
      </c>
      <c r="AC56" s="78">
        <v>0</v>
      </c>
      <c r="AD56" s="78">
        <v>0</v>
      </c>
      <c r="AE56" s="71">
        <v>0</v>
      </c>
      <c r="AF56" s="75">
        <f>AE56</f>
        <v>0</v>
      </c>
      <c r="AG56" s="78">
        <v>0</v>
      </c>
      <c r="AH56" s="78">
        <v>0</v>
      </c>
      <c r="AI56" s="152">
        <f>AH56</f>
        <v>0</v>
      </c>
      <c r="AJ56" s="75">
        <f>AI56</f>
        <v>0</v>
      </c>
      <c r="AK56" s="78">
        <f>AJ56</f>
        <v>0</v>
      </c>
      <c r="AL56" s="78">
        <v>0</v>
      </c>
      <c r="AM56" s="152">
        <f>AL56</f>
        <v>0</v>
      </c>
      <c r="AN56" s="75">
        <f>AM56</f>
        <v>0</v>
      </c>
      <c r="AO56" s="75">
        <f t="shared" ref="AO56:AS56" si="277">AN56</f>
        <v>0</v>
      </c>
      <c r="AP56" s="78">
        <v>0</v>
      </c>
      <c r="AQ56" s="152">
        <f>AP56</f>
        <v>0</v>
      </c>
      <c r="AR56" s="75">
        <f>AQ56</f>
        <v>0</v>
      </c>
      <c r="AS56" s="75">
        <f t="shared" si="277"/>
        <v>0</v>
      </c>
      <c r="AT56" s="78">
        <v>0</v>
      </c>
      <c r="AU56" s="152">
        <f>AT56</f>
        <v>0</v>
      </c>
      <c r="AV56" s="75">
        <f>AU56</f>
        <v>0</v>
      </c>
      <c r="AW56" s="75">
        <f t="shared" ref="AW56:BC56" si="278">AV56</f>
        <v>0</v>
      </c>
      <c r="AX56" s="78">
        <f t="shared" si="278"/>
        <v>0</v>
      </c>
      <c r="AY56" s="152">
        <f t="shared" si="278"/>
        <v>0</v>
      </c>
      <c r="AZ56" s="75">
        <f>AY56</f>
        <v>0</v>
      </c>
      <c r="BA56" s="75">
        <f t="shared" si="278"/>
        <v>0</v>
      </c>
      <c r="BB56" s="75">
        <f t="shared" si="278"/>
        <v>0</v>
      </c>
      <c r="BC56" s="152">
        <f t="shared" si="278"/>
        <v>0</v>
      </c>
      <c r="BD56" s="75">
        <f t="shared" ref="BD56" si="279">BC56</f>
        <v>0</v>
      </c>
      <c r="BE56" s="75">
        <f t="shared" ref="BE56" si="280">BD56</f>
        <v>0</v>
      </c>
      <c r="BF56" s="75">
        <f t="shared" ref="BF56" si="281">BE56</f>
        <v>0</v>
      </c>
      <c r="BG56" s="152">
        <f t="shared" ref="BG56" si="282">BF56</f>
        <v>0</v>
      </c>
      <c r="BH56" s="75">
        <f t="shared" ref="BH56" si="283">BG56</f>
        <v>0</v>
      </c>
      <c r="BI56" s="75">
        <f t="shared" ref="BI56" si="284">BH56</f>
        <v>0</v>
      </c>
      <c r="BJ56" s="75">
        <f t="shared" ref="BJ56" si="285">BI56</f>
        <v>0</v>
      </c>
      <c r="BK56" s="152">
        <f t="shared" ref="BK56" si="286">BJ56</f>
        <v>0</v>
      </c>
      <c r="BL56" s="19"/>
      <c r="BM56" s="153">
        <f>G56</f>
        <v>0</v>
      </c>
      <c r="BN56" s="148">
        <f>K56</f>
        <v>0</v>
      </c>
      <c r="BO56" s="148">
        <f>O56</f>
        <v>0</v>
      </c>
      <c r="BP56" s="148">
        <f>S56</f>
        <v>0</v>
      </c>
      <c r="BQ56" s="148">
        <f>W56</f>
        <v>0</v>
      </c>
      <c r="BR56" s="152">
        <f>AA56</f>
        <v>0</v>
      </c>
      <c r="BS56" s="148">
        <f>AE56</f>
        <v>0</v>
      </c>
      <c r="BT56" s="148">
        <f>AI56</f>
        <v>0</v>
      </c>
      <c r="BU56" s="148">
        <f>AM56</f>
        <v>0</v>
      </c>
      <c r="BV56" s="148">
        <f>AQ56</f>
        <v>0</v>
      </c>
      <c r="BW56" s="148">
        <f>AU56</f>
        <v>0</v>
      </c>
      <c r="BX56" s="148">
        <f>AY56</f>
        <v>0</v>
      </c>
      <c r="BY56" s="148">
        <f t="shared" ref="BY56:BY59" si="287">BC56</f>
        <v>0</v>
      </c>
      <c r="BZ56" s="148">
        <f>BG56</f>
        <v>0</v>
      </c>
      <c r="CA56" s="152">
        <f>BK56</f>
        <v>0</v>
      </c>
      <c r="CB56" s="19"/>
      <c r="CC56" s="153">
        <f>H56</f>
        <v>0</v>
      </c>
      <c r="CD56" s="148">
        <f>L56</f>
        <v>0</v>
      </c>
      <c r="CE56" s="148">
        <f>P56</f>
        <v>0</v>
      </c>
      <c r="CF56" s="148">
        <f>T56</f>
        <v>0</v>
      </c>
      <c r="CG56" s="148">
        <f>X56</f>
        <v>0</v>
      </c>
      <c r="CH56" s="152">
        <f>AB56</f>
        <v>0</v>
      </c>
      <c r="CI56" s="148">
        <f>AF56</f>
        <v>0</v>
      </c>
      <c r="CJ56" s="148">
        <f>AJ56</f>
        <v>0</v>
      </c>
      <c r="CK56" s="148">
        <f>AN56</f>
        <v>0</v>
      </c>
      <c r="CL56" s="148">
        <f>AR56</f>
        <v>0</v>
      </c>
      <c r="CM56" s="148">
        <f>AV56</f>
        <v>0</v>
      </c>
      <c r="CN56" s="148">
        <f>AZ56</f>
        <v>0</v>
      </c>
      <c r="CO56" s="148">
        <f>BD56</f>
        <v>0</v>
      </c>
      <c r="CP56" s="152">
        <f>BH56</f>
        <v>0</v>
      </c>
      <c r="CQ56" s="10"/>
      <c r="CX56" s="7"/>
    </row>
    <row r="57" spans="1:102" ht="14.25" customHeight="1">
      <c r="A57" s="7"/>
      <c r="B57" s="92" t="s">
        <v>55</v>
      </c>
      <c r="C57" s="93"/>
      <c r="D57" s="77">
        <v>1052</v>
      </c>
      <c r="E57" s="78">
        <v>1066</v>
      </c>
      <c r="F57" s="78">
        <v>1068</v>
      </c>
      <c r="G57" s="79">
        <v>1069</v>
      </c>
      <c r="H57" s="77">
        <v>1079</v>
      </c>
      <c r="I57" s="78">
        <v>1082</v>
      </c>
      <c r="J57" s="78">
        <v>1080</v>
      </c>
      <c r="K57" s="79">
        <v>1075</v>
      </c>
      <c r="L57" s="77">
        <v>1079</v>
      </c>
      <c r="M57" s="78">
        <v>1079</v>
      </c>
      <c r="N57" s="78">
        <v>1082</v>
      </c>
      <c r="O57" s="79">
        <v>1084</v>
      </c>
      <c r="P57" s="77">
        <v>1084</v>
      </c>
      <c r="Q57" s="78">
        <v>1086</v>
      </c>
      <c r="R57" s="78">
        <v>1084</v>
      </c>
      <c r="S57" s="79">
        <v>1393</v>
      </c>
      <c r="T57" s="78">
        <v>1402</v>
      </c>
      <c r="U57" s="78">
        <v>1425</v>
      </c>
      <c r="V57" s="78">
        <v>1435</v>
      </c>
      <c r="W57" s="78">
        <v>1450</v>
      </c>
      <c r="X57" s="77">
        <v>1487</v>
      </c>
      <c r="Y57" s="78">
        <v>1518</v>
      </c>
      <c r="Z57" s="78">
        <v>1472</v>
      </c>
      <c r="AA57" s="79">
        <v>1479</v>
      </c>
      <c r="AB57" s="78">
        <v>1416</v>
      </c>
      <c r="AC57" s="78">
        <v>1442</v>
      </c>
      <c r="AD57" s="78">
        <v>1456</v>
      </c>
      <c r="AE57" s="79">
        <v>1479</v>
      </c>
      <c r="AF57" s="78">
        <v>1493</v>
      </c>
      <c r="AG57" s="78">
        <v>1518</v>
      </c>
      <c r="AH57" s="78">
        <v>1538</v>
      </c>
      <c r="AI57" s="79">
        <v>1587</v>
      </c>
      <c r="AJ57" s="78">
        <v>1622</v>
      </c>
      <c r="AK57" s="78">
        <v>1694</v>
      </c>
      <c r="AL57" s="78">
        <v>1875</v>
      </c>
      <c r="AM57" s="79">
        <v>2009</v>
      </c>
      <c r="AN57" s="78">
        <v>2131</v>
      </c>
      <c r="AO57" s="78">
        <v>2319</v>
      </c>
      <c r="AP57" s="78">
        <v>2403</v>
      </c>
      <c r="AQ57" s="79">
        <v>2547</v>
      </c>
      <c r="AR57" s="78">
        <v>2699</v>
      </c>
      <c r="AS57" s="78">
        <f>3060+18659</f>
        <v>21719</v>
      </c>
      <c r="AT57" s="78">
        <f>3031+18926</f>
        <v>21957</v>
      </c>
      <c r="AU57" s="79">
        <v>19241</v>
      </c>
      <c r="AV57" s="78">
        <v>19504</v>
      </c>
      <c r="AW57" s="78">
        <v>19869</v>
      </c>
      <c r="AX57" s="78">
        <v>20180</v>
      </c>
      <c r="AY57" s="79">
        <v>20505</v>
      </c>
      <c r="AZ57" s="78">
        <v>20851</v>
      </c>
      <c r="BA57" s="908">
        <f>AZ57+'CFS '!BA40</f>
        <v>20851</v>
      </c>
      <c r="BB57" s="908">
        <f>BA57+'CFS '!BB40</f>
        <v>20851</v>
      </c>
      <c r="BC57" s="1389">
        <f>BB57+'CFS '!BC40</f>
        <v>20851</v>
      </c>
      <c r="BD57" s="1098">
        <f>BC57+'CFS '!BD40</f>
        <v>20851</v>
      </c>
      <c r="BE57" s="1098">
        <f>BD57+'CFS '!BE40</f>
        <v>20851</v>
      </c>
      <c r="BF57" s="1098">
        <f>BE57+'CFS '!BF40</f>
        <v>20851</v>
      </c>
      <c r="BG57" s="1389">
        <f>BF57+'CFS '!BG40</f>
        <v>20851</v>
      </c>
      <c r="BH57" s="1098">
        <f>BG57+'CFS '!BH40</f>
        <v>20851</v>
      </c>
      <c r="BI57" s="1098">
        <f>BH57+'CFS '!BI40</f>
        <v>20851</v>
      </c>
      <c r="BJ57" s="1098">
        <f>BI57+'CFS '!BJ40</f>
        <v>20851</v>
      </c>
      <c r="BK57" s="1098">
        <f>BJ57+'CFS '!BK40</f>
        <v>20851</v>
      </c>
      <c r="BL57" s="19"/>
      <c r="BM57" s="74">
        <f>G57</f>
        <v>1069</v>
      </c>
      <c r="BN57" s="75">
        <f>K57</f>
        <v>1075</v>
      </c>
      <c r="BO57" s="75">
        <f>O57</f>
        <v>1084</v>
      </c>
      <c r="BP57" s="75">
        <f>S57</f>
        <v>1393</v>
      </c>
      <c r="BQ57" s="75">
        <f>W57</f>
        <v>1450</v>
      </c>
      <c r="BR57" s="76">
        <f>AA57</f>
        <v>1479</v>
      </c>
      <c r="BS57" s="75">
        <f>AE57</f>
        <v>1479</v>
      </c>
      <c r="BT57" s="75">
        <f>AI57</f>
        <v>1587</v>
      </c>
      <c r="BU57" s="75">
        <f>AM57</f>
        <v>2009</v>
      </c>
      <c r="BV57" s="75">
        <f>AQ57</f>
        <v>2547</v>
      </c>
      <c r="BW57" s="75">
        <f>AU57</f>
        <v>19241</v>
      </c>
      <c r="BX57" s="75">
        <f>AY57</f>
        <v>20505</v>
      </c>
      <c r="BY57" s="75">
        <f t="shared" si="287"/>
        <v>20851</v>
      </c>
      <c r="BZ57" s="75">
        <f>BG57</f>
        <v>20851</v>
      </c>
      <c r="CA57" s="1388">
        <f>BK57</f>
        <v>20851</v>
      </c>
      <c r="CB57" s="19"/>
      <c r="CC57" s="74">
        <f>H57</f>
        <v>1079</v>
      </c>
      <c r="CD57" s="75">
        <f>L57</f>
        <v>1079</v>
      </c>
      <c r="CE57" s="75">
        <f>P57</f>
        <v>1084</v>
      </c>
      <c r="CF57" s="75">
        <f>T57</f>
        <v>1402</v>
      </c>
      <c r="CG57" s="75">
        <f>X57</f>
        <v>1487</v>
      </c>
      <c r="CH57" s="76">
        <f>AB57</f>
        <v>1416</v>
      </c>
      <c r="CI57" s="75">
        <f>AF57</f>
        <v>1493</v>
      </c>
      <c r="CJ57" s="75">
        <f>AJ57</f>
        <v>1622</v>
      </c>
      <c r="CK57" s="75">
        <f>AN57</f>
        <v>2131</v>
      </c>
      <c r="CL57" s="75">
        <f>AR57</f>
        <v>2699</v>
      </c>
      <c r="CM57" s="75">
        <f>AV57</f>
        <v>19504</v>
      </c>
      <c r="CN57" s="75">
        <f>AZ57</f>
        <v>20851</v>
      </c>
      <c r="CO57" s="75">
        <f>BD57</f>
        <v>20851</v>
      </c>
      <c r="CP57" s="76">
        <f>BH57</f>
        <v>20851</v>
      </c>
      <c r="CQ57" s="10"/>
      <c r="CX57" s="7"/>
    </row>
    <row r="58" spans="1:102" ht="14.25" customHeight="1">
      <c r="A58" s="7"/>
      <c r="B58" s="92" t="s">
        <v>56</v>
      </c>
      <c r="C58" s="93"/>
      <c r="D58" s="77">
        <v>0</v>
      </c>
      <c r="E58" s="78">
        <v>0</v>
      </c>
      <c r="F58" s="78">
        <v>0</v>
      </c>
      <c r="G58" s="79">
        <v>0</v>
      </c>
      <c r="H58" s="77">
        <v>0</v>
      </c>
      <c r="I58" s="78">
        <v>0</v>
      </c>
      <c r="J58" s="78">
        <v>0</v>
      </c>
      <c r="K58" s="79">
        <v>0</v>
      </c>
      <c r="L58" s="77">
        <v>0</v>
      </c>
      <c r="M58" s="78">
        <v>0</v>
      </c>
      <c r="N58" s="78">
        <v>0</v>
      </c>
      <c r="O58" s="79">
        <v>0</v>
      </c>
      <c r="P58" s="77">
        <v>0</v>
      </c>
      <c r="Q58" s="78">
        <v>0</v>
      </c>
      <c r="R58" s="78">
        <v>0</v>
      </c>
      <c r="S58" s="79">
        <v>0</v>
      </c>
      <c r="T58" s="78">
        <v>0</v>
      </c>
      <c r="U58" s="78">
        <v>0</v>
      </c>
      <c r="V58" s="78">
        <v>0</v>
      </c>
      <c r="W58" s="78">
        <v>0</v>
      </c>
      <c r="X58" s="77">
        <v>0</v>
      </c>
      <c r="Y58" s="78">
        <v>0</v>
      </c>
      <c r="Z58" s="78">
        <v>0</v>
      </c>
      <c r="AA58" s="79">
        <v>0</v>
      </c>
      <c r="AB58" s="77">
        <v>0</v>
      </c>
      <c r="AC58" s="78">
        <v>0</v>
      </c>
      <c r="AD58" s="78">
        <v>0</v>
      </c>
      <c r="AE58" s="79">
        <v>0</v>
      </c>
      <c r="AF58" s="77">
        <v>0</v>
      </c>
      <c r="AG58" s="78">
        <v>0</v>
      </c>
      <c r="AH58" s="78">
        <v>0</v>
      </c>
      <c r="AI58" s="79">
        <v>0</v>
      </c>
      <c r="AJ58" s="77">
        <v>0</v>
      </c>
      <c r="AK58" s="78">
        <v>0</v>
      </c>
      <c r="AL58" s="78">
        <v>0</v>
      </c>
      <c r="AM58" s="79">
        <v>0</v>
      </c>
      <c r="AN58" s="77">
        <v>0</v>
      </c>
      <c r="AO58" s="78">
        <v>0</v>
      </c>
      <c r="AP58" s="78">
        <v>0</v>
      </c>
      <c r="AQ58" s="79">
        <v>0</v>
      </c>
      <c r="AR58" s="77">
        <v>0</v>
      </c>
      <c r="AS58" s="78">
        <v>0</v>
      </c>
      <c r="AT58" s="78">
        <v>0</v>
      </c>
      <c r="AU58" s="79">
        <v>0</v>
      </c>
      <c r="AV58" s="77">
        <v>0</v>
      </c>
      <c r="AW58" s="78">
        <f t="shared" ref="AW58:BC58" si="288">+AV58</f>
        <v>0</v>
      </c>
      <c r="AX58" s="78">
        <f t="shared" si="288"/>
        <v>0</v>
      </c>
      <c r="AY58" s="79">
        <f t="shared" si="288"/>
        <v>0</v>
      </c>
      <c r="AZ58" s="77">
        <v>0</v>
      </c>
      <c r="BA58" s="78">
        <f t="shared" si="288"/>
        <v>0</v>
      </c>
      <c r="BB58" s="78">
        <f t="shared" si="288"/>
        <v>0</v>
      </c>
      <c r="BC58" s="1390">
        <f t="shared" si="288"/>
        <v>0</v>
      </c>
      <c r="BD58" s="78">
        <f t="shared" ref="BD58" si="289">+BC58</f>
        <v>0</v>
      </c>
      <c r="BE58" s="78">
        <f t="shared" ref="BE58" si="290">+BD58</f>
        <v>0</v>
      </c>
      <c r="BF58" s="78">
        <f t="shared" ref="BF58" si="291">+BE58</f>
        <v>0</v>
      </c>
      <c r="BG58" s="1390">
        <f t="shared" ref="BG58" si="292">+BF58</f>
        <v>0</v>
      </c>
      <c r="BH58" s="78">
        <f t="shared" ref="BH58" si="293">+BG58</f>
        <v>0</v>
      </c>
      <c r="BI58" s="78">
        <f t="shared" ref="BI58" si="294">+BH58</f>
        <v>0</v>
      </c>
      <c r="BJ58" s="78">
        <f t="shared" ref="BJ58" si="295">+BI58</f>
        <v>0</v>
      </c>
      <c r="BK58" s="78">
        <f t="shared" ref="BK58" si="296">+BJ58</f>
        <v>0</v>
      </c>
      <c r="BL58" s="19"/>
      <c r="BM58" s="74">
        <f>G58</f>
        <v>0</v>
      </c>
      <c r="BN58" s="75">
        <f>K58</f>
        <v>0</v>
      </c>
      <c r="BO58" s="75">
        <f>O58</f>
        <v>0</v>
      </c>
      <c r="BP58" s="75">
        <f>S58</f>
        <v>0</v>
      </c>
      <c r="BQ58" s="75">
        <f>W58</f>
        <v>0</v>
      </c>
      <c r="BR58" s="76">
        <f>AA58</f>
        <v>0</v>
      </c>
      <c r="BS58" s="75">
        <f>AE58</f>
        <v>0</v>
      </c>
      <c r="BT58" s="75">
        <f>AI58</f>
        <v>0</v>
      </c>
      <c r="BU58" s="75">
        <f>AM58</f>
        <v>0</v>
      </c>
      <c r="BV58" s="75">
        <f>AQ58</f>
        <v>0</v>
      </c>
      <c r="BW58" s="75">
        <f>AU58</f>
        <v>0</v>
      </c>
      <c r="BX58" s="75">
        <f>AY58</f>
        <v>0</v>
      </c>
      <c r="BY58" s="75">
        <f t="shared" si="287"/>
        <v>0</v>
      </c>
      <c r="BZ58" s="75">
        <f>BG58</f>
        <v>0</v>
      </c>
      <c r="CA58" s="1388">
        <f>BK58</f>
        <v>0</v>
      </c>
      <c r="CB58" s="19"/>
      <c r="CC58" s="74">
        <f>H58</f>
        <v>0</v>
      </c>
      <c r="CD58" s="75">
        <f>L58</f>
        <v>0</v>
      </c>
      <c r="CE58" s="75">
        <f>P58</f>
        <v>0</v>
      </c>
      <c r="CF58" s="75">
        <f>T58</f>
        <v>0</v>
      </c>
      <c r="CG58" s="75">
        <f>X58</f>
        <v>0</v>
      </c>
      <c r="CH58" s="76">
        <f>AB58</f>
        <v>0</v>
      </c>
      <c r="CI58" s="75">
        <f>AF58</f>
        <v>0</v>
      </c>
      <c r="CJ58" s="75">
        <f>AJ58</f>
        <v>0</v>
      </c>
      <c r="CK58" s="75">
        <f>AN58</f>
        <v>0</v>
      </c>
      <c r="CL58" s="75">
        <f>AR58</f>
        <v>0</v>
      </c>
      <c r="CM58" s="75">
        <f>AV58</f>
        <v>0</v>
      </c>
      <c r="CN58" s="75">
        <f>AZ58</f>
        <v>0</v>
      </c>
      <c r="CO58" s="75">
        <f>BD58</f>
        <v>0</v>
      </c>
      <c r="CP58" s="76">
        <f>BH58</f>
        <v>0</v>
      </c>
      <c r="CQ58" s="10"/>
      <c r="CX58" s="7"/>
    </row>
    <row r="59" spans="1:102" ht="14.25" customHeight="1">
      <c r="A59" s="7"/>
      <c r="B59" s="92" t="s">
        <v>57</v>
      </c>
      <c r="C59" s="93"/>
      <c r="D59" s="77">
        <v>0</v>
      </c>
      <c r="E59" s="78">
        <v>0</v>
      </c>
      <c r="F59" s="78">
        <v>0</v>
      </c>
      <c r="G59" s="79">
        <v>0</v>
      </c>
      <c r="H59" s="77">
        <v>0</v>
      </c>
      <c r="I59" s="78">
        <v>0</v>
      </c>
      <c r="J59" s="78">
        <v>0</v>
      </c>
      <c r="K59" s="79">
        <v>0</v>
      </c>
      <c r="L59" s="77">
        <v>0</v>
      </c>
      <c r="M59" s="78">
        <v>0</v>
      </c>
      <c r="N59" s="78">
        <v>0</v>
      </c>
      <c r="O59" s="79">
        <v>0</v>
      </c>
      <c r="P59" s="77">
        <v>0</v>
      </c>
      <c r="Q59" s="78">
        <v>0</v>
      </c>
      <c r="R59" s="78">
        <v>0</v>
      </c>
      <c r="S59" s="79">
        <v>0</v>
      </c>
      <c r="T59" s="78">
        <v>0</v>
      </c>
      <c r="U59" s="78">
        <v>0</v>
      </c>
      <c r="V59" s="78">
        <v>0</v>
      </c>
      <c r="W59" s="78">
        <v>0</v>
      </c>
      <c r="X59" s="77">
        <v>0</v>
      </c>
      <c r="Y59" s="78">
        <v>0</v>
      </c>
      <c r="Z59" s="78">
        <v>0</v>
      </c>
      <c r="AA59" s="79">
        <v>0</v>
      </c>
      <c r="AB59" s="75"/>
      <c r="AC59" s="78">
        <v>0</v>
      </c>
      <c r="AD59" s="78">
        <v>0</v>
      </c>
      <c r="AE59" s="79">
        <v>0</v>
      </c>
      <c r="AF59" s="75"/>
      <c r="AG59" s="78">
        <v>0</v>
      </c>
      <c r="AH59" s="78">
        <v>0</v>
      </c>
      <c r="AI59" s="79">
        <v>0</v>
      </c>
      <c r="AJ59" s="75"/>
      <c r="AK59" s="78">
        <v>0</v>
      </c>
      <c r="AL59" s="78">
        <v>0</v>
      </c>
      <c r="AM59" s="79">
        <v>0</v>
      </c>
      <c r="AN59" s="75"/>
      <c r="AO59" s="78">
        <v>0</v>
      </c>
      <c r="AP59" s="78">
        <v>0</v>
      </c>
      <c r="AQ59" s="79">
        <v>0</v>
      </c>
      <c r="AR59" s="75"/>
      <c r="AS59" s="78">
        <v>0</v>
      </c>
      <c r="AT59" s="78">
        <v>0</v>
      </c>
      <c r="AU59" s="79">
        <v>2984</v>
      </c>
      <c r="AV59" s="78">
        <v>2977</v>
      </c>
      <c r="AW59" s="78">
        <v>2918</v>
      </c>
      <c r="AX59" s="78">
        <v>2902</v>
      </c>
      <c r="AY59" s="79">
        <v>2907</v>
      </c>
      <c r="AZ59" s="78">
        <v>3180</v>
      </c>
      <c r="BA59" s="908">
        <f>AZ59+'CFS '!BA15</f>
        <v>3485</v>
      </c>
      <c r="BB59" s="908">
        <f>BA59+'CFS '!BB15</f>
        <v>3795</v>
      </c>
      <c r="BC59" s="1389">
        <f>BB59+'CFS '!BC15</f>
        <v>4110</v>
      </c>
      <c r="BD59" s="1098">
        <f>BC59+'CFS '!BD15</f>
        <v>4427.75</v>
      </c>
      <c r="BE59" s="1098">
        <f>BD59+'CFS '!BE15</f>
        <v>4749</v>
      </c>
      <c r="BF59" s="1098">
        <f>BE59+'CFS '!BF15</f>
        <v>5073.75</v>
      </c>
      <c r="BG59" s="1389">
        <f>BF59+'CFS '!BG15</f>
        <v>5402</v>
      </c>
      <c r="BH59" s="1098">
        <f>BG59+'CFS '!BH15</f>
        <v>5733</v>
      </c>
      <c r="BI59" s="1098">
        <f>BH59+'CFS '!BI15</f>
        <v>6067.5</v>
      </c>
      <c r="BJ59" s="1098">
        <f>BI59+'CFS '!BJ15</f>
        <v>6405.5</v>
      </c>
      <c r="BK59" s="1098">
        <f>BJ59+'CFS '!BK15</f>
        <v>6747</v>
      </c>
      <c r="BL59" s="19"/>
      <c r="BM59" s="74">
        <f>G59</f>
        <v>0</v>
      </c>
      <c r="BN59" s="75">
        <f>K59</f>
        <v>0</v>
      </c>
      <c r="BO59" s="75">
        <f>O59</f>
        <v>0</v>
      </c>
      <c r="BP59" s="75">
        <f>S59</f>
        <v>0</v>
      </c>
      <c r="BQ59" s="75">
        <f>W59</f>
        <v>0</v>
      </c>
      <c r="BR59" s="76">
        <f>AA59</f>
        <v>0</v>
      </c>
      <c r="BS59" s="75">
        <f>AE59</f>
        <v>0</v>
      </c>
      <c r="BT59" s="75">
        <f>AI59</f>
        <v>0</v>
      </c>
      <c r="BU59" s="75">
        <f>AM59</f>
        <v>0</v>
      </c>
      <c r="BV59" s="75">
        <f>AQ59</f>
        <v>0</v>
      </c>
      <c r="BW59" s="75">
        <f>AU59</f>
        <v>2984</v>
      </c>
      <c r="BX59" s="75">
        <f>AY59</f>
        <v>2907</v>
      </c>
      <c r="BY59" s="75">
        <f t="shared" si="287"/>
        <v>4110</v>
      </c>
      <c r="BZ59" s="75">
        <f>BG59</f>
        <v>5402</v>
      </c>
      <c r="CA59" s="1388">
        <f>BK59</f>
        <v>6747</v>
      </c>
      <c r="CB59" s="19"/>
      <c r="CC59" s="74">
        <f>H59</f>
        <v>0</v>
      </c>
      <c r="CD59" s="75">
        <f>L59</f>
        <v>0</v>
      </c>
      <c r="CE59" s="75">
        <f>P59</f>
        <v>0</v>
      </c>
      <c r="CF59" s="75">
        <f>T59</f>
        <v>0</v>
      </c>
      <c r="CG59" s="75">
        <f>X59</f>
        <v>0</v>
      </c>
      <c r="CH59" s="76">
        <f>AB59</f>
        <v>0</v>
      </c>
      <c r="CI59" s="75">
        <f>AF59</f>
        <v>0</v>
      </c>
      <c r="CJ59" s="75">
        <f>AJ59</f>
        <v>0</v>
      </c>
      <c r="CK59" s="75">
        <f>AN59</f>
        <v>0</v>
      </c>
      <c r="CL59" s="75">
        <f>AR59</f>
        <v>0</v>
      </c>
      <c r="CM59" s="75">
        <f>AV59</f>
        <v>2977</v>
      </c>
      <c r="CN59" s="75">
        <f>AZ59</f>
        <v>3180</v>
      </c>
      <c r="CO59" s="75">
        <f>BD59</f>
        <v>4427.75</v>
      </c>
      <c r="CP59" s="76">
        <f>BH59</f>
        <v>5733</v>
      </c>
      <c r="CQ59" s="10"/>
      <c r="CX59" s="7"/>
    </row>
    <row r="60" spans="1:102" ht="14.25" customHeight="1">
      <c r="A60" s="7"/>
      <c r="B60" s="154" t="s">
        <v>58</v>
      </c>
      <c r="C60" s="155"/>
      <c r="D60" s="158">
        <f t="shared" ref="D60:W60" si="297">SUM(D56:D59)</f>
        <v>1052</v>
      </c>
      <c r="E60" s="156">
        <f t="shared" si="297"/>
        <v>1066</v>
      </c>
      <c r="F60" s="156">
        <f t="shared" si="297"/>
        <v>1068</v>
      </c>
      <c r="G60" s="157">
        <f t="shared" si="297"/>
        <v>1069</v>
      </c>
      <c r="H60" s="158">
        <f t="shared" si="297"/>
        <v>1079</v>
      </c>
      <c r="I60" s="156">
        <f t="shared" si="297"/>
        <v>1082</v>
      </c>
      <c r="J60" s="156">
        <f t="shared" si="297"/>
        <v>1080</v>
      </c>
      <c r="K60" s="157">
        <f t="shared" si="297"/>
        <v>1075</v>
      </c>
      <c r="L60" s="158">
        <f t="shared" si="297"/>
        <v>1079</v>
      </c>
      <c r="M60" s="156">
        <f t="shared" si="297"/>
        <v>1079</v>
      </c>
      <c r="N60" s="156">
        <f t="shared" si="297"/>
        <v>1082</v>
      </c>
      <c r="O60" s="157">
        <f t="shared" si="297"/>
        <v>1084</v>
      </c>
      <c r="P60" s="158">
        <f t="shared" si="297"/>
        <v>1084</v>
      </c>
      <c r="Q60" s="156">
        <f t="shared" si="297"/>
        <v>1086</v>
      </c>
      <c r="R60" s="156">
        <f t="shared" si="297"/>
        <v>1084</v>
      </c>
      <c r="S60" s="157">
        <f t="shared" si="297"/>
        <v>1393</v>
      </c>
      <c r="T60" s="156">
        <f t="shared" si="297"/>
        <v>1402</v>
      </c>
      <c r="U60" s="156">
        <f t="shared" si="297"/>
        <v>1425</v>
      </c>
      <c r="V60" s="156">
        <f t="shared" si="297"/>
        <v>1435</v>
      </c>
      <c r="W60" s="156">
        <f t="shared" si="297"/>
        <v>1450</v>
      </c>
      <c r="X60" s="158">
        <f t="shared" ref="X60:AL60" si="298">SUM(X56:X59)</f>
        <v>1487</v>
      </c>
      <c r="Y60" s="156">
        <f t="shared" si="298"/>
        <v>1518</v>
      </c>
      <c r="Z60" s="156">
        <f t="shared" si="298"/>
        <v>1472</v>
      </c>
      <c r="AA60" s="157">
        <f t="shared" si="298"/>
        <v>1479</v>
      </c>
      <c r="AB60" s="156">
        <f t="shared" si="298"/>
        <v>1416</v>
      </c>
      <c r="AC60" s="156">
        <f t="shared" si="298"/>
        <v>1442</v>
      </c>
      <c r="AD60" s="156">
        <f t="shared" si="298"/>
        <v>1456</v>
      </c>
      <c r="AE60" s="157">
        <f t="shared" si="298"/>
        <v>1479</v>
      </c>
      <c r="AF60" s="156">
        <f t="shared" si="298"/>
        <v>1493</v>
      </c>
      <c r="AG60" s="156">
        <f t="shared" si="298"/>
        <v>1518</v>
      </c>
      <c r="AH60" s="156">
        <f t="shared" si="298"/>
        <v>1538</v>
      </c>
      <c r="AI60" s="157">
        <f t="shared" si="298"/>
        <v>1587</v>
      </c>
      <c r="AJ60" s="156">
        <f t="shared" si="298"/>
        <v>1622</v>
      </c>
      <c r="AK60" s="156">
        <f t="shared" si="298"/>
        <v>1694</v>
      </c>
      <c r="AL60" s="156">
        <f t="shared" si="298"/>
        <v>1875</v>
      </c>
      <c r="AM60" s="157">
        <f>SUM(AM56:AM59)</f>
        <v>2009</v>
      </c>
      <c r="AN60" s="156">
        <f>SUM(AN56:AN59)</f>
        <v>2131</v>
      </c>
      <c r="AO60" s="156">
        <f t="shared" ref="AO60:AP60" si="299">SUM(AO56:AO59)</f>
        <v>2319</v>
      </c>
      <c r="AP60" s="156">
        <f t="shared" si="299"/>
        <v>2403</v>
      </c>
      <c r="AQ60" s="157">
        <f>SUM(AQ56:AQ59)</f>
        <v>2547</v>
      </c>
      <c r="AR60" s="156">
        <f>SUM(AR56:AR59)</f>
        <v>2699</v>
      </c>
      <c r="AS60" s="156">
        <f t="shared" ref="AS60:AT60" si="300">SUM(AS56:AS59)</f>
        <v>21719</v>
      </c>
      <c r="AT60" s="156">
        <f t="shared" si="300"/>
        <v>21957</v>
      </c>
      <c r="AU60" s="157">
        <f>SUM(AU56:AU59)</f>
        <v>22225</v>
      </c>
      <c r="AV60" s="156">
        <f>SUM(AV56:AV59)</f>
        <v>22481</v>
      </c>
      <c r="AW60" s="156">
        <f t="shared" ref="AW60:BC60" si="301">SUM(AW56:AW59)</f>
        <v>22787</v>
      </c>
      <c r="AX60" s="156">
        <f t="shared" si="301"/>
        <v>23082</v>
      </c>
      <c r="AY60" s="157">
        <f t="shared" si="301"/>
        <v>23412</v>
      </c>
      <c r="AZ60" s="156">
        <f>SUM(AZ56:AZ59)</f>
        <v>24031</v>
      </c>
      <c r="BA60" s="156">
        <f t="shared" si="301"/>
        <v>24336</v>
      </c>
      <c r="BB60" s="156">
        <f t="shared" si="301"/>
        <v>24646</v>
      </c>
      <c r="BC60" s="157">
        <f t="shared" si="301"/>
        <v>24961</v>
      </c>
      <c r="BD60" s="156">
        <f t="shared" ref="BD60:BG60" si="302">SUM(BD56:BD59)</f>
        <v>25278.75</v>
      </c>
      <c r="BE60" s="156">
        <f t="shared" si="302"/>
        <v>25600</v>
      </c>
      <c r="BF60" s="156">
        <f t="shared" si="302"/>
        <v>25924.75</v>
      </c>
      <c r="BG60" s="157">
        <f t="shared" si="302"/>
        <v>26253</v>
      </c>
      <c r="BH60" s="156">
        <f t="shared" ref="BH60:BK60" si="303">SUM(BH56:BH59)</f>
        <v>26584</v>
      </c>
      <c r="BI60" s="156">
        <f t="shared" si="303"/>
        <v>26918.5</v>
      </c>
      <c r="BJ60" s="156">
        <f t="shared" si="303"/>
        <v>27256.5</v>
      </c>
      <c r="BK60" s="157">
        <f t="shared" si="303"/>
        <v>27598</v>
      </c>
      <c r="BL60" s="19"/>
      <c r="BM60" s="158">
        <f t="shared" ref="BM60:BW60" si="304">SUM(BM56:BM59)</f>
        <v>1069</v>
      </c>
      <c r="BN60" s="156">
        <f t="shared" si="304"/>
        <v>1075</v>
      </c>
      <c r="BO60" s="156">
        <f t="shared" si="304"/>
        <v>1084</v>
      </c>
      <c r="BP60" s="156">
        <f t="shared" si="304"/>
        <v>1393</v>
      </c>
      <c r="BQ60" s="156">
        <f t="shared" si="304"/>
        <v>1450</v>
      </c>
      <c r="BR60" s="157">
        <f t="shared" si="304"/>
        <v>1479</v>
      </c>
      <c r="BS60" s="156">
        <f t="shared" si="304"/>
        <v>1479</v>
      </c>
      <c r="BT60" s="156">
        <f t="shared" si="304"/>
        <v>1587</v>
      </c>
      <c r="BU60" s="156">
        <f t="shared" si="304"/>
        <v>2009</v>
      </c>
      <c r="BV60" s="156">
        <f t="shared" si="304"/>
        <v>2547</v>
      </c>
      <c r="BW60" s="156">
        <f t="shared" si="304"/>
        <v>22225</v>
      </c>
      <c r="BX60" s="156">
        <f>SUM(BX56:BX59)</f>
        <v>23412</v>
      </c>
      <c r="BY60" s="156">
        <f>SUM(BY56:BY59)</f>
        <v>24961</v>
      </c>
      <c r="BZ60" s="156">
        <f>SUM(BZ56:BZ59)</f>
        <v>26253</v>
      </c>
      <c r="CA60" s="157">
        <f>SUM(CA56:CA59)</f>
        <v>27598</v>
      </c>
      <c r="CB60" s="19"/>
      <c r="CC60" s="158">
        <f t="shared" ref="CC60:CJ60" si="305">SUM(CC56:CC59)</f>
        <v>1079</v>
      </c>
      <c r="CD60" s="156">
        <f t="shared" si="305"/>
        <v>1079</v>
      </c>
      <c r="CE60" s="156">
        <f t="shared" si="305"/>
        <v>1084</v>
      </c>
      <c r="CF60" s="156">
        <f t="shared" si="305"/>
        <v>1402</v>
      </c>
      <c r="CG60" s="156">
        <f t="shared" si="305"/>
        <v>1487</v>
      </c>
      <c r="CH60" s="157">
        <f t="shared" si="305"/>
        <v>1416</v>
      </c>
      <c r="CI60" s="156">
        <f t="shared" si="305"/>
        <v>1493</v>
      </c>
      <c r="CJ60" s="156">
        <f t="shared" si="305"/>
        <v>1622</v>
      </c>
      <c r="CK60" s="156">
        <f t="shared" ref="CK60:CP60" si="306">SUM(CK56:CK59)</f>
        <v>2131</v>
      </c>
      <c r="CL60" s="156">
        <f t="shared" si="306"/>
        <v>2699</v>
      </c>
      <c r="CM60" s="156">
        <f t="shared" si="306"/>
        <v>22481</v>
      </c>
      <c r="CN60" s="156">
        <f t="shared" si="306"/>
        <v>24031</v>
      </c>
      <c r="CO60" s="156">
        <f t="shared" si="306"/>
        <v>25278.75</v>
      </c>
      <c r="CP60" s="157">
        <f t="shared" si="306"/>
        <v>26584</v>
      </c>
      <c r="CQ60" s="10"/>
      <c r="CX60" s="7"/>
    </row>
    <row r="61" spans="1:102" ht="14.25" customHeight="1">
      <c r="A61" s="7"/>
      <c r="B61" s="27"/>
      <c r="C61" s="28"/>
      <c r="D61" s="74"/>
      <c r="E61" s="75"/>
      <c r="F61" s="75"/>
      <c r="G61" s="76"/>
      <c r="H61" s="74"/>
      <c r="I61" s="75"/>
      <c r="J61" s="75"/>
      <c r="K61" s="76"/>
      <c r="L61" s="74"/>
      <c r="M61" s="75"/>
      <c r="N61" s="75"/>
      <c r="O61" s="76"/>
      <c r="P61" s="74"/>
      <c r="Q61" s="75"/>
      <c r="R61" s="75"/>
      <c r="S61" s="76"/>
      <c r="T61" s="75"/>
      <c r="U61" s="75"/>
      <c r="V61" s="75"/>
      <c r="W61" s="75"/>
      <c r="X61" s="74"/>
      <c r="Y61" s="75"/>
      <c r="Z61" s="75"/>
      <c r="AA61" s="76"/>
      <c r="AB61" s="75"/>
      <c r="AC61" s="75"/>
      <c r="AD61" s="75"/>
      <c r="AE61" s="76"/>
      <c r="AF61" s="75"/>
      <c r="AG61" s="75"/>
      <c r="AH61" s="75"/>
      <c r="AI61" s="76"/>
      <c r="AJ61" s="75"/>
      <c r="AK61" s="75"/>
      <c r="AL61" s="75"/>
      <c r="AM61" s="76"/>
      <c r="AN61" s="75"/>
      <c r="AO61" s="75"/>
      <c r="AP61" s="75"/>
      <c r="AQ61" s="76"/>
      <c r="AR61" s="75"/>
      <c r="AS61" s="75"/>
      <c r="AT61" s="75"/>
      <c r="AU61" s="76"/>
      <c r="AV61" s="75"/>
      <c r="AW61" s="75"/>
      <c r="AX61" s="75"/>
      <c r="AY61" s="76"/>
      <c r="AZ61" s="75"/>
      <c r="BA61" s="75"/>
      <c r="BB61" s="75"/>
      <c r="BC61" s="1388"/>
      <c r="BD61" s="75"/>
      <c r="BE61" s="75"/>
      <c r="BF61" s="75"/>
      <c r="BG61" s="1388"/>
      <c r="BH61" s="75"/>
      <c r="BI61" s="75"/>
      <c r="BJ61" s="75"/>
      <c r="BK61" s="76"/>
      <c r="BL61" s="19"/>
      <c r="BM61" s="74"/>
      <c r="BN61" s="75"/>
      <c r="BO61" s="75"/>
      <c r="BP61" s="75"/>
      <c r="BQ61" s="75"/>
      <c r="BR61" s="76"/>
      <c r="BS61" s="75"/>
      <c r="BT61" s="75"/>
      <c r="BU61" s="75"/>
      <c r="BV61" s="75"/>
      <c r="BW61" s="75"/>
      <c r="BX61" s="75"/>
      <c r="BY61" s="75"/>
      <c r="BZ61" s="75"/>
      <c r="CA61" s="1388"/>
      <c r="CB61" s="19"/>
      <c r="CC61" s="74"/>
      <c r="CD61" s="75"/>
      <c r="CE61" s="75"/>
      <c r="CF61" s="75"/>
      <c r="CG61" s="75"/>
      <c r="CH61" s="76"/>
      <c r="CI61" s="75"/>
      <c r="CJ61" s="75"/>
      <c r="CK61" s="75"/>
      <c r="CL61" s="75"/>
      <c r="CM61" s="75"/>
      <c r="CN61" s="75"/>
      <c r="CO61" s="75"/>
      <c r="CP61" s="76"/>
      <c r="CQ61" s="10"/>
      <c r="CX61" s="7"/>
    </row>
    <row r="62" spans="1:102" ht="14.25" customHeight="1">
      <c r="A62" s="7"/>
      <c r="B62" s="92" t="s">
        <v>59</v>
      </c>
      <c r="C62" s="93"/>
      <c r="D62" s="77">
        <v>0</v>
      </c>
      <c r="E62" s="78">
        <v>0</v>
      </c>
      <c r="F62" s="78">
        <v>0</v>
      </c>
      <c r="G62" s="79">
        <v>0</v>
      </c>
      <c r="H62" s="77">
        <v>0</v>
      </c>
      <c r="I62" s="78">
        <v>0</v>
      </c>
      <c r="J62" s="78">
        <v>0</v>
      </c>
      <c r="K62" s="79">
        <v>0</v>
      </c>
      <c r="L62" s="77">
        <v>0</v>
      </c>
      <c r="M62" s="78">
        <v>0</v>
      </c>
      <c r="N62" s="78">
        <v>0</v>
      </c>
      <c r="O62" s="79">
        <v>0</v>
      </c>
      <c r="P62" s="77">
        <v>0</v>
      </c>
      <c r="Q62" s="78">
        <v>0</v>
      </c>
      <c r="R62" s="78">
        <v>0</v>
      </c>
      <c r="S62" s="79">
        <v>0</v>
      </c>
      <c r="T62" s="78">
        <v>0</v>
      </c>
      <c r="U62" s="78">
        <v>0</v>
      </c>
      <c r="V62" s="78">
        <v>0</v>
      </c>
      <c r="W62" s="78">
        <v>0</v>
      </c>
      <c r="X62" s="77">
        <v>0</v>
      </c>
      <c r="Y62" s="78">
        <v>0</v>
      </c>
      <c r="Z62" s="78">
        <v>0</v>
      </c>
      <c r="AA62" s="79">
        <v>0</v>
      </c>
      <c r="AB62" s="75">
        <f>AA62</f>
        <v>0</v>
      </c>
      <c r="AC62" s="78">
        <v>0</v>
      </c>
      <c r="AD62" s="78">
        <v>0</v>
      </c>
      <c r="AE62" s="79">
        <v>0</v>
      </c>
      <c r="AF62" s="75">
        <f>AE62</f>
        <v>0</v>
      </c>
      <c r="AG62" s="78">
        <v>0</v>
      </c>
      <c r="AH62" s="78">
        <v>0</v>
      </c>
      <c r="AI62" s="79">
        <v>0</v>
      </c>
      <c r="AJ62" s="75">
        <f>AI62</f>
        <v>0</v>
      </c>
      <c r="AK62" s="78">
        <f>AJ62</f>
        <v>0</v>
      </c>
      <c r="AL62" s="78">
        <v>0</v>
      </c>
      <c r="AM62" s="79">
        <v>0</v>
      </c>
      <c r="AN62" s="75">
        <f>AM62</f>
        <v>0</v>
      </c>
      <c r="AO62" s="78">
        <f>AN62</f>
        <v>0</v>
      </c>
      <c r="AP62" s="78">
        <v>0</v>
      </c>
      <c r="AQ62" s="79">
        <v>0</v>
      </c>
      <c r="AR62" s="75">
        <f>AQ62</f>
        <v>0</v>
      </c>
      <c r="AS62" s="78">
        <f>AR62</f>
        <v>0</v>
      </c>
      <c r="AT62" s="78">
        <v>0</v>
      </c>
      <c r="AU62" s="79">
        <v>0</v>
      </c>
      <c r="AV62" s="75">
        <f>AU62</f>
        <v>0</v>
      </c>
      <c r="AW62" s="78">
        <f t="shared" ref="AW62:BC62" si="307">AV62</f>
        <v>0</v>
      </c>
      <c r="AX62" s="78">
        <f t="shared" si="307"/>
        <v>0</v>
      </c>
      <c r="AY62" s="79">
        <f t="shared" si="307"/>
        <v>0</v>
      </c>
      <c r="AZ62" s="75">
        <f>AY62</f>
        <v>0</v>
      </c>
      <c r="BA62" s="75">
        <f t="shared" si="307"/>
        <v>0</v>
      </c>
      <c r="BB62" s="75">
        <f t="shared" si="307"/>
        <v>0</v>
      </c>
      <c r="BC62" s="1388">
        <f t="shared" si="307"/>
        <v>0</v>
      </c>
      <c r="BD62" s="75">
        <f t="shared" ref="BD62" si="308">BC62</f>
        <v>0</v>
      </c>
      <c r="BE62" s="75">
        <f t="shared" ref="BE62" si="309">BD62</f>
        <v>0</v>
      </c>
      <c r="BF62" s="75">
        <f t="shared" ref="BF62" si="310">BE62</f>
        <v>0</v>
      </c>
      <c r="BG62" s="1388">
        <f t="shared" ref="BG62" si="311">BF62</f>
        <v>0</v>
      </c>
      <c r="BH62" s="75">
        <f t="shared" ref="BH62" si="312">BG62</f>
        <v>0</v>
      </c>
      <c r="BI62" s="75">
        <f t="shared" ref="BI62" si="313">BH62</f>
        <v>0</v>
      </c>
      <c r="BJ62" s="75">
        <f t="shared" ref="BJ62" si="314">BI62</f>
        <v>0</v>
      </c>
      <c r="BK62" s="76">
        <f t="shared" ref="BK62" si="315">BJ62</f>
        <v>0</v>
      </c>
      <c r="BL62" s="19"/>
      <c r="BM62" s="74">
        <f>G62</f>
        <v>0</v>
      </c>
      <c r="BN62" s="75">
        <f>K62</f>
        <v>0</v>
      </c>
      <c r="BO62" s="75">
        <f>O62</f>
        <v>0</v>
      </c>
      <c r="BP62" s="75">
        <f>S62</f>
        <v>0</v>
      </c>
      <c r="BQ62" s="75">
        <f>W62</f>
        <v>0</v>
      </c>
      <c r="BR62" s="76">
        <f>AA62</f>
        <v>0</v>
      </c>
      <c r="BS62" s="75">
        <f>AE62</f>
        <v>0</v>
      </c>
      <c r="BT62" s="75">
        <f>AI62</f>
        <v>0</v>
      </c>
      <c r="BU62" s="75">
        <f>AM62</f>
        <v>0</v>
      </c>
      <c r="BV62" s="75">
        <f>AQ62</f>
        <v>0</v>
      </c>
      <c r="BW62" s="75">
        <f>AU62</f>
        <v>0</v>
      </c>
      <c r="BX62" s="75">
        <f>AY62</f>
        <v>0</v>
      </c>
      <c r="BY62" s="75">
        <f t="shared" ref="BY62:BY64" si="316">BC62</f>
        <v>0</v>
      </c>
      <c r="BZ62" s="75">
        <f>BG62</f>
        <v>0</v>
      </c>
      <c r="CA62" s="1388">
        <f>BK62</f>
        <v>0</v>
      </c>
      <c r="CB62" s="19"/>
      <c r="CC62" s="74">
        <f>H62</f>
        <v>0</v>
      </c>
      <c r="CD62" s="75">
        <f>L62</f>
        <v>0</v>
      </c>
      <c r="CE62" s="75">
        <f>P62</f>
        <v>0</v>
      </c>
      <c r="CF62" s="75">
        <f>T62</f>
        <v>0</v>
      </c>
      <c r="CG62" s="75">
        <f>X62</f>
        <v>0</v>
      </c>
      <c r="CH62" s="76">
        <f>AB62</f>
        <v>0</v>
      </c>
      <c r="CI62" s="75">
        <f>AF62</f>
        <v>0</v>
      </c>
      <c r="CJ62" s="75">
        <f>AJ62</f>
        <v>0</v>
      </c>
      <c r="CK62" s="75">
        <f>AN62</f>
        <v>0</v>
      </c>
      <c r="CL62" s="75">
        <f>AR62</f>
        <v>0</v>
      </c>
      <c r="CM62" s="75">
        <f>AV62</f>
        <v>0</v>
      </c>
      <c r="CN62" s="75">
        <f>AZ62</f>
        <v>0</v>
      </c>
      <c r="CO62" s="75">
        <f>BD62</f>
        <v>0</v>
      </c>
      <c r="CP62" s="76">
        <f>BH62</f>
        <v>0</v>
      </c>
      <c r="CQ62" s="10"/>
      <c r="CX62" s="7"/>
    </row>
    <row r="63" spans="1:102" ht="14.25" customHeight="1">
      <c r="A63" s="7"/>
      <c r="B63" s="92" t="s">
        <v>60</v>
      </c>
      <c r="C63" s="93"/>
      <c r="D63" s="77">
        <v>-78</v>
      </c>
      <c r="E63" s="78">
        <v>-126</v>
      </c>
      <c r="F63" s="78">
        <v>-149</v>
      </c>
      <c r="G63" s="79">
        <v>-227</v>
      </c>
      <c r="H63" s="77">
        <v>-221</v>
      </c>
      <c r="I63" s="78">
        <v>-217</v>
      </c>
      <c r="J63" s="78">
        <v>-384</v>
      </c>
      <c r="K63" s="79">
        <v>-386</v>
      </c>
      <c r="L63" s="77">
        <v>-391</v>
      </c>
      <c r="M63" s="78">
        <v>-374</v>
      </c>
      <c r="N63" s="78">
        <v>-330</v>
      </c>
      <c r="O63" s="79">
        <v>-312</v>
      </c>
      <c r="P63" s="77">
        <v>-306</v>
      </c>
      <c r="Q63" s="78">
        <v>-337</v>
      </c>
      <c r="R63" s="78">
        <v>-335</v>
      </c>
      <c r="S63" s="79">
        <v>-356</v>
      </c>
      <c r="T63" s="78">
        <v>-318</v>
      </c>
      <c r="U63" s="78">
        <v>-228</v>
      </c>
      <c r="V63" s="78">
        <v>-105</v>
      </c>
      <c r="W63" s="78">
        <v>59</v>
      </c>
      <c r="X63" s="77">
        <v>161</v>
      </c>
      <c r="Y63" s="78">
        <v>276</v>
      </c>
      <c r="Z63" s="78">
        <v>398</v>
      </c>
      <c r="AA63" s="79">
        <v>525</v>
      </c>
      <c r="AB63" s="78">
        <v>621</v>
      </c>
      <c r="AC63" s="78">
        <v>723</v>
      </c>
      <c r="AD63" s="78">
        <v>831</v>
      </c>
      <c r="AE63" s="79">
        <v>951</v>
      </c>
      <c r="AF63" s="78">
        <v>1034</v>
      </c>
      <c r="AG63" s="78">
        <v>1100</v>
      </c>
      <c r="AH63" s="78">
        <v>1190</v>
      </c>
      <c r="AI63" s="79">
        <v>1305</v>
      </c>
      <c r="AJ63" s="78">
        <v>1377</v>
      </c>
      <c r="AK63" s="78">
        <v>1467</v>
      </c>
      <c r="AL63" s="78">
        <v>1230</v>
      </c>
      <c r="AM63" s="79">
        <v>1284</v>
      </c>
      <c r="AN63" s="78">
        <v>1546</v>
      </c>
      <c r="AO63" s="78">
        <v>1791</v>
      </c>
      <c r="AP63" s="78">
        <v>1927</v>
      </c>
      <c r="AQ63" s="79">
        <v>2240</v>
      </c>
      <c r="AR63" s="78">
        <v>2495</v>
      </c>
      <c r="AS63" s="78">
        <v>1116</v>
      </c>
      <c r="AT63" s="78">
        <v>619</v>
      </c>
      <c r="AU63" s="79">
        <v>-215</v>
      </c>
      <c r="AV63" s="78">
        <v>-337</v>
      </c>
      <c r="AW63" s="78">
        <v>-311</v>
      </c>
      <c r="AX63" s="78">
        <v>-245</v>
      </c>
      <c r="AY63" s="79">
        <v>-25</v>
      </c>
      <c r="AZ63" s="78">
        <v>5132</v>
      </c>
      <c r="BA63" s="908">
        <f>AZ63+'AVGO IS'!BA92-BA62</f>
        <v>7028.6153533135803</v>
      </c>
      <c r="BB63" s="908">
        <f>BA63+'AVGO IS'!BB92-BB62</f>
        <v>8876.7338450713596</v>
      </c>
      <c r="BC63" s="1389">
        <f>BB63+'AVGO IS'!BC92-BC62</f>
        <v>10898.520371712351</v>
      </c>
      <c r="BD63" s="1098">
        <f>BC63+'AVGO IS'!BD92-BD62</f>
        <v>12812.014655574925</v>
      </c>
      <c r="BE63" s="1098">
        <f>BD63+'AVGO IS'!BE92-BE62</f>
        <v>14662.619168619533</v>
      </c>
      <c r="BF63" s="1098">
        <f>BE63+'AVGO IS'!BF92-BF62</f>
        <v>16677.80435286017</v>
      </c>
      <c r="BG63" s="1389">
        <f>BF63+'AVGO IS'!BG92-BG62</f>
        <v>18963.059726900829</v>
      </c>
      <c r="BH63" s="1098">
        <f>BG63+'AVGO IS'!BH92-BH62</f>
        <v>21130.618589439418</v>
      </c>
      <c r="BI63" s="1098">
        <f>BH63+'AVGO IS'!BI92-BI62</f>
        <v>23153.944675141516</v>
      </c>
      <c r="BJ63" s="1098">
        <f>BI63+'AVGO IS'!BJ92-BJ62</f>
        <v>25288.966128945252</v>
      </c>
      <c r="BK63" s="1098">
        <f>BJ63+'AVGO IS'!BK92-BK62</f>
        <v>27593.14340063067</v>
      </c>
      <c r="BL63" s="19"/>
      <c r="BM63" s="74">
        <f>G63</f>
        <v>-227</v>
      </c>
      <c r="BN63" s="75">
        <f>K63</f>
        <v>-386</v>
      </c>
      <c r="BO63" s="75">
        <f>O63</f>
        <v>-312</v>
      </c>
      <c r="BP63" s="75">
        <f>S63</f>
        <v>-356</v>
      </c>
      <c r="BQ63" s="75">
        <f>W63</f>
        <v>59</v>
      </c>
      <c r="BR63" s="76">
        <f>AA63</f>
        <v>525</v>
      </c>
      <c r="BS63" s="75">
        <f>AE63</f>
        <v>951</v>
      </c>
      <c r="BT63" s="75">
        <f>AI63</f>
        <v>1305</v>
      </c>
      <c r="BU63" s="75">
        <f>AM63</f>
        <v>1284</v>
      </c>
      <c r="BV63" s="75">
        <f>AQ63</f>
        <v>2240</v>
      </c>
      <c r="BW63" s="75">
        <f>AU63</f>
        <v>-215</v>
      </c>
      <c r="BX63" s="75">
        <f>AY63</f>
        <v>-25</v>
      </c>
      <c r="BY63" s="75">
        <f t="shared" si="316"/>
        <v>10898.520371712351</v>
      </c>
      <c r="BZ63" s="75">
        <f>BG63</f>
        <v>18963.059726900829</v>
      </c>
      <c r="CA63" s="1388">
        <f>BK63</f>
        <v>27593.14340063067</v>
      </c>
      <c r="CB63" s="19"/>
      <c r="CC63" s="74">
        <f>H63</f>
        <v>-221</v>
      </c>
      <c r="CD63" s="75">
        <f>L63</f>
        <v>-391</v>
      </c>
      <c r="CE63" s="75">
        <f>P63</f>
        <v>-306</v>
      </c>
      <c r="CF63" s="75">
        <f>T63</f>
        <v>-318</v>
      </c>
      <c r="CG63" s="75">
        <f>X63</f>
        <v>161</v>
      </c>
      <c r="CH63" s="76">
        <f>AB63</f>
        <v>621</v>
      </c>
      <c r="CI63" s="75">
        <f>AF63</f>
        <v>1034</v>
      </c>
      <c r="CJ63" s="75">
        <f>AJ63</f>
        <v>1377</v>
      </c>
      <c r="CK63" s="75">
        <f>AN63</f>
        <v>1546</v>
      </c>
      <c r="CL63" s="75">
        <f>AR63</f>
        <v>2495</v>
      </c>
      <c r="CM63" s="75">
        <f>AV63</f>
        <v>-337</v>
      </c>
      <c r="CN63" s="75">
        <f>AZ63</f>
        <v>5132</v>
      </c>
      <c r="CO63" s="75">
        <f>BD63</f>
        <v>12812.014655574925</v>
      </c>
      <c r="CP63" s="76">
        <f>BH63</f>
        <v>21130.618589439418</v>
      </c>
      <c r="CQ63" s="10"/>
      <c r="CX63" s="7"/>
    </row>
    <row r="64" spans="1:102" ht="14.25" customHeight="1">
      <c r="A64" s="7"/>
      <c r="B64" s="92" t="s">
        <v>61</v>
      </c>
      <c r="C64" s="93"/>
      <c r="D64" s="77">
        <v>0</v>
      </c>
      <c r="E64" s="78">
        <v>0</v>
      </c>
      <c r="F64" s="78">
        <v>0</v>
      </c>
      <c r="G64" s="159">
        <v>0</v>
      </c>
      <c r="H64" s="77">
        <v>0</v>
      </c>
      <c r="I64" s="78">
        <v>0</v>
      </c>
      <c r="J64" s="78">
        <v>0</v>
      </c>
      <c r="K64" s="159">
        <v>4</v>
      </c>
      <c r="L64" s="77">
        <v>4</v>
      </c>
      <c r="M64" s="78">
        <v>4</v>
      </c>
      <c r="N64" s="78">
        <v>4</v>
      </c>
      <c r="O64" s="159">
        <v>8</v>
      </c>
      <c r="P64" s="77">
        <v>9</v>
      </c>
      <c r="Q64" s="78">
        <v>9</v>
      </c>
      <c r="R64" s="78">
        <v>9</v>
      </c>
      <c r="S64" s="159">
        <v>3</v>
      </c>
      <c r="T64" s="78">
        <v>3</v>
      </c>
      <c r="U64" s="78">
        <v>3</v>
      </c>
      <c r="V64" s="78">
        <v>3</v>
      </c>
      <c r="W64" s="78">
        <v>-4</v>
      </c>
      <c r="X64" s="297">
        <v>-4</v>
      </c>
      <c r="Y64" s="78">
        <v>-3</v>
      </c>
      <c r="Z64" s="78">
        <v>0</v>
      </c>
      <c r="AA64" s="79">
        <v>2</v>
      </c>
      <c r="AB64" s="78">
        <v>3</v>
      </c>
      <c r="AC64" s="78">
        <v>2</v>
      </c>
      <c r="AD64" s="78">
        <v>2</v>
      </c>
      <c r="AE64" s="79">
        <v>-11</v>
      </c>
      <c r="AF64" s="78">
        <v>-9</v>
      </c>
      <c r="AG64" s="78">
        <v>-7</v>
      </c>
      <c r="AH64" s="78">
        <v>-2</v>
      </c>
      <c r="AI64" s="79">
        <v>-6</v>
      </c>
      <c r="AJ64" s="78">
        <v>-7</v>
      </c>
      <c r="AK64" s="78">
        <v>-7</v>
      </c>
      <c r="AL64" s="78">
        <v>-7</v>
      </c>
      <c r="AM64" s="79">
        <v>-50</v>
      </c>
      <c r="AN64" s="78">
        <v>-49</v>
      </c>
      <c r="AO64" s="78">
        <v>-49</v>
      </c>
      <c r="AP64" s="78">
        <v>-49</v>
      </c>
      <c r="AQ64" s="79">
        <v>-73</v>
      </c>
      <c r="AR64" s="78">
        <v>-73</v>
      </c>
      <c r="AS64" s="78">
        <v>-73</v>
      </c>
      <c r="AT64" s="78">
        <v>-72</v>
      </c>
      <c r="AU64" s="79">
        <v>-134</v>
      </c>
      <c r="AV64" s="78">
        <v>-134</v>
      </c>
      <c r="AW64" s="78">
        <v>-133</v>
      </c>
      <c r="AX64" s="78">
        <v>-133</v>
      </c>
      <c r="AY64" s="79">
        <v>-91</v>
      </c>
      <c r="AZ64" s="78">
        <v>-82</v>
      </c>
      <c r="BA64" s="909">
        <f>AZ64+'CFS '!BA16+'CFS '!BA17+'CFS '!BA39+'CFS '!BA45+'CFS '!BA13+'CFS '!BA12+'CFS '!BA29+'CFS '!BA37+'CFS '!BA41</f>
        <v>-860.22129032258056</v>
      </c>
      <c r="BB64" s="909">
        <f>BA64+'CFS '!BB16+'CFS '!BB17+'CFS '!BB39+'CFS '!BB45+'CFS '!BB13+'CFS '!BB12+'CFS '!BB29+'CFS '!BB37+'CFS '!BB41</f>
        <v>-1639.3426054590568</v>
      </c>
      <c r="BC64" s="1392">
        <f>BB64+'CFS '!BC16+'CFS '!BC17+'CFS '!BC39+'CFS '!BC45+'CFS '!BC13+'CFS '!BC12+'CFS '!BC29+'CFS '!BC37+'CFS '!BC41</f>
        <v>-2419.3639454094291</v>
      </c>
      <c r="BD64" s="909">
        <f>BC64+'CFS '!BD16+'CFS '!BD17+'CFS '!BD39+'CFS '!BD45+'CFS '!BD13+'CFS '!BD12+'CFS '!BD29+'CFS '!BD37+'CFS '!BD41</f>
        <v>-3502.5046424317616</v>
      </c>
      <c r="BE64" s="909">
        <f>BD64+'CFS '!BE16+'CFS '!BE17+'CFS '!BE39+'CFS '!BE45+'CFS '!BE13+'CFS '!BE12+'CFS '!BE29+'CFS '!BE37+'CFS '!BE41</f>
        <v>-4586.8963739454093</v>
      </c>
      <c r="BF64" s="909">
        <f>BE64+'CFS '!BF16+'CFS '!BF17+'CFS '!BF39+'CFS '!BF45+'CFS '!BF13+'CFS '!BF12+'CFS '!BF29+'CFS '!BF37+'CFS '!BF41</f>
        <v>-5672.5391399503715</v>
      </c>
      <c r="BG64" s="1392">
        <f>BF64+'CFS '!BG16+'CFS '!BG17+'CFS '!BG39+'CFS '!BG45+'CFS '!BG13+'CFS '!BG12+'CFS '!BG29+'CFS '!BG37+'CFS '!BG41</f>
        <v>-6759.4329404466489</v>
      </c>
      <c r="BH64" s="909">
        <f>BG64+'CFS '!BH16+'CFS '!BH17+'CFS '!BH39+'CFS '!BH45+'CFS '!BH13+'CFS '!BH12+'CFS '!BH29+'CFS '!BH37+'CFS '!BH41</f>
        <v>-7847.5777754342416</v>
      </c>
      <c r="BI64" s="909">
        <f>BH64+'CFS '!BI16+'CFS '!BI17+'CFS '!BI39+'CFS '!BI45+'CFS '!BI13+'CFS '!BI12+'CFS '!BI29+'CFS '!BI37+'CFS '!BI41</f>
        <v>-8936.9736449131487</v>
      </c>
      <c r="BJ64" s="909">
        <f>BI64+'CFS '!BJ16+'CFS '!BJ17+'CFS '!BJ39+'CFS '!BJ45+'CFS '!BJ13+'CFS '!BJ12+'CFS '!BJ29+'CFS '!BJ37+'CFS '!BJ41</f>
        <v>-10027.620548883371</v>
      </c>
      <c r="BK64" s="909">
        <f>BJ64+'CFS '!BK16+'CFS '!BK17+'CFS '!BK39+'CFS '!BK45+'CFS '!BK13+'CFS '!BK12+'CFS '!BK29+'CFS '!BK37+'CFS '!BK41</f>
        <v>-11119.518487344909</v>
      </c>
      <c r="BL64" s="19"/>
      <c r="BM64" s="74">
        <f>G64</f>
        <v>0</v>
      </c>
      <c r="BN64" s="75">
        <f>K64</f>
        <v>4</v>
      </c>
      <c r="BO64" s="75">
        <f>O64</f>
        <v>8</v>
      </c>
      <c r="BP64" s="75">
        <f>S64</f>
        <v>3</v>
      </c>
      <c r="BQ64" s="75">
        <f>W64</f>
        <v>-4</v>
      </c>
      <c r="BR64" s="76">
        <f>AA64</f>
        <v>2</v>
      </c>
      <c r="BS64" s="75">
        <f>AE64</f>
        <v>-11</v>
      </c>
      <c r="BT64" s="75">
        <f>AI64</f>
        <v>-6</v>
      </c>
      <c r="BU64" s="75">
        <f>AM64</f>
        <v>-50</v>
      </c>
      <c r="BV64" s="75">
        <f>AQ64</f>
        <v>-73</v>
      </c>
      <c r="BW64" s="75">
        <f>AU64</f>
        <v>-134</v>
      </c>
      <c r="BX64" s="111">
        <f>AY64</f>
        <v>-91</v>
      </c>
      <c r="BY64" s="111">
        <f t="shared" si="316"/>
        <v>-2419.3639454094291</v>
      </c>
      <c r="BZ64" s="111">
        <f>BG64</f>
        <v>-6759.4329404466489</v>
      </c>
      <c r="CA64" s="112">
        <f>BK64</f>
        <v>-11119.518487344909</v>
      </c>
      <c r="CB64" s="19"/>
      <c r="CC64" s="74">
        <f>H64</f>
        <v>0</v>
      </c>
      <c r="CD64" s="75">
        <f>L64</f>
        <v>4</v>
      </c>
      <c r="CE64" s="75">
        <f>P64</f>
        <v>9</v>
      </c>
      <c r="CF64" s="75">
        <f>T64</f>
        <v>3</v>
      </c>
      <c r="CG64" s="75">
        <f>X64</f>
        <v>-4</v>
      </c>
      <c r="CH64" s="76">
        <f>AB64</f>
        <v>3</v>
      </c>
      <c r="CI64" s="75">
        <f>AF64</f>
        <v>-9</v>
      </c>
      <c r="CJ64" s="75">
        <f>AJ64</f>
        <v>-7</v>
      </c>
      <c r="CK64" s="75">
        <f>AN64</f>
        <v>-49</v>
      </c>
      <c r="CL64" s="75">
        <f>AR64</f>
        <v>-73</v>
      </c>
      <c r="CM64" s="75">
        <f>AV64</f>
        <v>-134</v>
      </c>
      <c r="CN64" s="75">
        <f>AZ64</f>
        <v>-82</v>
      </c>
      <c r="CO64" s="75">
        <f>BD64</f>
        <v>-3502.5046424317616</v>
      </c>
      <c r="CP64" s="76">
        <f>BH64</f>
        <v>-7847.5777754342416</v>
      </c>
      <c r="CQ64" s="10"/>
      <c r="CX64" s="7"/>
    </row>
    <row r="65" spans="1:102" ht="14.25" customHeight="1">
      <c r="A65" s="7"/>
      <c r="B65" s="133" t="s">
        <v>42</v>
      </c>
      <c r="C65" s="134"/>
      <c r="D65" s="126">
        <f t="shared" ref="D65:AL65" si="317">D60+D63+D64</f>
        <v>974</v>
      </c>
      <c r="E65" s="124">
        <f t="shared" si="317"/>
        <v>940</v>
      </c>
      <c r="F65" s="124">
        <f t="shared" si="317"/>
        <v>919</v>
      </c>
      <c r="G65" s="125">
        <f t="shared" si="317"/>
        <v>842</v>
      </c>
      <c r="H65" s="126">
        <f t="shared" si="317"/>
        <v>858</v>
      </c>
      <c r="I65" s="124">
        <f t="shared" si="317"/>
        <v>865</v>
      </c>
      <c r="J65" s="124">
        <f t="shared" si="317"/>
        <v>696</v>
      </c>
      <c r="K65" s="125">
        <f t="shared" si="317"/>
        <v>693</v>
      </c>
      <c r="L65" s="126">
        <f t="shared" si="317"/>
        <v>692</v>
      </c>
      <c r="M65" s="124">
        <f t="shared" si="317"/>
        <v>709</v>
      </c>
      <c r="N65" s="124">
        <f t="shared" si="317"/>
        <v>756</v>
      </c>
      <c r="O65" s="125">
        <f t="shared" si="317"/>
        <v>780</v>
      </c>
      <c r="P65" s="126">
        <f t="shared" si="317"/>
        <v>787</v>
      </c>
      <c r="Q65" s="124">
        <f t="shared" si="317"/>
        <v>758</v>
      </c>
      <c r="R65" s="124">
        <f t="shared" si="317"/>
        <v>758</v>
      </c>
      <c r="S65" s="125">
        <f t="shared" si="317"/>
        <v>1040</v>
      </c>
      <c r="T65" s="126">
        <f t="shared" si="317"/>
        <v>1087</v>
      </c>
      <c r="U65" s="124">
        <f t="shared" si="317"/>
        <v>1200</v>
      </c>
      <c r="V65" s="124">
        <f t="shared" si="317"/>
        <v>1333</v>
      </c>
      <c r="W65" s="124">
        <f t="shared" si="317"/>
        <v>1505</v>
      </c>
      <c r="X65" s="126">
        <f t="shared" si="317"/>
        <v>1644</v>
      </c>
      <c r="Y65" s="124">
        <f t="shared" si="317"/>
        <v>1791</v>
      </c>
      <c r="Z65" s="124">
        <f t="shared" si="317"/>
        <v>1870</v>
      </c>
      <c r="AA65" s="125">
        <f t="shared" si="317"/>
        <v>2006</v>
      </c>
      <c r="AB65" s="124">
        <f t="shared" si="317"/>
        <v>2040</v>
      </c>
      <c r="AC65" s="124">
        <f t="shared" si="317"/>
        <v>2167</v>
      </c>
      <c r="AD65" s="124">
        <f t="shared" si="317"/>
        <v>2289</v>
      </c>
      <c r="AE65" s="125">
        <f t="shared" si="317"/>
        <v>2419</v>
      </c>
      <c r="AF65" s="124">
        <f t="shared" si="317"/>
        <v>2518</v>
      </c>
      <c r="AG65" s="124">
        <f t="shared" si="317"/>
        <v>2611</v>
      </c>
      <c r="AH65" s="124">
        <f t="shared" si="317"/>
        <v>2726</v>
      </c>
      <c r="AI65" s="125">
        <f t="shared" si="317"/>
        <v>2886</v>
      </c>
      <c r="AJ65" s="124">
        <f t="shared" si="317"/>
        <v>2992</v>
      </c>
      <c r="AK65" s="124">
        <f t="shared" si="317"/>
        <v>3154</v>
      </c>
      <c r="AL65" s="124">
        <f t="shared" si="317"/>
        <v>3098</v>
      </c>
      <c r="AM65" s="125">
        <f>AM60+AM63+AM64</f>
        <v>3243</v>
      </c>
      <c r="AN65" s="124">
        <f>AN60+AN63+AN64</f>
        <v>3628</v>
      </c>
      <c r="AO65" s="124">
        <f t="shared" ref="AO65:AP65" si="318">AO60+AO63+AO64</f>
        <v>4061</v>
      </c>
      <c r="AP65" s="124">
        <f t="shared" si="318"/>
        <v>4281</v>
      </c>
      <c r="AQ65" s="125">
        <f>AQ60+AQ63+AQ64</f>
        <v>4714</v>
      </c>
      <c r="AR65" s="124">
        <f>AR60+AR63+AR64</f>
        <v>5121</v>
      </c>
      <c r="AS65" s="124">
        <f t="shared" ref="AS65:AT65" si="319">AS60+AS63+AS64</f>
        <v>22762</v>
      </c>
      <c r="AT65" s="124">
        <f t="shared" si="319"/>
        <v>22504</v>
      </c>
      <c r="AU65" s="125">
        <f>AU60+AU63+AU64</f>
        <v>21876</v>
      </c>
      <c r="AV65" s="124">
        <f>AV60+AV63+AV64</f>
        <v>22010</v>
      </c>
      <c r="AW65" s="124">
        <f t="shared" ref="AW65:BC65" si="320">AW60+AW63+AW64</f>
        <v>22343</v>
      </c>
      <c r="AX65" s="124">
        <f t="shared" si="320"/>
        <v>22704</v>
      </c>
      <c r="AY65" s="125">
        <f t="shared" si="320"/>
        <v>23296</v>
      </c>
      <c r="AZ65" s="124">
        <f>AZ60+AZ63+AZ64</f>
        <v>29081</v>
      </c>
      <c r="BA65" s="124">
        <f t="shared" si="320"/>
        <v>30504.394062990999</v>
      </c>
      <c r="BB65" s="124">
        <f t="shared" si="320"/>
        <v>31883.391239612301</v>
      </c>
      <c r="BC65" s="125">
        <f t="shared" si="320"/>
        <v>33440.156426302921</v>
      </c>
      <c r="BD65" s="124">
        <f t="shared" ref="BD65:BG65" si="321">BD60+BD63+BD64</f>
        <v>34588.260013143161</v>
      </c>
      <c r="BE65" s="124">
        <f t="shared" si="321"/>
        <v>35675.722794674119</v>
      </c>
      <c r="BF65" s="124">
        <f t="shared" si="321"/>
        <v>36930.015212909799</v>
      </c>
      <c r="BG65" s="125">
        <f t="shared" si="321"/>
        <v>38456.626786454181</v>
      </c>
      <c r="BH65" s="124">
        <f t="shared" ref="BH65:BK65" si="322">BH60+BH63+BH64</f>
        <v>39867.040814005173</v>
      </c>
      <c r="BI65" s="124">
        <f t="shared" si="322"/>
        <v>41135.471030228364</v>
      </c>
      <c r="BJ65" s="124">
        <f t="shared" si="322"/>
        <v>42517.845580061876</v>
      </c>
      <c r="BK65" s="125">
        <f t="shared" si="322"/>
        <v>44071.624913285756</v>
      </c>
      <c r="BL65" s="19"/>
      <c r="BM65" s="126">
        <f t="shared" ref="BM65:BW65" si="323">BM60+BM63+BM64</f>
        <v>842</v>
      </c>
      <c r="BN65" s="124">
        <f t="shared" si="323"/>
        <v>693</v>
      </c>
      <c r="BO65" s="124">
        <f t="shared" si="323"/>
        <v>780</v>
      </c>
      <c r="BP65" s="124">
        <f t="shared" si="323"/>
        <v>1040</v>
      </c>
      <c r="BQ65" s="124">
        <f t="shared" si="323"/>
        <v>1505</v>
      </c>
      <c r="BR65" s="125">
        <f t="shared" si="323"/>
        <v>2006</v>
      </c>
      <c r="BS65" s="124">
        <f t="shared" si="323"/>
        <v>2419</v>
      </c>
      <c r="BT65" s="124">
        <f t="shared" si="323"/>
        <v>2886</v>
      </c>
      <c r="BU65" s="124">
        <f t="shared" si="323"/>
        <v>3243</v>
      </c>
      <c r="BV65" s="124">
        <f t="shared" si="323"/>
        <v>4714</v>
      </c>
      <c r="BW65" s="124">
        <f t="shared" si="323"/>
        <v>21876</v>
      </c>
      <c r="BX65" s="124">
        <f>BX60+BX63+BX64</f>
        <v>23296</v>
      </c>
      <c r="BY65" s="124">
        <f>BY60+BY63+BY64</f>
        <v>33440.156426302921</v>
      </c>
      <c r="BZ65" s="124">
        <f>BZ60+BZ63+BZ64</f>
        <v>38456.626786454181</v>
      </c>
      <c r="CA65" s="125">
        <f>CA60+CA63+CA64</f>
        <v>44071.624913285756</v>
      </c>
      <c r="CB65" s="19"/>
      <c r="CC65" s="126">
        <f t="shared" ref="CC65:CJ65" si="324">CC60+CC63+CC64</f>
        <v>858</v>
      </c>
      <c r="CD65" s="124">
        <f t="shared" si="324"/>
        <v>692</v>
      </c>
      <c r="CE65" s="124">
        <f t="shared" si="324"/>
        <v>787</v>
      </c>
      <c r="CF65" s="124">
        <f t="shared" si="324"/>
        <v>1087</v>
      </c>
      <c r="CG65" s="124">
        <f t="shared" si="324"/>
        <v>1644</v>
      </c>
      <c r="CH65" s="125">
        <f t="shared" si="324"/>
        <v>2040</v>
      </c>
      <c r="CI65" s="124">
        <f t="shared" si="324"/>
        <v>2518</v>
      </c>
      <c r="CJ65" s="124">
        <f t="shared" si="324"/>
        <v>2992</v>
      </c>
      <c r="CK65" s="124">
        <f t="shared" ref="CK65:CP65" si="325">CK60+CK63+CK64</f>
        <v>3628</v>
      </c>
      <c r="CL65" s="124">
        <f t="shared" si="325"/>
        <v>5121</v>
      </c>
      <c r="CM65" s="124">
        <f t="shared" si="325"/>
        <v>22010</v>
      </c>
      <c r="CN65" s="124">
        <f t="shared" si="325"/>
        <v>29081</v>
      </c>
      <c r="CO65" s="124">
        <f t="shared" si="325"/>
        <v>34588.260013143161</v>
      </c>
      <c r="CP65" s="125">
        <f t="shared" si="325"/>
        <v>39867.040814005173</v>
      </c>
      <c r="CQ65" s="10"/>
      <c r="CX65" s="7"/>
    </row>
    <row r="66" spans="1:102" ht="14.25" customHeight="1">
      <c r="A66" s="7"/>
      <c r="B66" s="160"/>
      <c r="C66" s="160"/>
      <c r="D66" s="75"/>
      <c r="E66" s="75"/>
      <c r="F66" s="75"/>
      <c r="G66" s="161"/>
      <c r="H66" s="75"/>
      <c r="I66" s="75"/>
      <c r="J66" s="75"/>
      <c r="K66" s="161"/>
      <c r="L66" s="75"/>
      <c r="M66" s="75"/>
      <c r="N66" s="75"/>
      <c r="O66" s="161"/>
      <c r="P66" s="75"/>
      <c r="Q66" s="75"/>
      <c r="R66" s="75"/>
      <c r="S66" s="75"/>
      <c r="T66" s="75"/>
      <c r="U66" s="75"/>
      <c r="V66" s="75"/>
      <c r="W66" s="161"/>
      <c r="X66" s="75"/>
      <c r="Y66" s="75"/>
      <c r="Z66" s="75"/>
      <c r="AA66" s="161"/>
      <c r="AB66" s="75"/>
      <c r="AC66" s="75"/>
      <c r="AD66" s="75"/>
      <c r="AE66" s="161"/>
      <c r="AF66" s="75"/>
      <c r="AG66" s="75"/>
      <c r="AH66" s="75"/>
      <c r="AI66" s="161"/>
      <c r="AJ66" s="75"/>
      <c r="AK66" s="75"/>
      <c r="AL66" s="75"/>
      <c r="AM66" s="161"/>
      <c r="AN66" s="75"/>
      <c r="AO66" s="75"/>
      <c r="AP66" s="75"/>
      <c r="AQ66" s="161"/>
      <c r="AR66" s="75"/>
      <c r="AS66" s="75"/>
      <c r="AT66" s="75"/>
      <c r="AU66" s="161"/>
      <c r="AV66" s="75"/>
      <c r="AW66" s="75"/>
      <c r="AX66" s="75"/>
      <c r="AY66" s="161"/>
      <c r="AZ66" s="75"/>
      <c r="BA66" s="75"/>
      <c r="BB66" s="75"/>
      <c r="BC66" s="161"/>
      <c r="BD66" s="75"/>
      <c r="BE66" s="75"/>
      <c r="BF66" s="75"/>
      <c r="BG66" s="161"/>
      <c r="BH66" s="75"/>
      <c r="BI66" s="75"/>
      <c r="BJ66" s="75"/>
      <c r="BK66" s="161"/>
      <c r="BL66" s="13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161"/>
      <c r="BY66" s="161"/>
      <c r="BZ66" s="161"/>
      <c r="CA66" s="161"/>
      <c r="CB66" s="7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10"/>
      <c r="CX66" s="7"/>
    </row>
    <row r="67" spans="1:102" ht="14.25" customHeight="1">
      <c r="A67" s="7"/>
      <c r="B67" s="67" t="s">
        <v>62</v>
      </c>
      <c r="C67" s="68"/>
      <c r="D67" s="162">
        <f t="shared" ref="D67:W67" si="326">D36</f>
        <v>974</v>
      </c>
      <c r="E67" s="162">
        <f t="shared" si="326"/>
        <v>940</v>
      </c>
      <c r="F67" s="162">
        <f t="shared" si="326"/>
        <v>919</v>
      </c>
      <c r="G67" s="163">
        <f t="shared" si="326"/>
        <v>842</v>
      </c>
      <c r="H67" s="162">
        <f t="shared" si="326"/>
        <v>858</v>
      </c>
      <c r="I67" s="162">
        <f t="shared" si="326"/>
        <v>865</v>
      </c>
      <c r="J67" s="162">
        <f t="shared" si="326"/>
        <v>696</v>
      </c>
      <c r="K67" s="163">
        <f t="shared" si="326"/>
        <v>693</v>
      </c>
      <c r="L67" s="162">
        <f t="shared" si="326"/>
        <v>692</v>
      </c>
      <c r="M67" s="162">
        <f t="shared" si="326"/>
        <v>709</v>
      </c>
      <c r="N67" s="162">
        <f t="shared" si="326"/>
        <v>756</v>
      </c>
      <c r="O67" s="163">
        <f t="shared" si="326"/>
        <v>780</v>
      </c>
      <c r="P67" s="162">
        <f t="shared" si="326"/>
        <v>787</v>
      </c>
      <c r="Q67" s="162">
        <f t="shared" si="326"/>
        <v>758</v>
      </c>
      <c r="R67" s="162">
        <f t="shared" si="326"/>
        <v>758</v>
      </c>
      <c r="S67" s="162">
        <f t="shared" si="326"/>
        <v>1040</v>
      </c>
      <c r="T67" s="164">
        <f t="shared" si="326"/>
        <v>1087</v>
      </c>
      <c r="U67" s="162">
        <f t="shared" si="326"/>
        <v>1200</v>
      </c>
      <c r="V67" s="162">
        <f t="shared" si="326"/>
        <v>1333</v>
      </c>
      <c r="W67" s="165">
        <f t="shared" si="326"/>
        <v>1505</v>
      </c>
      <c r="X67" s="162">
        <f>X36</f>
        <v>1644</v>
      </c>
      <c r="Y67" s="162">
        <f>Y36</f>
        <v>1791</v>
      </c>
      <c r="Z67" s="162">
        <f>Z36</f>
        <v>1870</v>
      </c>
      <c r="AA67" s="165">
        <f>AA36</f>
        <v>2006</v>
      </c>
      <c r="AB67" s="162">
        <f>AB36</f>
        <v>2040</v>
      </c>
      <c r="AC67" s="162">
        <f t="shared" ref="AC67:AH67" si="327">AC36</f>
        <v>2167</v>
      </c>
      <c r="AD67" s="162">
        <f t="shared" si="327"/>
        <v>2289</v>
      </c>
      <c r="AE67" s="165">
        <f t="shared" si="327"/>
        <v>2419</v>
      </c>
      <c r="AF67" s="162">
        <f t="shared" si="327"/>
        <v>2518</v>
      </c>
      <c r="AG67" s="162">
        <f t="shared" si="327"/>
        <v>2611</v>
      </c>
      <c r="AH67" s="162">
        <f t="shared" si="327"/>
        <v>2726</v>
      </c>
      <c r="AI67" s="165">
        <f t="shared" ref="AI67:AN67" si="328">AI36</f>
        <v>2886</v>
      </c>
      <c r="AJ67" s="162">
        <f t="shared" si="328"/>
        <v>2992</v>
      </c>
      <c r="AK67" s="162">
        <f t="shared" si="328"/>
        <v>3154</v>
      </c>
      <c r="AL67" s="162">
        <f t="shared" si="328"/>
        <v>3098</v>
      </c>
      <c r="AM67" s="165">
        <f t="shared" si="328"/>
        <v>3243</v>
      </c>
      <c r="AN67" s="162">
        <f t="shared" si="328"/>
        <v>3628</v>
      </c>
      <c r="AO67" s="162">
        <f t="shared" ref="AO67:AR67" si="329">AO36</f>
        <v>4061</v>
      </c>
      <c r="AP67" s="162">
        <f t="shared" si="329"/>
        <v>4281</v>
      </c>
      <c r="AQ67" s="165">
        <f t="shared" si="329"/>
        <v>4714</v>
      </c>
      <c r="AR67" s="1020">
        <f t="shared" si="329"/>
        <v>5121</v>
      </c>
      <c r="AS67" s="1020">
        <f t="shared" ref="AS67:AV67" si="330">AS36</f>
        <v>22762</v>
      </c>
      <c r="AT67" s="1020">
        <f t="shared" si="330"/>
        <v>22504</v>
      </c>
      <c r="AU67" s="165">
        <f t="shared" si="330"/>
        <v>21876</v>
      </c>
      <c r="AV67" s="1020">
        <f t="shared" si="330"/>
        <v>22010</v>
      </c>
      <c r="AW67" s="162">
        <f t="shared" ref="AW67:BC67" si="331">AW36</f>
        <v>22343</v>
      </c>
      <c r="AX67" s="1020">
        <f t="shared" si="331"/>
        <v>22704</v>
      </c>
      <c r="AY67" s="165">
        <f t="shared" si="331"/>
        <v>23296</v>
      </c>
      <c r="AZ67" s="1020">
        <f t="shared" si="331"/>
        <v>29081</v>
      </c>
      <c r="BA67" s="162">
        <f t="shared" si="331"/>
        <v>30504.394062990999</v>
      </c>
      <c r="BB67" s="162">
        <f t="shared" si="331"/>
        <v>31883.391239612301</v>
      </c>
      <c r="BC67" s="163">
        <f t="shared" si="331"/>
        <v>33440.156426302921</v>
      </c>
      <c r="BD67" s="1020">
        <f t="shared" ref="BD67:BG67" si="332">BD36</f>
        <v>34588.260013143161</v>
      </c>
      <c r="BE67" s="1020">
        <f t="shared" si="332"/>
        <v>35675.722794674119</v>
      </c>
      <c r="BF67" s="1020">
        <f t="shared" si="332"/>
        <v>36930.015212909799</v>
      </c>
      <c r="BG67" s="1021">
        <f t="shared" si="332"/>
        <v>38456.626786454181</v>
      </c>
      <c r="BH67" s="1020">
        <f t="shared" ref="BH67:BK67" si="333">BH36</f>
        <v>39867.040814005173</v>
      </c>
      <c r="BI67" s="1020">
        <f t="shared" si="333"/>
        <v>41135.471030228364</v>
      </c>
      <c r="BJ67" s="1020">
        <f t="shared" si="333"/>
        <v>42517.845580061876</v>
      </c>
      <c r="BK67" s="1021">
        <f t="shared" si="333"/>
        <v>44071.624913285756</v>
      </c>
      <c r="BL67" s="166"/>
      <c r="BM67" s="164">
        <f>G67</f>
        <v>842</v>
      </c>
      <c r="BN67" s="162">
        <f>K67</f>
        <v>693</v>
      </c>
      <c r="BO67" s="162">
        <f>O67</f>
        <v>780</v>
      </c>
      <c r="BP67" s="162">
        <f>S67</f>
        <v>1040</v>
      </c>
      <c r="BQ67" s="162">
        <f>W67</f>
        <v>1505</v>
      </c>
      <c r="BR67" s="165">
        <f>AA67</f>
        <v>2006</v>
      </c>
      <c r="BS67" s="162">
        <f>AE67</f>
        <v>2419</v>
      </c>
      <c r="BT67" s="162">
        <f>AI67</f>
        <v>2886</v>
      </c>
      <c r="BU67" s="162">
        <f>AM67</f>
        <v>3243</v>
      </c>
      <c r="BV67" s="162">
        <f>AQ67</f>
        <v>4714</v>
      </c>
      <c r="BW67" s="162">
        <f>AU67</f>
        <v>21876</v>
      </c>
      <c r="BX67" s="217">
        <f>AY67</f>
        <v>23296</v>
      </c>
      <c r="BY67" s="1022">
        <f>BC67</f>
        <v>33440.156426302921</v>
      </c>
      <c r="BZ67" s="1022">
        <f>BG67</f>
        <v>38456.626786454181</v>
      </c>
      <c r="CA67" s="1021">
        <f>BK67</f>
        <v>44071.624913285756</v>
      </c>
      <c r="CB67" s="19"/>
      <c r="CC67" s="164">
        <f>H67</f>
        <v>858</v>
      </c>
      <c r="CD67" s="162">
        <f>L67</f>
        <v>692</v>
      </c>
      <c r="CE67" s="162">
        <f>P67</f>
        <v>787</v>
      </c>
      <c r="CF67" s="162">
        <f>T67</f>
        <v>1087</v>
      </c>
      <c r="CG67" s="162">
        <f>X67</f>
        <v>1644</v>
      </c>
      <c r="CH67" s="165">
        <f>AB67</f>
        <v>2040</v>
      </c>
      <c r="CI67" s="162">
        <f>AF67</f>
        <v>2518</v>
      </c>
      <c r="CJ67" s="162">
        <f>AJ67</f>
        <v>2992</v>
      </c>
      <c r="CK67" s="162">
        <f>AN67</f>
        <v>3628</v>
      </c>
      <c r="CL67" s="162">
        <f>AR67</f>
        <v>5121</v>
      </c>
      <c r="CM67" s="162">
        <f>AV67</f>
        <v>22010</v>
      </c>
      <c r="CN67" s="1020">
        <f>AZ67</f>
        <v>29081</v>
      </c>
      <c r="CO67" s="1020">
        <f>BD67</f>
        <v>34588.260013143161</v>
      </c>
      <c r="CP67" s="165">
        <f>BH67</f>
        <v>39867.040814005173</v>
      </c>
      <c r="CQ67" s="10"/>
      <c r="CX67" s="7"/>
    </row>
    <row r="68" spans="1:102" ht="14.25" customHeight="1">
      <c r="A68" s="7"/>
      <c r="B68" s="136" t="s">
        <v>44</v>
      </c>
      <c r="C68" s="137"/>
      <c r="D68" s="138">
        <f t="shared" ref="D68:W68" si="334">ROUND(D67,4)-ROUND(D65,4)</f>
        <v>0</v>
      </c>
      <c r="E68" s="138">
        <f t="shared" si="334"/>
        <v>0</v>
      </c>
      <c r="F68" s="138">
        <f t="shared" si="334"/>
        <v>0</v>
      </c>
      <c r="G68" s="139">
        <f t="shared" si="334"/>
        <v>0</v>
      </c>
      <c r="H68" s="138">
        <f t="shared" si="334"/>
        <v>0</v>
      </c>
      <c r="I68" s="138">
        <f t="shared" si="334"/>
        <v>0</v>
      </c>
      <c r="J68" s="138">
        <f t="shared" si="334"/>
        <v>0</v>
      </c>
      <c r="K68" s="139">
        <f t="shared" si="334"/>
        <v>0</v>
      </c>
      <c r="L68" s="138">
        <f t="shared" si="334"/>
        <v>0</v>
      </c>
      <c r="M68" s="138">
        <f t="shared" si="334"/>
        <v>0</v>
      </c>
      <c r="N68" s="138">
        <f t="shared" si="334"/>
        <v>0</v>
      </c>
      <c r="O68" s="139">
        <f t="shared" si="334"/>
        <v>0</v>
      </c>
      <c r="P68" s="138">
        <f t="shared" si="334"/>
        <v>0</v>
      </c>
      <c r="Q68" s="138">
        <f t="shared" si="334"/>
        <v>0</v>
      </c>
      <c r="R68" s="138">
        <f t="shared" si="334"/>
        <v>0</v>
      </c>
      <c r="S68" s="139">
        <f t="shared" si="334"/>
        <v>0</v>
      </c>
      <c r="T68" s="138">
        <f t="shared" si="334"/>
        <v>0</v>
      </c>
      <c r="U68" s="138">
        <f t="shared" si="334"/>
        <v>0</v>
      </c>
      <c r="V68" s="167">
        <f t="shared" si="334"/>
        <v>0</v>
      </c>
      <c r="W68" s="138">
        <f t="shared" si="334"/>
        <v>0</v>
      </c>
      <c r="X68" s="140">
        <f t="shared" ref="X68:AL68" si="335">ROUND(X67,4)-ROUND(X65,4)</f>
        <v>0</v>
      </c>
      <c r="Y68" s="138">
        <f t="shared" si="335"/>
        <v>0</v>
      </c>
      <c r="Z68" s="138">
        <f t="shared" si="335"/>
        <v>0</v>
      </c>
      <c r="AA68" s="138">
        <f t="shared" si="335"/>
        <v>0</v>
      </c>
      <c r="AB68" s="140">
        <f t="shared" si="335"/>
        <v>0</v>
      </c>
      <c r="AC68" s="138">
        <f t="shared" si="335"/>
        <v>0</v>
      </c>
      <c r="AD68" s="138">
        <f t="shared" si="335"/>
        <v>0</v>
      </c>
      <c r="AE68" s="138">
        <f t="shared" si="335"/>
        <v>0</v>
      </c>
      <c r="AF68" s="140">
        <f t="shared" si="335"/>
        <v>0</v>
      </c>
      <c r="AG68" s="138">
        <f t="shared" si="335"/>
        <v>0</v>
      </c>
      <c r="AH68" s="138">
        <f t="shared" si="335"/>
        <v>0</v>
      </c>
      <c r="AI68" s="138">
        <f t="shared" si="335"/>
        <v>0</v>
      </c>
      <c r="AJ68" s="140">
        <f t="shared" si="335"/>
        <v>0</v>
      </c>
      <c r="AK68" s="138">
        <f t="shared" si="335"/>
        <v>0</v>
      </c>
      <c r="AL68" s="138">
        <f t="shared" si="335"/>
        <v>0</v>
      </c>
      <c r="AM68" s="138">
        <f>ROUND(AM67,4)-ROUND(AM65,4)</f>
        <v>0</v>
      </c>
      <c r="AN68" s="140">
        <f>ROUND(AN67,4)-ROUND(AN65,4)</f>
        <v>0</v>
      </c>
      <c r="AO68" s="138">
        <f t="shared" ref="AO68:AP68" si="336">ROUND(AO67,4)-ROUND(AO65,4)</f>
        <v>0</v>
      </c>
      <c r="AP68" s="138">
        <f t="shared" si="336"/>
        <v>0</v>
      </c>
      <c r="AQ68" s="138">
        <f>ROUND(AQ67,4)-ROUND(AQ65,4)</f>
        <v>0</v>
      </c>
      <c r="AR68" s="140">
        <f>ROUND(AR67,4)-ROUND(AR65,4)</f>
        <v>0</v>
      </c>
      <c r="AS68" s="138">
        <f t="shared" ref="AS68:AT68" si="337">ROUND(AS67,4)-ROUND(AS65,4)</f>
        <v>0</v>
      </c>
      <c r="AT68" s="138">
        <f t="shared" si="337"/>
        <v>0</v>
      </c>
      <c r="AU68" s="138">
        <f>ROUND(AU67,4)-ROUND(AU65,4)</f>
        <v>0</v>
      </c>
      <c r="AV68" s="140">
        <f>ROUND(AV67,4)-ROUND(AV65,4)</f>
        <v>0</v>
      </c>
      <c r="AW68" s="138">
        <f t="shared" ref="AW68:BC68" si="338">ROUND(AW67,4)-ROUND(AW65,4)</f>
        <v>0</v>
      </c>
      <c r="AX68" s="138">
        <f t="shared" si="338"/>
        <v>0</v>
      </c>
      <c r="AY68" s="138">
        <f t="shared" si="338"/>
        <v>0</v>
      </c>
      <c r="AZ68" s="140">
        <f>ROUND(AZ67,4)-ROUND(AZ65,4)</f>
        <v>0</v>
      </c>
      <c r="BA68" s="138">
        <f t="shared" si="338"/>
        <v>0</v>
      </c>
      <c r="BB68" s="138">
        <f t="shared" si="338"/>
        <v>0</v>
      </c>
      <c r="BC68" s="139">
        <f t="shared" si="338"/>
        <v>0</v>
      </c>
      <c r="BD68" s="140">
        <f t="shared" ref="BD68:BG68" si="339">ROUND(BD67,4)-ROUND(BD65,4)</f>
        <v>0</v>
      </c>
      <c r="BE68" s="138">
        <f t="shared" si="339"/>
        <v>0</v>
      </c>
      <c r="BF68" s="138">
        <f t="shared" si="339"/>
        <v>0</v>
      </c>
      <c r="BG68" s="139">
        <f t="shared" si="339"/>
        <v>0</v>
      </c>
      <c r="BH68" s="140">
        <f t="shared" ref="BH68:BK68" si="340">ROUND(BH67,4)-ROUND(BH65,4)</f>
        <v>0</v>
      </c>
      <c r="BI68" s="138">
        <f t="shared" si="340"/>
        <v>0</v>
      </c>
      <c r="BJ68" s="138">
        <f t="shared" si="340"/>
        <v>0</v>
      </c>
      <c r="BK68" s="139">
        <f t="shared" si="340"/>
        <v>0</v>
      </c>
      <c r="BL68" s="166"/>
      <c r="BM68" s="140">
        <f t="shared" ref="BM68:BW68" si="341">ROUND(BM67,4)-ROUND(BM65,4)</f>
        <v>0</v>
      </c>
      <c r="BN68" s="138">
        <f t="shared" si="341"/>
        <v>0</v>
      </c>
      <c r="BO68" s="138">
        <f t="shared" si="341"/>
        <v>0</v>
      </c>
      <c r="BP68" s="138">
        <f t="shared" si="341"/>
        <v>0</v>
      </c>
      <c r="BQ68" s="138">
        <f t="shared" si="341"/>
        <v>0</v>
      </c>
      <c r="BR68" s="139">
        <f t="shared" si="341"/>
        <v>0</v>
      </c>
      <c r="BS68" s="138">
        <f t="shared" si="341"/>
        <v>0</v>
      </c>
      <c r="BT68" s="138">
        <f t="shared" si="341"/>
        <v>0</v>
      </c>
      <c r="BU68" s="138">
        <f t="shared" si="341"/>
        <v>0</v>
      </c>
      <c r="BV68" s="138">
        <f t="shared" si="341"/>
        <v>0</v>
      </c>
      <c r="BW68" s="138">
        <f t="shared" si="341"/>
        <v>0</v>
      </c>
      <c r="BX68" s="138">
        <f>ROUND(BX67,4)-ROUND(BX65,4)</f>
        <v>0</v>
      </c>
      <c r="BY68" s="138">
        <f>ROUND(BY67,4)-ROUND(BY65,4)</f>
        <v>0</v>
      </c>
      <c r="BZ68" s="138">
        <f>ROUND(BZ67,4)-ROUND(BZ65,4)</f>
        <v>0</v>
      </c>
      <c r="CA68" s="139">
        <f>ROUND(CA67,4)-ROUND(CA65,4)</f>
        <v>0</v>
      </c>
      <c r="CB68" s="19"/>
      <c r="CC68" s="140">
        <f t="shared" ref="CC68:CJ68" si="342">ROUND(CC67,4)-ROUND(CC65,4)</f>
        <v>0</v>
      </c>
      <c r="CD68" s="138">
        <f t="shared" si="342"/>
        <v>0</v>
      </c>
      <c r="CE68" s="138">
        <f t="shared" si="342"/>
        <v>0</v>
      </c>
      <c r="CF68" s="138">
        <f t="shared" si="342"/>
        <v>0</v>
      </c>
      <c r="CG68" s="138">
        <f t="shared" si="342"/>
        <v>0</v>
      </c>
      <c r="CH68" s="139">
        <f t="shared" si="342"/>
        <v>0</v>
      </c>
      <c r="CI68" s="138">
        <f t="shared" si="342"/>
        <v>0</v>
      </c>
      <c r="CJ68" s="138">
        <f t="shared" si="342"/>
        <v>0</v>
      </c>
      <c r="CK68" s="138">
        <f t="shared" ref="CK68:CP68" si="343">ROUND(CK67,4)-ROUND(CK65,4)</f>
        <v>0</v>
      </c>
      <c r="CL68" s="138">
        <f t="shared" si="343"/>
        <v>0</v>
      </c>
      <c r="CM68" s="138">
        <f t="shared" si="343"/>
        <v>0</v>
      </c>
      <c r="CN68" s="138">
        <f t="shared" si="343"/>
        <v>0</v>
      </c>
      <c r="CO68" s="138">
        <f t="shared" si="343"/>
        <v>0</v>
      </c>
      <c r="CP68" s="139">
        <f t="shared" si="343"/>
        <v>0</v>
      </c>
      <c r="CQ68" s="10"/>
      <c r="CX68" s="7"/>
    </row>
    <row r="69" spans="1:102" ht="14.25" customHeight="1">
      <c r="A69" s="7"/>
      <c r="B69" s="62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2"/>
      <c r="AJ69" s="63"/>
      <c r="AL69" s="63"/>
      <c r="AM69" s="62"/>
      <c r="AN69" s="63"/>
      <c r="AO69" s="63"/>
      <c r="AP69" s="63"/>
      <c r="AQ69" s="62"/>
      <c r="AR69" s="63"/>
      <c r="AS69" s="63"/>
      <c r="AT69" s="63"/>
      <c r="AU69" s="62"/>
      <c r="AV69" s="63"/>
      <c r="AW69" s="63"/>
      <c r="AX69" s="63"/>
      <c r="AY69" s="62"/>
      <c r="AZ69" s="63"/>
      <c r="BA69" s="63"/>
      <c r="BB69" s="63"/>
      <c r="BC69" s="62"/>
      <c r="BD69" s="63"/>
      <c r="BE69" s="63"/>
      <c r="BF69" s="63"/>
      <c r="BG69" s="62"/>
      <c r="BH69" s="63"/>
      <c r="BI69" s="63"/>
      <c r="BJ69" s="63"/>
      <c r="BK69" s="62"/>
      <c r="BL69" s="7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7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10"/>
      <c r="CX69" s="7"/>
    </row>
    <row r="70" spans="1:102" ht="14.25" customHeight="1">
      <c r="A70" s="7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7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7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10"/>
      <c r="CX70" s="7"/>
    </row>
    <row r="71" spans="1:102" ht="14.25" customHeight="1">
      <c r="A71" s="7"/>
      <c r="B71" s="590" t="s">
        <v>63</v>
      </c>
      <c r="C71" s="147"/>
      <c r="D71" s="863" t="str">
        <f t="shared" ref="D71:AM71" si="344">D55</f>
        <v>F1Q06</v>
      </c>
      <c r="E71" s="864" t="str">
        <f t="shared" si="344"/>
        <v>F2Q06</v>
      </c>
      <c r="F71" s="864" t="str">
        <f t="shared" si="344"/>
        <v>F3Q06</v>
      </c>
      <c r="G71" s="865" t="str">
        <f t="shared" si="344"/>
        <v>F4Q06</v>
      </c>
      <c r="H71" s="863" t="str">
        <f t="shared" si="344"/>
        <v>F1Q07</v>
      </c>
      <c r="I71" s="864" t="str">
        <f t="shared" si="344"/>
        <v>F2Q07</v>
      </c>
      <c r="J71" s="864" t="str">
        <f t="shared" si="344"/>
        <v>F3Q07</v>
      </c>
      <c r="K71" s="865" t="str">
        <f t="shared" si="344"/>
        <v>F4Q07</v>
      </c>
      <c r="L71" s="863" t="str">
        <f t="shared" si="344"/>
        <v>F1Q08</v>
      </c>
      <c r="M71" s="864" t="str">
        <f t="shared" si="344"/>
        <v>F2Q08</v>
      </c>
      <c r="N71" s="864" t="str">
        <f t="shared" si="344"/>
        <v>F3Q08</v>
      </c>
      <c r="O71" s="865" t="str">
        <f t="shared" si="344"/>
        <v>F4Q08</v>
      </c>
      <c r="P71" s="863" t="str">
        <f t="shared" si="344"/>
        <v>F1Q09</v>
      </c>
      <c r="Q71" s="864" t="str">
        <f t="shared" si="344"/>
        <v>F2Q09</v>
      </c>
      <c r="R71" s="864" t="str">
        <f t="shared" si="344"/>
        <v>F3Q09</v>
      </c>
      <c r="S71" s="865" t="str">
        <f t="shared" si="344"/>
        <v>F4Q09</v>
      </c>
      <c r="T71" s="863" t="str">
        <f t="shared" si="344"/>
        <v>F1Q10</v>
      </c>
      <c r="U71" s="864" t="str">
        <f t="shared" si="344"/>
        <v>F2Q10</v>
      </c>
      <c r="V71" s="864" t="str">
        <f t="shared" si="344"/>
        <v>F3Q10</v>
      </c>
      <c r="W71" s="865" t="str">
        <f t="shared" si="344"/>
        <v>F4Q10</v>
      </c>
      <c r="X71" s="863" t="str">
        <f t="shared" si="344"/>
        <v>F1Q11</v>
      </c>
      <c r="Y71" s="864" t="str">
        <f t="shared" si="344"/>
        <v>F2Q11</v>
      </c>
      <c r="Z71" s="864" t="str">
        <f t="shared" si="344"/>
        <v>F3Q11</v>
      </c>
      <c r="AA71" s="865" t="str">
        <f t="shared" si="344"/>
        <v>F4Q11</v>
      </c>
      <c r="AB71" s="863" t="str">
        <f t="shared" si="344"/>
        <v>F1Q12</v>
      </c>
      <c r="AC71" s="864" t="str">
        <f t="shared" si="344"/>
        <v>F2Q12</v>
      </c>
      <c r="AD71" s="864" t="str">
        <f t="shared" si="344"/>
        <v>F3Q12</v>
      </c>
      <c r="AE71" s="865" t="str">
        <f t="shared" si="344"/>
        <v>F4Q12</v>
      </c>
      <c r="AF71" s="863" t="str">
        <f t="shared" si="344"/>
        <v>F1Q13</v>
      </c>
      <c r="AG71" s="864" t="str">
        <f t="shared" si="344"/>
        <v>F2Q13</v>
      </c>
      <c r="AH71" s="864" t="str">
        <f t="shared" si="344"/>
        <v>F3Q13</v>
      </c>
      <c r="AI71" s="865" t="str">
        <f t="shared" si="344"/>
        <v>F4Q13</v>
      </c>
      <c r="AJ71" s="863" t="str">
        <f t="shared" si="344"/>
        <v>F1Q14</v>
      </c>
      <c r="AK71" s="864" t="str">
        <f t="shared" si="344"/>
        <v>F2Q14A</v>
      </c>
      <c r="AL71" s="864" t="str">
        <f t="shared" si="344"/>
        <v>F3Q14A</v>
      </c>
      <c r="AM71" s="865" t="str">
        <f t="shared" si="344"/>
        <v>F4Q14A</v>
      </c>
      <c r="AN71" s="863" t="str">
        <f t="shared" ref="AN71:AQ71" si="345">AN55</f>
        <v>F1Q15A</v>
      </c>
      <c r="AO71" s="864" t="str">
        <f t="shared" si="345"/>
        <v>F2Q15A</v>
      </c>
      <c r="AP71" s="864" t="str">
        <f t="shared" si="345"/>
        <v>F3Q15A</v>
      </c>
      <c r="AQ71" s="865" t="str">
        <f t="shared" si="345"/>
        <v>F4Q15A</v>
      </c>
      <c r="AR71" s="863" t="str">
        <f t="shared" ref="AR71:AU71" si="346">AR55</f>
        <v>F1Q16A</v>
      </c>
      <c r="AS71" s="864" t="str">
        <f t="shared" si="346"/>
        <v>F2Q16A</v>
      </c>
      <c r="AT71" s="864" t="str">
        <f t="shared" si="346"/>
        <v>F3Q16A</v>
      </c>
      <c r="AU71" s="865" t="str">
        <f t="shared" si="346"/>
        <v>F4Q16A</v>
      </c>
      <c r="AV71" s="863" t="str">
        <f t="shared" ref="AV71" si="347">AV55</f>
        <v>F1Q17A</v>
      </c>
      <c r="AW71" s="864" t="str">
        <f t="shared" ref="AW71:BC71" si="348">AW55</f>
        <v>F2Q17A</v>
      </c>
      <c r="AX71" s="864" t="str">
        <f t="shared" si="348"/>
        <v>F3Q17A</v>
      </c>
      <c r="AY71" s="865" t="str">
        <f t="shared" si="348"/>
        <v>F4Q17A</v>
      </c>
      <c r="AZ71" s="863" t="str">
        <f t="shared" si="348"/>
        <v>F1Q18A</v>
      </c>
      <c r="BA71" s="864" t="str">
        <f t="shared" si="348"/>
        <v>F2Q18E</v>
      </c>
      <c r="BB71" s="864" t="str">
        <f t="shared" si="348"/>
        <v>F3Q18E</v>
      </c>
      <c r="BC71" s="865" t="str">
        <f t="shared" si="348"/>
        <v>F4Q18E</v>
      </c>
      <c r="BD71" s="863" t="str">
        <f t="shared" ref="BD71:BG71" si="349">BD55</f>
        <v>F1Q19E</v>
      </c>
      <c r="BE71" s="864" t="str">
        <f t="shared" si="349"/>
        <v>F2Q19E</v>
      </c>
      <c r="BF71" s="864" t="str">
        <f t="shared" si="349"/>
        <v>F3Q19E</v>
      </c>
      <c r="BG71" s="865" t="str">
        <f t="shared" si="349"/>
        <v>F4Q19E</v>
      </c>
      <c r="BH71" s="863" t="str">
        <f t="shared" ref="BH71:BK71" si="350">BH55</f>
        <v>F1Q20E</v>
      </c>
      <c r="BI71" s="864" t="str">
        <f t="shared" si="350"/>
        <v>F2Q20E</v>
      </c>
      <c r="BJ71" s="864" t="str">
        <f t="shared" si="350"/>
        <v>F3Q20E</v>
      </c>
      <c r="BK71" s="865" t="str">
        <f t="shared" si="350"/>
        <v>F4Q20E</v>
      </c>
      <c r="BL71" s="19"/>
      <c r="BM71" s="863" t="str">
        <f t="shared" ref="BM71:BX71" si="351">BM7</f>
        <v>FY2006</v>
      </c>
      <c r="BN71" s="864" t="str">
        <f t="shared" si="351"/>
        <v>FY2007</v>
      </c>
      <c r="BO71" s="864" t="str">
        <f t="shared" si="351"/>
        <v>FY2008</v>
      </c>
      <c r="BP71" s="864" t="str">
        <f t="shared" si="351"/>
        <v>FY2009</v>
      </c>
      <c r="BQ71" s="864" t="str">
        <f t="shared" si="351"/>
        <v>FY2010</v>
      </c>
      <c r="BR71" s="865" t="str">
        <f t="shared" si="351"/>
        <v>FY2011</v>
      </c>
      <c r="BS71" s="863" t="str">
        <f t="shared" si="351"/>
        <v>FY2012</v>
      </c>
      <c r="BT71" s="864" t="str">
        <f t="shared" si="351"/>
        <v>FY2013</v>
      </c>
      <c r="BU71" s="864" t="str">
        <f t="shared" si="351"/>
        <v>FY2014A</v>
      </c>
      <c r="BV71" s="864" t="str">
        <f t="shared" si="351"/>
        <v>FY2015A</v>
      </c>
      <c r="BW71" s="864" t="str">
        <f t="shared" si="351"/>
        <v>FY2016A</v>
      </c>
      <c r="BX71" s="864" t="str">
        <f t="shared" si="351"/>
        <v>FY2017A</v>
      </c>
      <c r="BY71" s="864" t="str">
        <f t="shared" ref="BY71:BZ71" si="352">BY7</f>
        <v>FY2018E</v>
      </c>
      <c r="BZ71" s="864" t="str">
        <f t="shared" si="352"/>
        <v>FY2019E</v>
      </c>
      <c r="CA71" s="865" t="str">
        <f t="shared" ref="CA71" si="353">CA7</f>
        <v>FY2020E</v>
      </c>
      <c r="CB71" s="19"/>
      <c r="CC71" s="864" t="str">
        <f t="shared" ref="CC71:CM71" si="354">CC7</f>
        <v>CY2006</v>
      </c>
      <c r="CD71" s="864" t="str">
        <f t="shared" si="354"/>
        <v>CY2007</v>
      </c>
      <c r="CE71" s="864" t="str">
        <f t="shared" si="354"/>
        <v>CY2008</v>
      </c>
      <c r="CF71" s="864" t="str">
        <f t="shared" si="354"/>
        <v>CY2009</v>
      </c>
      <c r="CG71" s="864" t="str">
        <f t="shared" si="354"/>
        <v>CY2010</v>
      </c>
      <c r="CH71" s="864" t="str">
        <f t="shared" si="354"/>
        <v>CY2011</v>
      </c>
      <c r="CI71" s="863" t="str">
        <f t="shared" si="354"/>
        <v>CY2012</v>
      </c>
      <c r="CJ71" s="864" t="str">
        <f t="shared" si="354"/>
        <v>CY2013</v>
      </c>
      <c r="CK71" s="864" t="str">
        <f t="shared" si="354"/>
        <v>CY2014A</v>
      </c>
      <c r="CL71" s="864" t="str">
        <f t="shared" si="354"/>
        <v>CY2015A</v>
      </c>
      <c r="CM71" s="864" t="str">
        <f t="shared" si="354"/>
        <v>CY2016A</v>
      </c>
      <c r="CN71" s="864" t="str">
        <f t="shared" ref="CN71:CO71" si="355">CN7</f>
        <v>CY2017A</v>
      </c>
      <c r="CO71" s="864" t="str">
        <f t="shared" si="355"/>
        <v>CY2018E</v>
      </c>
      <c r="CP71" s="865" t="str">
        <f t="shared" ref="CP71" si="356">CP7</f>
        <v>CY2019E</v>
      </c>
      <c r="CQ71" s="10"/>
      <c r="CX71" s="7"/>
    </row>
    <row r="72" spans="1:102" ht="14.25" customHeight="1">
      <c r="A72" s="7"/>
      <c r="B72" s="591" t="s">
        <v>268</v>
      </c>
      <c r="C72" s="22"/>
      <c r="D72" s="919">
        <f>+'AVGO IS'!D114</f>
        <v>213</v>
      </c>
      <c r="E72" s="906">
        <f>+'AVGO IS'!E114</f>
        <v>213</v>
      </c>
      <c r="F72" s="906">
        <f>+'AVGO IS'!F114</f>
        <v>213</v>
      </c>
      <c r="G72" s="907">
        <f>+'AVGO IS'!G114</f>
        <v>213</v>
      </c>
      <c r="H72" s="919">
        <f>+'AVGO IS'!H114</f>
        <v>214</v>
      </c>
      <c r="I72" s="906">
        <f>+'AVGO IS'!I114</f>
        <v>214</v>
      </c>
      <c r="J72" s="906">
        <f>+'AVGO IS'!J114</f>
        <v>214</v>
      </c>
      <c r="K72" s="907">
        <f>+'AVGO IS'!K114</f>
        <v>214</v>
      </c>
      <c r="L72" s="919">
        <f>+'AVGO IS'!L114</f>
        <v>219</v>
      </c>
      <c r="M72" s="906">
        <f>+'AVGO IS'!M114</f>
        <v>219</v>
      </c>
      <c r="N72" s="906">
        <f>+'AVGO IS'!N114</f>
        <v>219</v>
      </c>
      <c r="O72" s="907">
        <f>+'AVGO IS'!O114</f>
        <v>219</v>
      </c>
      <c r="P72" s="919">
        <f>+'AVGO IS'!P114</f>
        <v>219</v>
      </c>
      <c r="Q72" s="906">
        <f>+'AVGO IS'!Q114</f>
        <v>214</v>
      </c>
      <c r="R72" s="906">
        <f>+'AVGO IS'!R114</f>
        <v>218</v>
      </c>
      <c r="S72" s="907">
        <f>+'AVGO IS'!S114</f>
        <v>235</v>
      </c>
      <c r="T72" s="919">
        <f>+'AVGO IS'!T114</f>
        <v>244</v>
      </c>
      <c r="U72" s="906">
        <f>+'AVGO IS'!U114</f>
        <v>246</v>
      </c>
      <c r="V72" s="906">
        <f>+'AVGO IS'!V114</f>
        <v>247</v>
      </c>
      <c r="W72" s="907">
        <f>+'AVGO IS'!W114</f>
        <v>248</v>
      </c>
      <c r="X72" s="919">
        <f>+'AVGO IS'!X114</f>
        <v>250</v>
      </c>
      <c r="Y72" s="906">
        <f>+'AVGO IS'!Y114</f>
        <v>252</v>
      </c>
      <c r="Z72" s="906">
        <f>+'AVGO IS'!Z114</f>
        <v>253</v>
      </c>
      <c r="AA72" s="907">
        <f>+'AVGO IS'!AA114</f>
        <v>252</v>
      </c>
      <c r="AB72" s="919">
        <f>+'AVGO IS'!AB114</f>
        <v>250</v>
      </c>
      <c r="AC72" s="906">
        <f>+'AVGO IS'!AC114</f>
        <v>250</v>
      </c>
      <c r="AD72" s="906">
        <f>+'AVGO IS'!AD114</f>
        <v>250</v>
      </c>
      <c r="AE72" s="907">
        <f>+'AVGO IS'!AE114</f>
        <v>250</v>
      </c>
      <c r="AF72" s="919">
        <f>+'AVGO IS'!AF114</f>
        <v>251</v>
      </c>
      <c r="AG72" s="906">
        <f>+'AVGO IS'!AG114</f>
        <v>252</v>
      </c>
      <c r="AH72" s="906">
        <f>+'AVGO IS'!AH114</f>
        <v>252</v>
      </c>
      <c r="AI72" s="907">
        <f>+'AVGO IS'!AI114</f>
        <v>253</v>
      </c>
      <c r="AJ72" s="919">
        <f>+'AVGO IS'!AJ114</f>
        <v>255</v>
      </c>
      <c r="AK72" s="906">
        <f>+'AVGO IS'!AK114</f>
        <v>258</v>
      </c>
      <c r="AL72" s="906">
        <f>+'AVGO IS'!AL114</f>
        <v>252</v>
      </c>
      <c r="AM72" s="907">
        <f>+'AVGO IS'!AM114</f>
        <v>272</v>
      </c>
      <c r="AN72" s="919">
        <f>+'AVGO IS'!AN114</f>
        <v>278</v>
      </c>
      <c r="AO72" s="906">
        <f>+'AVGO IS'!AO114</f>
        <v>284</v>
      </c>
      <c r="AP72" s="906">
        <f>+'AVGO IS'!AP114</f>
        <v>287</v>
      </c>
      <c r="AQ72" s="907">
        <f>+'AVGO IS'!AQ114</f>
        <v>287</v>
      </c>
      <c r="AR72" s="977">
        <f>+'AVGO IS'!AR114</f>
        <v>289</v>
      </c>
      <c r="AS72" s="976">
        <f>+'AVGO IS'!AS114</f>
        <v>415</v>
      </c>
      <c r="AT72" s="1159">
        <f>+'AVGO IS'!AT114</f>
        <v>419</v>
      </c>
      <c r="AU72" s="1160">
        <f>+'AVGO IS'!AU114</f>
        <v>421</v>
      </c>
      <c r="AV72" s="1263">
        <f>+'AVGO IS'!AV114</f>
        <v>439</v>
      </c>
      <c r="AW72" s="906">
        <f>+'AVGO IS'!AW114</f>
        <v>442</v>
      </c>
      <c r="AX72" s="1261">
        <f>+'AVGO IS'!AX114</f>
        <v>445</v>
      </c>
      <c r="AY72" s="907">
        <f>+'AVGO IS'!AY114</f>
        <v>424</v>
      </c>
      <c r="AZ72" s="919">
        <f>+'AVGO IS'!AZ114</f>
        <v>426</v>
      </c>
      <c r="BA72" s="906">
        <f>+'AVGO IS'!BA114</f>
        <v>429</v>
      </c>
      <c r="BB72" s="906">
        <f>+'AVGO IS'!BB114</f>
        <v>429.5</v>
      </c>
      <c r="BC72" s="907">
        <f>+'AVGO IS'!BC114</f>
        <v>430</v>
      </c>
      <c r="BD72" s="1263">
        <f>+'AVGO IS'!BD114</f>
        <v>430.5</v>
      </c>
      <c r="BE72" s="1261">
        <f>+'AVGO IS'!BE114</f>
        <v>431</v>
      </c>
      <c r="BF72" s="1261">
        <f>+'AVGO IS'!BF114</f>
        <v>431.5</v>
      </c>
      <c r="BG72" s="1262">
        <f>+'AVGO IS'!BG114</f>
        <v>432</v>
      </c>
      <c r="BH72" s="1263">
        <f>+'AVGO IS'!BH114</f>
        <v>432.5</v>
      </c>
      <c r="BI72" s="1261">
        <f>+'AVGO IS'!BI114</f>
        <v>433</v>
      </c>
      <c r="BJ72" s="1261">
        <f>+'AVGO IS'!BJ114</f>
        <v>433.5</v>
      </c>
      <c r="BK72" s="1262">
        <f>+'AVGO IS'!BK114</f>
        <v>434</v>
      </c>
      <c r="BL72" s="19"/>
      <c r="BM72" s="919">
        <f>+'AVGO IS'!BM114</f>
        <v>213</v>
      </c>
      <c r="BN72" s="906">
        <f>+'AVGO IS'!BN114</f>
        <v>214</v>
      </c>
      <c r="BO72" s="906">
        <f>+'AVGO IS'!BO114</f>
        <v>219</v>
      </c>
      <c r="BP72" s="906">
        <f>+'AVGO IS'!BP114</f>
        <v>221.5</v>
      </c>
      <c r="BQ72" s="906">
        <f>+'AVGO IS'!BQ114</f>
        <v>246.25</v>
      </c>
      <c r="BR72" s="907">
        <f>+'AVGO IS'!BR114</f>
        <v>251.75</v>
      </c>
      <c r="BS72" s="1263">
        <f>+'AVGO IS'!BS114</f>
        <v>250</v>
      </c>
      <c r="BT72" s="1261">
        <f>+'AVGO IS'!BT114</f>
        <v>252</v>
      </c>
      <c r="BU72" s="1261">
        <f>+'AVGO IS'!BU114</f>
        <v>259.25</v>
      </c>
      <c r="BV72" s="1261">
        <f>+'AVGO IS'!BV114</f>
        <v>284</v>
      </c>
      <c r="BW72" s="1261">
        <f>+'AVGO IS'!BW114</f>
        <v>386</v>
      </c>
      <c r="BX72" s="1261">
        <f>+'AVGO IS'!BX114</f>
        <v>437.5</v>
      </c>
      <c r="BY72" s="1261">
        <f>+'AVGO IS'!BY114</f>
        <v>428.625</v>
      </c>
      <c r="BZ72" s="1261">
        <f>+'AVGO IS'!BZ114</f>
        <v>431.25</v>
      </c>
      <c r="CA72" s="1389">
        <f>+'AVGO IS'!CA114</f>
        <v>433.25</v>
      </c>
      <c r="CB72" s="19"/>
      <c r="CC72" s="906">
        <f>+'AVGO IS'!CC114</f>
        <v>213.25</v>
      </c>
      <c r="CD72" s="906">
        <f>+'AVGO IS'!CD114</f>
        <v>215.25</v>
      </c>
      <c r="CE72" s="906">
        <f>+'AVGO IS'!CE114</f>
        <v>219</v>
      </c>
      <c r="CF72" s="906">
        <f>+'AVGO IS'!CF114</f>
        <v>227.75</v>
      </c>
      <c r="CG72" s="906">
        <f>+'AVGO IS'!CG114</f>
        <v>247.75</v>
      </c>
      <c r="CH72" s="907">
        <f>+'AVGO IS'!CH114</f>
        <v>251.75</v>
      </c>
      <c r="CI72" s="906">
        <f>+'AVGO IS'!CI114</f>
        <v>250.25</v>
      </c>
      <c r="CJ72" s="906">
        <f>+'AVGO IS'!CJ114</f>
        <v>253</v>
      </c>
      <c r="CK72" s="906">
        <f>+'AVGO IS'!CK114</f>
        <v>265</v>
      </c>
      <c r="CL72" s="906">
        <f>+'AVGO IS'!CL114</f>
        <v>286.75</v>
      </c>
      <c r="CM72" s="906">
        <f>+'AVGO IS'!CM114</f>
        <v>423.5</v>
      </c>
      <c r="CN72" s="1261">
        <f>+'AVGO IS'!CN114</f>
        <v>434.25</v>
      </c>
      <c r="CO72" s="1261">
        <f>+'AVGO IS'!CO114</f>
        <v>429.75</v>
      </c>
      <c r="CP72" s="1262">
        <f>+'AVGO IS'!CP114</f>
        <v>431.75</v>
      </c>
      <c r="CQ72" s="10"/>
      <c r="CX72" s="7"/>
    </row>
    <row r="73" spans="1:102" ht="14.25" customHeight="1">
      <c r="A73" s="7"/>
      <c r="B73" s="537"/>
      <c r="C73" s="22"/>
      <c r="D73" s="910"/>
      <c r="E73" s="911"/>
      <c r="F73" s="911"/>
      <c r="G73" s="912"/>
      <c r="H73" s="910"/>
      <c r="I73" s="911"/>
      <c r="J73" s="911"/>
      <c r="K73" s="912"/>
      <c r="L73" s="910"/>
      <c r="M73" s="911"/>
      <c r="N73" s="911"/>
      <c r="O73" s="912"/>
      <c r="P73" s="910"/>
      <c r="Q73" s="911"/>
      <c r="R73" s="911"/>
      <c r="S73" s="912"/>
      <c r="T73" s="910"/>
      <c r="U73" s="911"/>
      <c r="V73" s="911"/>
      <c r="W73" s="912"/>
      <c r="X73" s="910"/>
      <c r="Y73" s="911"/>
      <c r="Z73" s="911"/>
      <c r="AA73" s="912"/>
      <c r="AB73" s="910"/>
      <c r="AC73" s="911"/>
      <c r="AD73" s="911"/>
      <c r="AE73" s="912"/>
      <c r="AF73" s="910"/>
      <c r="AG73" s="911"/>
      <c r="AH73" s="911"/>
      <c r="AI73" s="912"/>
      <c r="AJ73" s="910"/>
      <c r="AK73" s="911"/>
      <c r="AL73" s="911"/>
      <c r="AM73" s="912"/>
      <c r="AN73" s="910"/>
      <c r="AO73" s="911"/>
      <c r="AP73" s="911"/>
      <c r="AQ73" s="912"/>
      <c r="AR73" s="910"/>
      <c r="AS73" s="911"/>
      <c r="AT73" s="911"/>
      <c r="AU73" s="912"/>
      <c r="AV73" s="910"/>
      <c r="AW73" s="911"/>
      <c r="AX73" s="911"/>
      <c r="AY73" s="912"/>
      <c r="AZ73" s="910"/>
      <c r="BA73" s="911"/>
      <c r="BB73" s="911"/>
      <c r="BC73" s="912"/>
      <c r="BD73" s="910"/>
      <c r="BE73" s="911"/>
      <c r="BF73" s="911"/>
      <c r="BG73" s="912"/>
      <c r="BH73" s="910"/>
      <c r="BI73" s="911"/>
      <c r="BJ73" s="911"/>
      <c r="BK73" s="912"/>
      <c r="BL73" s="166"/>
      <c r="BM73" s="910"/>
      <c r="BN73" s="911"/>
      <c r="BO73" s="911"/>
      <c r="BP73" s="911"/>
      <c r="BQ73" s="911"/>
      <c r="BR73" s="912"/>
      <c r="BS73" s="910"/>
      <c r="BT73" s="911"/>
      <c r="BU73" s="911"/>
      <c r="BV73" s="911"/>
      <c r="BW73" s="911"/>
      <c r="BX73" s="911"/>
      <c r="BY73" s="911"/>
      <c r="BZ73" s="911"/>
      <c r="CA73" s="1461"/>
      <c r="CB73" s="19"/>
      <c r="CC73" s="911"/>
      <c r="CD73" s="911"/>
      <c r="CE73" s="911"/>
      <c r="CF73" s="911"/>
      <c r="CG73" s="911"/>
      <c r="CH73" s="911"/>
      <c r="CI73" s="910"/>
      <c r="CJ73" s="911"/>
      <c r="CK73" s="911"/>
      <c r="CL73" s="911"/>
      <c r="CM73" s="911"/>
      <c r="CN73" s="911"/>
      <c r="CO73" s="911"/>
      <c r="CP73" s="912"/>
      <c r="CQ73" s="10"/>
      <c r="CX73" s="7"/>
    </row>
    <row r="74" spans="1:102" ht="14.25" customHeight="1">
      <c r="A74" s="7"/>
      <c r="B74" s="592" t="s">
        <v>269</v>
      </c>
      <c r="C74" s="22"/>
      <c r="D74" s="910"/>
      <c r="E74" s="911"/>
      <c r="F74" s="911"/>
      <c r="G74" s="912"/>
      <c r="H74" s="910"/>
      <c r="I74" s="911"/>
      <c r="J74" s="911"/>
      <c r="K74" s="912"/>
      <c r="L74" s="910"/>
      <c r="M74" s="911"/>
      <c r="N74" s="911"/>
      <c r="O74" s="912"/>
      <c r="P74" s="910"/>
      <c r="Q74" s="911"/>
      <c r="R74" s="911"/>
      <c r="S74" s="912"/>
      <c r="T74" s="910"/>
      <c r="U74" s="911"/>
      <c r="V74" s="911"/>
      <c r="W74" s="912"/>
      <c r="X74" s="910"/>
      <c r="Y74" s="911"/>
      <c r="Z74" s="911"/>
      <c r="AA74" s="912"/>
      <c r="AB74" s="910"/>
      <c r="AC74" s="911"/>
      <c r="AD74" s="911"/>
      <c r="AE74" s="912"/>
      <c r="AF74" s="910"/>
      <c r="AG74" s="911"/>
      <c r="AH74" s="911"/>
      <c r="AI74" s="912"/>
      <c r="AJ74" s="910"/>
      <c r="AK74" s="911"/>
      <c r="AL74" s="911"/>
      <c r="AM74" s="912"/>
      <c r="AN74" s="910"/>
      <c r="AO74" s="911"/>
      <c r="AP74" s="911"/>
      <c r="AQ74" s="912"/>
      <c r="AR74" s="910"/>
      <c r="AS74" s="911"/>
      <c r="AT74" s="911"/>
      <c r="AU74" s="912"/>
      <c r="AV74" s="910"/>
      <c r="AW74" s="911"/>
      <c r="AX74" s="911"/>
      <c r="AY74" s="912"/>
      <c r="AZ74" s="910"/>
      <c r="BA74" s="911"/>
      <c r="BB74" s="911"/>
      <c r="BC74" s="912"/>
      <c r="BD74" s="910"/>
      <c r="BE74" s="911"/>
      <c r="BF74" s="911"/>
      <c r="BG74" s="912"/>
      <c r="BH74" s="910"/>
      <c r="BI74" s="911"/>
      <c r="BJ74" s="911"/>
      <c r="BK74" s="912"/>
      <c r="BL74" s="166"/>
      <c r="BM74" s="910"/>
      <c r="BN74" s="911"/>
      <c r="BO74" s="911"/>
      <c r="BP74" s="911"/>
      <c r="BQ74" s="911"/>
      <c r="BR74" s="912"/>
      <c r="BS74" s="910"/>
      <c r="BT74" s="911"/>
      <c r="BU74" s="911"/>
      <c r="BV74" s="911"/>
      <c r="BW74" s="911"/>
      <c r="BX74" s="911"/>
      <c r="BY74" s="911"/>
      <c r="BZ74" s="911"/>
      <c r="CA74" s="1461"/>
      <c r="CB74" s="19"/>
      <c r="CC74" s="911"/>
      <c r="CD74" s="911"/>
      <c r="CE74" s="911"/>
      <c r="CF74" s="911"/>
      <c r="CG74" s="911"/>
      <c r="CH74" s="911"/>
      <c r="CI74" s="910"/>
      <c r="CJ74" s="911"/>
      <c r="CK74" s="911"/>
      <c r="CL74" s="911"/>
      <c r="CM74" s="911"/>
      <c r="CN74" s="911"/>
      <c r="CO74" s="911"/>
      <c r="CP74" s="912"/>
      <c r="CQ74" s="10"/>
      <c r="CX74" s="7"/>
    </row>
    <row r="75" spans="1:102" ht="14.25" customHeight="1">
      <c r="A75" s="7"/>
      <c r="B75" s="537" t="s">
        <v>270</v>
      </c>
      <c r="C75" s="593"/>
      <c r="D75" s="910">
        <f t="shared" ref="D75:AM75" si="357">D36/D72</f>
        <v>4.572769953051643</v>
      </c>
      <c r="E75" s="911">
        <f t="shared" si="357"/>
        <v>4.413145539906103</v>
      </c>
      <c r="F75" s="911">
        <f t="shared" si="357"/>
        <v>4.314553990610329</v>
      </c>
      <c r="G75" s="912">
        <f t="shared" si="357"/>
        <v>3.9530516431924885</v>
      </c>
      <c r="H75" s="910">
        <f t="shared" si="357"/>
        <v>4.009345794392523</v>
      </c>
      <c r="I75" s="911">
        <f t="shared" si="357"/>
        <v>4.0420560747663554</v>
      </c>
      <c r="J75" s="911">
        <f t="shared" si="357"/>
        <v>3.2523364485981308</v>
      </c>
      <c r="K75" s="912">
        <f t="shared" si="357"/>
        <v>3.2383177570093458</v>
      </c>
      <c r="L75" s="910">
        <f t="shared" si="357"/>
        <v>3.1598173515981736</v>
      </c>
      <c r="M75" s="911">
        <f t="shared" si="357"/>
        <v>3.2374429223744294</v>
      </c>
      <c r="N75" s="911">
        <f t="shared" si="357"/>
        <v>3.452054794520548</v>
      </c>
      <c r="O75" s="912">
        <f t="shared" si="357"/>
        <v>3.5616438356164384</v>
      </c>
      <c r="P75" s="910">
        <f t="shared" si="357"/>
        <v>3.5936073059360729</v>
      </c>
      <c r="Q75" s="911">
        <f t="shared" si="357"/>
        <v>3.542056074766355</v>
      </c>
      <c r="R75" s="911">
        <f t="shared" si="357"/>
        <v>3.477064220183486</v>
      </c>
      <c r="S75" s="912">
        <f t="shared" si="357"/>
        <v>4.4255319148936172</v>
      </c>
      <c r="T75" s="910">
        <f t="shared" si="357"/>
        <v>4.4549180327868854</v>
      </c>
      <c r="U75" s="911">
        <f t="shared" si="357"/>
        <v>4.8780487804878048</v>
      </c>
      <c r="V75" s="911">
        <f t="shared" si="357"/>
        <v>5.3967611336032393</v>
      </c>
      <c r="W75" s="912">
        <f t="shared" si="357"/>
        <v>6.068548387096774</v>
      </c>
      <c r="X75" s="910">
        <f t="shared" si="357"/>
        <v>6.5759999999999996</v>
      </c>
      <c r="Y75" s="911">
        <f t="shared" si="357"/>
        <v>7.1071428571428568</v>
      </c>
      <c r="Z75" s="911">
        <f t="shared" si="357"/>
        <v>7.3913043478260869</v>
      </c>
      <c r="AA75" s="912">
        <f t="shared" si="357"/>
        <v>7.9603174603174605</v>
      </c>
      <c r="AB75" s="910">
        <f t="shared" si="357"/>
        <v>8.16</v>
      </c>
      <c r="AC75" s="911">
        <f t="shared" si="357"/>
        <v>8.6679999999999993</v>
      </c>
      <c r="AD75" s="911">
        <f t="shared" si="357"/>
        <v>9.1560000000000006</v>
      </c>
      <c r="AE75" s="912">
        <f t="shared" si="357"/>
        <v>9.6760000000000002</v>
      </c>
      <c r="AF75" s="910">
        <f t="shared" si="357"/>
        <v>10.031872509960159</v>
      </c>
      <c r="AG75" s="911">
        <f t="shared" si="357"/>
        <v>10.361111111111111</v>
      </c>
      <c r="AH75" s="911">
        <f t="shared" si="357"/>
        <v>10.817460317460318</v>
      </c>
      <c r="AI75" s="912">
        <f t="shared" si="357"/>
        <v>11.40711462450593</v>
      </c>
      <c r="AJ75" s="910">
        <f t="shared" si="357"/>
        <v>11.733333333333333</v>
      </c>
      <c r="AK75" s="911">
        <f t="shared" si="357"/>
        <v>12.224806201550388</v>
      </c>
      <c r="AL75" s="911">
        <f>AL36/AL72</f>
        <v>12.293650793650794</v>
      </c>
      <c r="AM75" s="912">
        <f t="shared" si="357"/>
        <v>11.922794117647058</v>
      </c>
      <c r="AN75" s="910">
        <f t="shared" ref="AN75:AO75" si="358">AN36/AN72</f>
        <v>13.050359712230216</v>
      </c>
      <c r="AO75" s="911">
        <f t="shared" si="358"/>
        <v>14.299295774647888</v>
      </c>
      <c r="AP75" s="911">
        <f>AP36/AP72</f>
        <v>14.91637630662021</v>
      </c>
      <c r="AQ75" s="912">
        <f t="shared" ref="AQ75:AS75" si="359">AQ36/AQ72</f>
        <v>16.425087108013937</v>
      </c>
      <c r="AR75" s="910">
        <f t="shared" si="359"/>
        <v>17.719723183391004</v>
      </c>
      <c r="AS75" s="911">
        <f t="shared" si="359"/>
        <v>54.848192771084335</v>
      </c>
      <c r="AT75" s="911">
        <f>AT36/AT72</f>
        <v>53.708830548926016</v>
      </c>
      <c r="AU75" s="912">
        <f t="shared" ref="AU75:AV75" si="360">AU36/AU72</f>
        <v>51.961995249406179</v>
      </c>
      <c r="AV75" s="910">
        <f t="shared" si="360"/>
        <v>50.136674259681094</v>
      </c>
      <c r="AW75" s="911">
        <f t="shared" ref="AW75:BC75" si="361">AW36/AW72</f>
        <v>50.549773755656112</v>
      </c>
      <c r="AX75" s="911">
        <f>AX36/AX72</f>
        <v>51.020224719101122</v>
      </c>
      <c r="AY75" s="912">
        <f t="shared" si="361"/>
        <v>54.943396226415096</v>
      </c>
      <c r="AZ75" s="910">
        <f t="shared" si="361"/>
        <v>68.265258215962447</v>
      </c>
      <c r="BA75" s="911">
        <f t="shared" si="361"/>
        <v>71.105813666645687</v>
      </c>
      <c r="BB75" s="911">
        <f t="shared" si="361"/>
        <v>74.233739789551336</v>
      </c>
      <c r="BC75" s="912">
        <f t="shared" si="361"/>
        <v>77.767805642564937</v>
      </c>
      <c r="BD75" s="910">
        <f t="shared" ref="BD75:BG75" si="362">BD36/BD72</f>
        <v>80.344390274432428</v>
      </c>
      <c r="BE75" s="911">
        <f t="shared" si="362"/>
        <v>82.774298827550155</v>
      </c>
      <c r="BF75" s="911">
        <f t="shared" si="362"/>
        <v>85.585203274414368</v>
      </c>
      <c r="BG75" s="912">
        <f t="shared" si="362"/>
        <v>89.019969413088376</v>
      </c>
      <c r="BH75" s="910">
        <f t="shared" ref="BH75:BK75" si="363">BH36/BH72</f>
        <v>92.178129049722941</v>
      </c>
      <c r="BI75" s="911">
        <f t="shared" si="363"/>
        <v>95.001087829626712</v>
      </c>
      <c r="BJ75" s="911">
        <f t="shared" si="363"/>
        <v>98.080381960927056</v>
      </c>
      <c r="BK75" s="912">
        <f t="shared" si="363"/>
        <v>101.54752284167225</v>
      </c>
      <c r="BL75" s="166"/>
      <c r="BM75" s="910">
        <f t="shared" ref="BM75:BU75" si="364">BM36/BM72</f>
        <v>3.9530516431924885</v>
      </c>
      <c r="BN75" s="911">
        <f t="shared" si="364"/>
        <v>3.2383177570093458</v>
      </c>
      <c r="BO75" s="911">
        <f t="shared" si="364"/>
        <v>3.5616438356164384</v>
      </c>
      <c r="BP75" s="911">
        <f t="shared" si="364"/>
        <v>4.6952595936794586</v>
      </c>
      <c r="BQ75" s="911">
        <f t="shared" si="364"/>
        <v>6.1116751269035534</v>
      </c>
      <c r="BR75" s="912">
        <f t="shared" si="364"/>
        <v>7.9682224428997017</v>
      </c>
      <c r="BS75" s="910">
        <f t="shared" si="364"/>
        <v>9.6760000000000002</v>
      </c>
      <c r="BT75" s="911">
        <f t="shared" si="364"/>
        <v>11.452380952380953</v>
      </c>
      <c r="BU75" s="911">
        <f t="shared" si="364"/>
        <v>12.509161041465767</v>
      </c>
      <c r="BV75" s="911">
        <f t="shared" ref="BV75:CA75" si="365">BV36/BV72</f>
        <v>16.598591549295776</v>
      </c>
      <c r="BW75" s="911">
        <f t="shared" si="365"/>
        <v>56.673575129533681</v>
      </c>
      <c r="BX75" s="911">
        <f t="shared" si="365"/>
        <v>53.247999999999998</v>
      </c>
      <c r="BY75" s="911">
        <f t="shared" si="365"/>
        <v>78.017279501435809</v>
      </c>
      <c r="BZ75" s="911">
        <f t="shared" si="365"/>
        <v>89.174786751198099</v>
      </c>
      <c r="CA75" s="1461">
        <f t="shared" si="365"/>
        <v>101.72331197527006</v>
      </c>
      <c r="CB75" s="19"/>
      <c r="CC75" s="911">
        <f t="shared" ref="CC75:CJ75" si="366">CC36/CC72</f>
        <v>4.023446658851114</v>
      </c>
      <c r="CD75" s="911">
        <f t="shared" si="366"/>
        <v>3.2148664343786293</v>
      </c>
      <c r="CE75" s="911">
        <f t="shared" si="366"/>
        <v>3.5936073059360729</v>
      </c>
      <c r="CF75" s="911">
        <f t="shared" si="366"/>
        <v>4.7727771679473108</v>
      </c>
      <c r="CG75" s="911">
        <f t="shared" si="366"/>
        <v>6.6357214934409683</v>
      </c>
      <c r="CH75" s="911">
        <f t="shared" si="366"/>
        <v>8.1032770605759676</v>
      </c>
      <c r="CI75" s="910">
        <f t="shared" si="366"/>
        <v>10.061938061938061</v>
      </c>
      <c r="CJ75" s="911">
        <f t="shared" si="366"/>
        <v>11.826086956521738</v>
      </c>
      <c r="CK75" s="911">
        <f t="shared" ref="CK75:CP75" si="367">CK36/CK72</f>
        <v>13.690566037735849</v>
      </c>
      <c r="CL75" s="911">
        <f t="shared" si="367"/>
        <v>17.858761987794246</v>
      </c>
      <c r="CM75" s="911">
        <f t="shared" si="367"/>
        <v>51.971664698937424</v>
      </c>
      <c r="CN75" s="911">
        <f t="shared" si="367"/>
        <v>66.968336211859523</v>
      </c>
      <c r="CO75" s="911">
        <f t="shared" si="367"/>
        <v>80.48460736042621</v>
      </c>
      <c r="CP75" s="912">
        <f t="shared" si="367"/>
        <v>92.338253188199587</v>
      </c>
      <c r="CQ75" s="10"/>
      <c r="CX75" s="7"/>
    </row>
    <row r="76" spans="1:102" s="1212" customFormat="1" ht="14.25" customHeight="1">
      <c r="A76" s="1291"/>
      <c r="B76" s="1292" t="s">
        <v>271</v>
      </c>
      <c r="C76" s="1293"/>
      <c r="D76" s="1294">
        <f t="shared" ref="D76:AY76" si="368">(D36-(D17+D18))</f>
        <v>-421</v>
      </c>
      <c r="E76" s="1295">
        <f t="shared" si="368"/>
        <v>-203</v>
      </c>
      <c r="F76" s="1295">
        <f t="shared" si="368"/>
        <v>-195</v>
      </c>
      <c r="G76" s="1296">
        <f t="shared" si="368"/>
        <v>-247</v>
      </c>
      <c r="H76" s="1294">
        <f t="shared" si="368"/>
        <v>-195</v>
      </c>
      <c r="I76" s="1295">
        <f t="shared" si="368"/>
        <v>-165</v>
      </c>
      <c r="J76" s="1295">
        <f t="shared" si="368"/>
        <v>-246</v>
      </c>
      <c r="K76" s="1296">
        <f t="shared" si="368"/>
        <v>-206</v>
      </c>
      <c r="L76" s="1294">
        <f t="shared" si="368"/>
        <v>-226</v>
      </c>
      <c r="M76" s="1295">
        <f t="shared" si="368"/>
        <v>-199</v>
      </c>
      <c r="N76" s="1295">
        <f t="shared" si="368"/>
        <v>-131</v>
      </c>
      <c r="O76" s="1296">
        <f t="shared" si="368"/>
        <v>-110</v>
      </c>
      <c r="P76" s="1294">
        <f t="shared" si="368"/>
        <v>-83</v>
      </c>
      <c r="Q76" s="1295">
        <f t="shared" si="368"/>
        <v>-98</v>
      </c>
      <c r="R76" s="1295">
        <f t="shared" si="368"/>
        <v>-78</v>
      </c>
      <c r="S76" s="1296">
        <f t="shared" si="368"/>
        <v>222</v>
      </c>
      <c r="T76" s="1294">
        <f t="shared" si="368"/>
        <v>289</v>
      </c>
      <c r="U76" s="1295">
        <f t="shared" si="368"/>
        <v>422</v>
      </c>
      <c r="V76" s="1295">
        <f t="shared" si="368"/>
        <v>568</v>
      </c>
      <c r="W76" s="1296">
        <f t="shared" si="368"/>
        <v>760</v>
      </c>
      <c r="X76" s="1294">
        <f t="shared" si="368"/>
        <v>912</v>
      </c>
      <c r="Y76" s="1295">
        <f t="shared" si="368"/>
        <v>1076</v>
      </c>
      <c r="Z76" s="1295">
        <f t="shared" si="368"/>
        <v>1174</v>
      </c>
      <c r="AA76" s="1296">
        <f t="shared" si="368"/>
        <v>1330</v>
      </c>
      <c r="AB76" s="1294">
        <f t="shared" si="368"/>
        <v>1383</v>
      </c>
      <c r="AC76" s="1295">
        <f t="shared" si="368"/>
        <v>1529</v>
      </c>
      <c r="AD76" s="1295">
        <f t="shared" si="368"/>
        <v>1668</v>
      </c>
      <c r="AE76" s="1296">
        <f t="shared" si="368"/>
        <v>1817</v>
      </c>
      <c r="AF76" s="1294">
        <f t="shared" si="368"/>
        <v>1935</v>
      </c>
      <c r="AG76" s="1295">
        <f t="shared" si="368"/>
        <v>2017</v>
      </c>
      <c r="AH76" s="1295">
        <f t="shared" si="368"/>
        <v>1819</v>
      </c>
      <c r="AI76" s="1296">
        <f t="shared" si="368"/>
        <v>2003</v>
      </c>
      <c r="AJ76" s="1294">
        <f t="shared" si="368"/>
        <v>2133</v>
      </c>
      <c r="AK76" s="1295">
        <f t="shared" si="368"/>
        <v>2321</v>
      </c>
      <c r="AL76" s="1295">
        <f>(AL36-(AL17+AL18))</f>
        <v>-1980</v>
      </c>
      <c r="AM76" s="1296">
        <f t="shared" si="368"/>
        <v>-1970</v>
      </c>
      <c r="AN76" s="1294">
        <f t="shared" si="368"/>
        <v>-1413</v>
      </c>
      <c r="AO76" s="1295">
        <f t="shared" si="368"/>
        <v>-815</v>
      </c>
      <c r="AP76" s="1295">
        <f>(AP36-(AP17+AP18))</f>
        <v>-917</v>
      </c>
      <c r="AQ76" s="1296">
        <f t="shared" ref="AQ76:AS76" si="369">(AQ36-(AQ17+AQ18))</f>
        <v>-237</v>
      </c>
      <c r="AR76" s="1294">
        <f t="shared" si="369"/>
        <v>347</v>
      </c>
      <c r="AS76" s="1295">
        <f t="shared" si="369"/>
        <v>-18958</v>
      </c>
      <c r="AT76" s="1295">
        <f>(AT36-(AT17+AT18))</f>
        <v>-18099</v>
      </c>
      <c r="AU76" s="1296">
        <f t="shared" ref="AU76:AV76" si="370">(AU36-(AU17+AU18))</f>
        <v>-17924</v>
      </c>
      <c r="AV76" s="1294">
        <f t="shared" si="370"/>
        <v>-16757</v>
      </c>
      <c r="AW76" s="1295">
        <f t="shared" si="368"/>
        <v>-15379</v>
      </c>
      <c r="AX76" s="1295">
        <f>(AX36-(AX17+AX18))</f>
        <v>-13929</v>
      </c>
      <c r="AY76" s="1296">
        <f t="shared" si="368"/>
        <v>-12242</v>
      </c>
      <c r="AZ76" s="1294">
        <f t="shared" ref="AZ76:BC76" si="371">(AZ36-(AZ17+AZ18))</f>
        <v>-10989</v>
      </c>
      <c r="BA76" s="1295">
        <f t="shared" si="371"/>
        <v>-9565.6059370090006</v>
      </c>
      <c r="BB76" s="1295">
        <f t="shared" si="371"/>
        <v>-8186.6087603876986</v>
      </c>
      <c r="BC76" s="1296">
        <f t="shared" si="371"/>
        <v>-6629.8435736970787</v>
      </c>
      <c r="BD76" s="1294">
        <f t="shared" ref="BD76:BG76" si="372">(BD36-(BD17+BD18))</f>
        <v>-5481.7399868568391</v>
      </c>
      <c r="BE76" s="1295">
        <f t="shared" si="372"/>
        <v>-4394.2772053258814</v>
      </c>
      <c r="BF76" s="1295">
        <f t="shared" si="372"/>
        <v>-3139.9847870902013</v>
      </c>
      <c r="BG76" s="1296">
        <f t="shared" si="372"/>
        <v>-1613.3732135458195</v>
      </c>
      <c r="BH76" s="1294">
        <f t="shared" ref="BH76:BK76" si="373">(BH36-(BH17+BH18))</f>
        <v>-202.95918599482684</v>
      </c>
      <c r="BI76" s="1295">
        <f t="shared" si="373"/>
        <v>1065.4710302283638</v>
      </c>
      <c r="BJ76" s="1295">
        <f t="shared" si="373"/>
        <v>2447.8455800618758</v>
      </c>
      <c r="BK76" s="1296">
        <f t="shared" si="373"/>
        <v>4001.6249132857556</v>
      </c>
      <c r="BL76" s="1297"/>
      <c r="BM76" s="1294">
        <f t="shared" ref="BM76:BX76" si="374">(BM36-(BM17+BM18))</f>
        <v>-247</v>
      </c>
      <c r="BN76" s="1295">
        <f t="shared" si="374"/>
        <v>-206</v>
      </c>
      <c r="BO76" s="1295">
        <f t="shared" si="374"/>
        <v>-110</v>
      </c>
      <c r="BP76" s="1295">
        <f t="shared" si="374"/>
        <v>222</v>
      </c>
      <c r="BQ76" s="1295">
        <f t="shared" si="374"/>
        <v>760</v>
      </c>
      <c r="BR76" s="1296">
        <f t="shared" si="374"/>
        <v>1330</v>
      </c>
      <c r="BS76" s="1294">
        <f t="shared" si="374"/>
        <v>1817</v>
      </c>
      <c r="BT76" s="1295">
        <f t="shared" si="374"/>
        <v>2003</v>
      </c>
      <c r="BU76" s="1295">
        <f t="shared" si="374"/>
        <v>-1970</v>
      </c>
      <c r="BV76" s="1295">
        <f t="shared" si="374"/>
        <v>-237</v>
      </c>
      <c r="BW76" s="1295">
        <f t="shared" si="374"/>
        <v>-17924</v>
      </c>
      <c r="BX76" s="1295">
        <f t="shared" si="374"/>
        <v>-12242</v>
      </c>
      <c r="BY76" s="1295">
        <f t="shared" ref="BY76:BZ76" si="375">(BY36-(BY17+BY18))</f>
        <v>-6629.8435736970787</v>
      </c>
      <c r="BZ76" s="1295">
        <f t="shared" si="375"/>
        <v>-1613.3732135458195</v>
      </c>
      <c r="CA76" s="1462">
        <f t="shared" ref="CA76" si="376">(CA36-(CA17+CA18))</f>
        <v>4001.6249132857556</v>
      </c>
      <c r="CB76" s="1470"/>
      <c r="CC76" s="1295">
        <f t="shared" ref="CC76:CM76" si="377">(CC36-(CC17+CC18))</f>
        <v>-195</v>
      </c>
      <c r="CD76" s="1295">
        <f t="shared" si="377"/>
        <v>-226</v>
      </c>
      <c r="CE76" s="1295">
        <f t="shared" si="377"/>
        <v>-83</v>
      </c>
      <c r="CF76" s="1295">
        <f t="shared" si="377"/>
        <v>289</v>
      </c>
      <c r="CG76" s="1295">
        <f t="shared" si="377"/>
        <v>912</v>
      </c>
      <c r="CH76" s="1295">
        <f t="shared" si="377"/>
        <v>1383</v>
      </c>
      <c r="CI76" s="1294">
        <f t="shared" si="377"/>
        <v>1935</v>
      </c>
      <c r="CJ76" s="1295">
        <f t="shared" si="377"/>
        <v>2133</v>
      </c>
      <c r="CK76" s="1295">
        <f t="shared" si="377"/>
        <v>-1413</v>
      </c>
      <c r="CL76" s="1295">
        <f t="shared" si="377"/>
        <v>347</v>
      </c>
      <c r="CM76" s="1295">
        <f t="shared" si="377"/>
        <v>-16757</v>
      </c>
      <c r="CN76" s="1295">
        <f t="shared" ref="CN76:CO76" si="378">(CN36-(CN17+CN18))</f>
        <v>-10989</v>
      </c>
      <c r="CO76" s="1295">
        <f t="shared" si="378"/>
        <v>-5481.7399868568391</v>
      </c>
      <c r="CP76" s="1296">
        <f t="shared" ref="CP76" si="379">(CP36-(CP17+CP18))</f>
        <v>-202.95918599482684</v>
      </c>
      <c r="CQ76" s="1298"/>
      <c r="CR76"/>
      <c r="CS76"/>
      <c r="CT76"/>
      <c r="CU76"/>
      <c r="CV76"/>
      <c r="CW76"/>
      <c r="CX76" s="1291"/>
    </row>
    <row r="77" spans="1:102" ht="14.25" customHeight="1">
      <c r="A77" s="7"/>
      <c r="B77" s="595" t="s">
        <v>272</v>
      </c>
      <c r="C77" s="596"/>
      <c r="D77" s="910">
        <f t="shared" ref="D77:AI77" si="380">D76/D72</f>
        <v>-1.9765258215962442</v>
      </c>
      <c r="E77" s="866">
        <f t="shared" si="380"/>
        <v>-0.95305164319248825</v>
      </c>
      <c r="F77" s="866">
        <f t="shared" si="380"/>
        <v>-0.91549295774647887</v>
      </c>
      <c r="G77" s="867">
        <f t="shared" si="380"/>
        <v>-1.15962441314554</v>
      </c>
      <c r="H77" s="910">
        <f t="shared" si="380"/>
        <v>-0.91121495327102808</v>
      </c>
      <c r="I77" s="866">
        <f t="shared" si="380"/>
        <v>-0.7710280373831776</v>
      </c>
      <c r="J77" s="866">
        <f t="shared" si="380"/>
        <v>-1.1495327102803738</v>
      </c>
      <c r="K77" s="867">
        <f t="shared" si="380"/>
        <v>-0.96261682242990654</v>
      </c>
      <c r="L77" s="910">
        <f t="shared" si="380"/>
        <v>-1.0319634703196348</v>
      </c>
      <c r="M77" s="866">
        <f t="shared" si="380"/>
        <v>-0.908675799086758</v>
      </c>
      <c r="N77" s="866">
        <f t="shared" si="380"/>
        <v>-0.59817351598173518</v>
      </c>
      <c r="O77" s="867">
        <f t="shared" si="380"/>
        <v>-0.50228310502283102</v>
      </c>
      <c r="P77" s="910">
        <f t="shared" si="380"/>
        <v>-0.37899543378995432</v>
      </c>
      <c r="Q77" s="866">
        <f t="shared" si="380"/>
        <v>-0.45794392523364486</v>
      </c>
      <c r="R77" s="866">
        <f t="shared" si="380"/>
        <v>-0.3577981651376147</v>
      </c>
      <c r="S77" s="867">
        <f t="shared" si="380"/>
        <v>0.94468085106382982</v>
      </c>
      <c r="T77" s="910">
        <f t="shared" si="380"/>
        <v>1.1844262295081966</v>
      </c>
      <c r="U77" s="866">
        <f t="shared" si="380"/>
        <v>1.7154471544715446</v>
      </c>
      <c r="V77" s="866">
        <f t="shared" si="380"/>
        <v>2.2995951417004048</v>
      </c>
      <c r="W77" s="867">
        <f>W76/W72</f>
        <v>3.064516129032258</v>
      </c>
      <c r="X77" s="910">
        <f>X76/X72</f>
        <v>3.6480000000000001</v>
      </c>
      <c r="Y77" s="866">
        <f t="shared" si="380"/>
        <v>4.2698412698412698</v>
      </c>
      <c r="Z77" s="866">
        <f t="shared" si="380"/>
        <v>4.6403162055335967</v>
      </c>
      <c r="AA77" s="867">
        <f t="shared" si="380"/>
        <v>5.2777777777777777</v>
      </c>
      <c r="AB77" s="910">
        <f t="shared" si="380"/>
        <v>5.532</v>
      </c>
      <c r="AC77" s="866">
        <f t="shared" si="380"/>
        <v>6.1159999999999997</v>
      </c>
      <c r="AD77" s="866">
        <f t="shared" si="380"/>
        <v>6.6719999999999997</v>
      </c>
      <c r="AE77" s="867">
        <f t="shared" si="380"/>
        <v>7.2679999999999998</v>
      </c>
      <c r="AF77" s="910">
        <f t="shared" si="380"/>
        <v>7.7091633466135461</v>
      </c>
      <c r="AG77" s="866">
        <f t="shared" si="380"/>
        <v>8.0039682539682548</v>
      </c>
      <c r="AH77" s="866">
        <f t="shared" si="380"/>
        <v>7.2182539682539684</v>
      </c>
      <c r="AI77" s="867">
        <f t="shared" si="380"/>
        <v>7.9169960474308301</v>
      </c>
      <c r="AJ77" s="910">
        <f t="shared" ref="AJ77:AO77" si="381">AJ76/AJ72</f>
        <v>8.3647058823529417</v>
      </c>
      <c r="AK77" s="866">
        <f t="shared" si="381"/>
        <v>8.9961240310077528</v>
      </c>
      <c r="AL77" s="866">
        <f t="shared" si="381"/>
        <v>-7.8571428571428568</v>
      </c>
      <c r="AM77" s="867">
        <f t="shared" si="381"/>
        <v>-7.242647058823529</v>
      </c>
      <c r="AN77" s="910">
        <f t="shared" si="381"/>
        <v>-5.0827338129496402</v>
      </c>
      <c r="AO77" s="866">
        <f t="shared" si="381"/>
        <v>-2.869718309859155</v>
      </c>
      <c r="AP77" s="866">
        <f t="shared" ref="AP77:AS77" si="382">AP76/AP72</f>
        <v>-3.1951219512195124</v>
      </c>
      <c r="AQ77" s="867">
        <f t="shared" si="382"/>
        <v>-0.82578397212543553</v>
      </c>
      <c r="AR77" s="910">
        <f t="shared" si="382"/>
        <v>1.2006920415224913</v>
      </c>
      <c r="AS77" s="866">
        <f t="shared" si="382"/>
        <v>-45.681927710843375</v>
      </c>
      <c r="AT77" s="866">
        <f t="shared" ref="AT77:AV77" si="383">AT76/AT72</f>
        <v>-43.195704057279237</v>
      </c>
      <c r="AU77" s="867">
        <f t="shared" si="383"/>
        <v>-42.574821852731588</v>
      </c>
      <c r="AV77" s="910">
        <f t="shared" si="383"/>
        <v>-38.170842824601365</v>
      </c>
      <c r="AW77" s="866">
        <f t="shared" ref="AW77:AY77" si="384">AW76/AW72</f>
        <v>-34.794117647058826</v>
      </c>
      <c r="AX77" s="866">
        <f t="shared" si="384"/>
        <v>-31.301123595505619</v>
      </c>
      <c r="AY77" s="867">
        <f t="shared" si="384"/>
        <v>-28.872641509433961</v>
      </c>
      <c r="AZ77" s="910">
        <f t="shared" ref="AZ77:BC77" si="385">AZ76/AZ72</f>
        <v>-25.795774647887324</v>
      </c>
      <c r="BA77" s="866">
        <f t="shared" si="385"/>
        <v>-22.297449736617718</v>
      </c>
      <c r="BB77" s="866">
        <f t="shared" si="385"/>
        <v>-19.06078873198533</v>
      </c>
      <c r="BC77" s="867">
        <f t="shared" si="385"/>
        <v>-15.418240869062974</v>
      </c>
      <c r="BD77" s="910">
        <f t="shared" ref="BD77:BG77" si="386">BD76/BD72</f>
        <v>-12.733426218018209</v>
      </c>
      <c r="BE77" s="866">
        <f t="shared" si="386"/>
        <v>-10.195538759456801</v>
      </c>
      <c r="BF77" s="866">
        <f t="shared" si="386"/>
        <v>-7.2769056479494818</v>
      </c>
      <c r="BG77" s="867">
        <f t="shared" si="386"/>
        <v>-3.7346602165412488</v>
      </c>
      <c r="BH77" s="910">
        <f t="shared" ref="BH77:BK77" si="387">BH76/BH72</f>
        <v>-0.4692697942076921</v>
      </c>
      <c r="BI77" s="866">
        <f t="shared" si="387"/>
        <v>2.4606721252387156</v>
      </c>
      <c r="BJ77" s="866">
        <f t="shared" si="387"/>
        <v>5.6467026068324699</v>
      </c>
      <c r="BK77" s="867">
        <f t="shared" si="387"/>
        <v>9.2203339015800818</v>
      </c>
      <c r="BL77" s="166"/>
      <c r="BM77" s="869">
        <f t="shared" ref="BM77:BW77" si="388">BM76/BM72</f>
        <v>-1.15962441314554</v>
      </c>
      <c r="BN77" s="866">
        <f t="shared" si="388"/>
        <v>-0.96261682242990654</v>
      </c>
      <c r="BO77" s="866">
        <f t="shared" si="388"/>
        <v>-0.50228310502283102</v>
      </c>
      <c r="BP77" s="866">
        <f t="shared" si="388"/>
        <v>1.0022573363431151</v>
      </c>
      <c r="BQ77" s="866">
        <f t="shared" si="388"/>
        <v>3.0862944162436547</v>
      </c>
      <c r="BR77" s="867">
        <f t="shared" si="388"/>
        <v>5.283018867924528</v>
      </c>
      <c r="BS77" s="869">
        <f t="shared" si="388"/>
        <v>7.2679999999999998</v>
      </c>
      <c r="BT77" s="866">
        <f t="shared" si="388"/>
        <v>7.9484126984126986</v>
      </c>
      <c r="BU77" s="866">
        <f t="shared" si="388"/>
        <v>-7.5988428158148507</v>
      </c>
      <c r="BV77" s="866">
        <f t="shared" si="388"/>
        <v>-0.83450704225352113</v>
      </c>
      <c r="BW77" s="866">
        <f t="shared" si="388"/>
        <v>-46.435233160621763</v>
      </c>
      <c r="BX77" s="866">
        <f>BX76/BX72</f>
        <v>-27.981714285714286</v>
      </c>
      <c r="BY77" s="866">
        <f>BY76/BY72</f>
        <v>-15.467701542600359</v>
      </c>
      <c r="BZ77" s="866">
        <f>BZ76/BZ72</f>
        <v>-3.7411552777874073</v>
      </c>
      <c r="CA77" s="1463">
        <f>CA76/CA72</f>
        <v>9.2362952412827592</v>
      </c>
      <c r="CB77" s="19"/>
      <c r="CC77" s="866">
        <f t="shared" ref="CC77:CJ77" si="389">CC76/CC72</f>
        <v>-0.91441969519343491</v>
      </c>
      <c r="CD77" s="866">
        <f t="shared" si="389"/>
        <v>-1.0499419279907085</v>
      </c>
      <c r="CE77" s="866">
        <f t="shared" si="389"/>
        <v>-0.37899543378995432</v>
      </c>
      <c r="CF77" s="866">
        <f t="shared" si="389"/>
        <v>1.2689352360043908</v>
      </c>
      <c r="CG77" s="866">
        <f t="shared" si="389"/>
        <v>3.6811301715438951</v>
      </c>
      <c r="CH77" s="866">
        <f t="shared" si="389"/>
        <v>5.4935451837140024</v>
      </c>
      <c r="CI77" s="869">
        <f t="shared" si="389"/>
        <v>7.732267732267732</v>
      </c>
      <c r="CJ77" s="866">
        <f t="shared" si="389"/>
        <v>8.4308300395256914</v>
      </c>
      <c r="CK77" s="866">
        <f t="shared" ref="CK77:CP77" si="390">CK76/CK72</f>
        <v>-5.3320754716981131</v>
      </c>
      <c r="CL77" s="866">
        <f t="shared" si="390"/>
        <v>1.2101133391455972</v>
      </c>
      <c r="CM77" s="866">
        <f t="shared" si="390"/>
        <v>-39.56788665879575</v>
      </c>
      <c r="CN77" s="866">
        <f t="shared" si="390"/>
        <v>-25.305699481865286</v>
      </c>
      <c r="CO77" s="866">
        <f t="shared" si="390"/>
        <v>-12.755648602342848</v>
      </c>
      <c r="CP77" s="867">
        <f t="shared" si="390"/>
        <v>-0.47008497045703956</v>
      </c>
      <c r="CQ77" s="10"/>
      <c r="CX77" s="7"/>
    </row>
    <row r="78" spans="1:102" ht="14.25" customHeight="1">
      <c r="A78" s="7"/>
      <c r="B78" s="537"/>
      <c r="C78" s="22"/>
      <c r="D78" s="910"/>
      <c r="E78" s="911"/>
      <c r="F78" s="911"/>
      <c r="G78" s="912"/>
      <c r="H78" s="910"/>
      <c r="I78" s="911"/>
      <c r="J78" s="911"/>
      <c r="K78" s="912"/>
      <c r="L78" s="910"/>
      <c r="M78" s="911"/>
      <c r="N78" s="911"/>
      <c r="O78" s="912"/>
      <c r="P78" s="910"/>
      <c r="Q78" s="911"/>
      <c r="R78" s="911"/>
      <c r="S78" s="912"/>
      <c r="T78" s="910"/>
      <c r="U78" s="911"/>
      <c r="V78" s="911"/>
      <c r="W78" s="912"/>
      <c r="X78" s="910"/>
      <c r="Y78" s="911"/>
      <c r="Z78" s="911"/>
      <c r="AA78" s="912"/>
      <c r="AB78" s="910"/>
      <c r="AC78" s="911"/>
      <c r="AD78" s="911"/>
      <c r="AE78" s="912"/>
      <c r="AF78" s="910"/>
      <c r="AG78" s="911"/>
      <c r="AH78" s="911"/>
      <c r="AI78" s="912"/>
      <c r="AJ78" s="910"/>
      <c r="AK78" s="911"/>
      <c r="AL78" s="911"/>
      <c r="AM78" s="912"/>
      <c r="AN78" s="910"/>
      <c r="AO78" s="911"/>
      <c r="AP78" s="911"/>
      <c r="AQ78" s="912"/>
      <c r="AR78" s="910"/>
      <c r="AS78" s="911"/>
      <c r="AT78" s="911"/>
      <c r="AU78" s="912"/>
      <c r="AV78" s="910"/>
      <c r="AW78" s="911"/>
      <c r="AX78" s="911"/>
      <c r="AY78" s="912"/>
      <c r="AZ78" s="910"/>
      <c r="BA78" s="911"/>
      <c r="BB78" s="911"/>
      <c r="BC78" s="912"/>
      <c r="BD78" s="910"/>
      <c r="BE78" s="911"/>
      <c r="BF78" s="911"/>
      <c r="BG78" s="912"/>
      <c r="BH78" s="910"/>
      <c r="BI78" s="911"/>
      <c r="BJ78" s="911"/>
      <c r="BK78" s="912"/>
      <c r="BL78" s="166"/>
      <c r="BM78" s="910"/>
      <c r="BN78" s="911"/>
      <c r="BO78" s="911"/>
      <c r="BP78" s="911"/>
      <c r="BQ78" s="911"/>
      <c r="BR78" s="912"/>
      <c r="BS78" s="910"/>
      <c r="BT78" s="911"/>
      <c r="BU78" s="911"/>
      <c r="BV78" s="911"/>
      <c r="BW78" s="911"/>
      <c r="BX78" s="911"/>
      <c r="BY78" s="911"/>
      <c r="BZ78" s="911"/>
      <c r="CA78" s="1461"/>
      <c r="CB78" s="19"/>
      <c r="CC78" s="911"/>
      <c r="CD78" s="911"/>
      <c r="CE78" s="911"/>
      <c r="CF78" s="911"/>
      <c r="CG78" s="911"/>
      <c r="CH78" s="911"/>
      <c r="CI78" s="910"/>
      <c r="CJ78" s="911"/>
      <c r="CK78" s="911"/>
      <c r="CL78" s="911"/>
      <c r="CM78" s="911"/>
      <c r="CN78" s="911"/>
      <c r="CO78" s="911"/>
      <c r="CP78" s="912"/>
      <c r="CQ78" s="10" t="s">
        <v>370</v>
      </c>
      <c r="CX78" s="7"/>
    </row>
    <row r="79" spans="1:102" ht="14.25" customHeight="1">
      <c r="A79" s="7"/>
      <c r="B79" s="592" t="s">
        <v>273</v>
      </c>
      <c r="C79" s="22"/>
      <c r="D79" s="910"/>
      <c r="E79" s="911"/>
      <c r="F79" s="911"/>
      <c r="G79" s="912"/>
      <c r="H79" s="910"/>
      <c r="I79" s="911"/>
      <c r="J79" s="911"/>
      <c r="K79" s="912"/>
      <c r="L79" s="910"/>
      <c r="M79" s="911"/>
      <c r="N79" s="911"/>
      <c r="O79" s="912"/>
      <c r="P79" s="910"/>
      <c r="Q79" s="911"/>
      <c r="R79" s="911"/>
      <c r="S79" s="912"/>
      <c r="T79" s="910"/>
      <c r="U79" s="911"/>
      <c r="V79" s="911"/>
      <c r="W79" s="912"/>
      <c r="X79" s="910"/>
      <c r="Y79" s="911"/>
      <c r="Z79" s="911"/>
      <c r="AA79" s="912"/>
      <c r="AB79" s="910"/>
      <c r="AC79" s="911"/>
      <c r="AD79" s="911"/>
      <c r="AE79" s="912"/>
      <c r="AF79" s="910"/>
      <c r="AG79" s="911"/>
      <c r="AH79" s="911"/>
      <c r="AI79" s="912"/>
      <c r="AJ79" s="910"/>
      <c r="AK79" s="911"/>
      <c r="AL79" s="911"/>
      <c r="AM79" s="912"/>
      <c r="AN79" s="910"/>
      <c r="AO79" s="911"/>
      <c r="AP79" s="911"/>
      <c r="AQ79" s="912"/>
      <c r="AR79" s="910"/>
      <c r="AS79" s="911"/>
      <c r="AT79" s="911"/>
      <c r="AU79" s="912"/>
      <c r="AV79" s="910"/>
      <c r="AW79" s="911"/>
      <c r="AX79" s="911"/>
      <c r="AY79" s="912"/>
      <c r="AZ79" s="910"/>
      <c r="BA79" s="911"/>
      <c r="BB79" s="911"/>
      <c r="BC79" s="912"/>
      <c r="BD79" s="910"/>
      <c r="BE79" s="911"/>
      <c r="BF79" s="911"/>
      <c r="BG79" s="912"/>
      <c r="BH79" s="910"/>
      <c r="BI79" s="911"/>
      <c r="BJ79" s="911"/>
      <c r="BK79" s="912"/>
      <c r="BL79" s="166"/>
      <c r="BM79" s="910"/>
      <c r="BN79" s="911"/>
      <c r="BO79" s="911"/>
      <c r="BP79" s="911"/>
      <c r="BQ79" s="911"/>
      <c r="BR79" s="912"/>
      <c r="BS79" s="910"/>
      <c r="BT79" s="911"/>
      <c r="BU79" s="911"/>
      <c r="BV79" s="911"/>
      <c r="BW79" s="911"/>
      <c r="BX79" s="911"/>
      <c r="BY79" s="911"/>
      <c r="BZ79" s="911"/>
      <c r="CA79" s="1461"/>
      <c r="CB79" s="19"/>
      <c r="CC79" s="911"/>
      <c r="CD79" s="911"/>
      <c r="CE79" s="911"/>
      <c r="CF79" s="911"/>
      <c r="CG79" s="911"/>
      <c r="CH79" s="911"/>
      <c r="CI79" s="910"/>
      <c r="CJ79" s="911"/>
      <c r="CK79" s="911"/>
      <c r="CL79" s="911"/>
      <c r="CM79" s="911"/>
      <c r="CN79" s="911"/>
      <c r="CO79" s="911"/>
      <c r="CP79" s="912"/>
      <c r="CQ79" s="10"/>
      <c r="CX79" s="7"/>
    </row>
    <row r="80" spans="1:102" ht="14.25" customHeight="1">
      <c r="A80" s="7"/>
      <c r="B80" s="537" t="s">
        <v>274</v>
      </c>
      <c r="C80" s="594"/>
      <c r="D80" s="910">
        <f t="shared" ref="D80:AM80" si="391">D9+D10</f>
        <v>169</v>
      </c>
      <c r="E80" s="911">
        <f t="shared" si="391"/>
        <v>210</v>
      </c>
      <c r="F80" s="911">
        <f t="shared" si="391"/>
        <v>200</v>
      </c>
      <c r="G80" s="912">
        <f t="shared" si="391"/>
        <v>272</v>
      </c>
      <c r="H80" s="910">
        <f t="shared" si="391"/>
        <v>240</v>
      </c>
      <c r="I80" s="911">
        <f t="shared" si="391"/>
        <v>200</v>
      </c>
      <c r="J80" s="911">
        <f t="shared" si="391"/>
        <v>213</v>
      </c>
      <c r="K80" s="912">
        <f t="shared" si="391"/>
        <v>309</v>
      </c>
      <c r="L80" s="910">
        <f t="shared" si="391"/>
        <v>61</v>
      </c>
      <c r="M80" s="911">
        <f t="shared" si="391"/>
        <v>83</v>
      </c>
      <c r="N80" s="911">
        <f t="shared" si="391"/>
        <v>148</v>
      </c>
      <c r="O80" s="912">
        <f t="shared" si="391"/>
        <v>213</v>
      </c>
      <c r="P80" s="910">
        <f t="shared" si="391"/>
        <v>195</v>
      </c>
      <c r="Q80" s="911">
        <f t="shared" si="391"/>
        <v>241</v>
      </c>
      <c r="R80" s="911">
        <f t="shared" si="391"/>
        <v>254</v>
      </c>
      <c r="S80" s="912">
        <f t="shared" si="391"/>
        <v>472</v>
      </c>
      <c r="T80" s="910">
        <f t="shared" si="391"/>
        <v>144</v>
      </c>
      <c r="U80" s="911">
        <f t="shared" si="391"/>
        <v>256</v>
      </c>
      <c r="V80" s="911">
        <f t="shared" si="391"/>
        <v>367</v>
      </c>
      <c r="W80" s="912">
        <f t="shared" si="391"/>
        <v>561</v>
      </c>
      <c r="X80" s="910">
        <f t="shared" si="391"/>
        <v>363</v>
      </c>
      <c r="Y80" s="911">
        <f t="shared" si="391"/>
        <v>596</v>
      </c>
      <c r="Z80" s="911">
        <f t="shared" si="391"/>
        <v>704</v>
      </c>
      <c r="AA80" s="912">
        <f t="shared" si="391"/>
        <v>829</v>
      </c>
      <c r="AB80" s="910">
        <f t="shared" si="391"/>
        <v>819</v>
      </c>
      <c r="AC80" s="911">
        <f t="shared" si="391"/>
        <v>954</v>
      </c>
      <c r="AD80" s="911">
        <f t="shared" si="391"/>
        <v>973</v>
      </c>
      <c r="AE80" s="912">
        <f t="shared" si="391"/>
        <v>1084</v>
      </c>
      <c r="AF80" s="910">
        <f t="shared" si="391"/>
        <v>1151</v>
      </c>
      <c r="AG80" s="911">
        <f t="shared" si="391"/>
        <v>1219</v>
      </c>
      <c r="AH80" s="911">
        <f t="shared" si="391"/>
        <v>863</v>
      </c>
      <c r="AI80" s="912">
        <f t="shared" si="391"/>
        <v>985</v>
      </c>
      <c r="AJ80" s="910">
        <f t="shared" si="391"/>
        <v>1112</v>
      </c>
      <c r="AK80" s="911">
        <f t="shared" si="391"/>
        <v>1278</v>
      </c>
      <c r="AL80" s="911">
        <f>AL9+AL10</f>
        <v>1277</v>
      </c>
      <c r="AM80" s="912">
        <f t="shared" si="391"/>
        <v>1604</v>
      </c>
      <c r="AN80" s="910">
        <f t="shared" ref="AN80:AY80" si="392">AN9</f>
        <v>2569</v>
      </c>
      <c r="AO80" s="911">
        <f t="shared" si="392"/>
        <v>2508</v>
      </c>
      <c r="AP80" s="911">
        <f>AP9+AP10</f>
        <v>1354</v>
      </c>
      <c r="AQ80" s="912">
        <f t="shared" ref="AQ80" si="393">AQ9+AQ10</f>
        <v>1822</v>
      </c>
      <c r="AR80" s="910">
        <f t="shared" ref="AR80:AS80" si="394">AR9</f>
        <v>2169</v>
      </c>
      <c r="AS80" s="911">
        <f t="shared" si="394"/>
        <v>2041</v>
      </c>
      <c r="AT80" s="911">
        <f>AT9+AT10</f>
        <v>1961</v>
      </c>
      <c r="AU80" s="912">
        <f t="shared" ref="AU80" si="395">AU9+AU10</f>
        <v>3097</v>
      </c>
      <c r="AV80" s="910">
        <f t="shared" ref="AV80" si="396">AV9</f>
        <v>3536</v>
      </c>
      <c r="AW80" s="911">
        <f t="shared" si="392"/>
        <v>4254</v>
      </c>
      <c r="AX80" s="911">
        <f>AX9+AX10</f>
        <v>5449</v>
      </c>
      <c r="AY80" s="912">
        <f t="shared" si="392"/>
        <v>11204</v>
      </c>
      <c r="AZ80" s="910">
        <f t="shared" ref="AZ80:BC80" si="397">AZ9</f>
        <v>7076</v>
      </c>
      <c r="BA80" s="911">
        <f t="shared" si="397"/>
        <v>8493.9292086354435</v>
      </c>
      <c r="BB80" s="911">
        <f t="shared" si="397"/>
        <v>9832.6721551161918</v>
      </c>
      <c r="BC80" s="912">
        <f t="shared" si="397"/>
        <v>11265.97697017292</v>
      </c>
      <c r="BD80" s="910">
        <f t="shared" ref="BD80:BG80" si="398">BD9</f>
        <v>12680.111689689507</v>
      </c>
      <c r="BE80" s="911">
        <f t="shared" si="398"/>
        <v>13856.879013618694</v>
      </c>
      <c r="BF80" s="911">
        <f t="shared" si="398"/>
        <v>14923.528166631684</v>
      </c>
      <c r="BG80" s="912">
        <f t="shared" si="398"/>
        <v>16122.165717781805</v>
      </c>
      <c r="BH80" s="910">
        <f t="shared" ref="BH80:BK80" si="399">BH9</f>
        <v>17678.084422505282</v>
      </c>
      <c r="BI80" s="911">
        <f t="shared" si="399"/>
        <v>19076.5177957831</v>
      </c>
      <c r="BJ80" s="911">
        <f t="shared" si="399"/>
        <v>20325.231636744647</v>
      </c>
      <c r="BK80" s="912">
        <f t="shared" si="399"/>
        <v>21669.862414003255</v>
      </c>
      <c r="BL80" s="166"/>
      <c r="BM80" s="910">
        <f t="shared" ref="BM80:BX80" si="400">BM9</f>
        <v>272</v>
      </c>
      <c r="BN80" s="911">
        <f t="shared" si="400"/>
        <v>309</v>
      </c>
      <c r="BO80" s="911">
        <f t="shared" si="400"/>
        <v>213</v>
      </c>
      <c r="BP80" s="911">
        <f t="shared" si="400"/>
        <v>472</v>
      </c>
      <c r="BQ80" s="911">
        <f t="shared" si="400"/>
        <v>561</v>
      </c>
      <c r="BR80" s="912">
        <f t="shared" si="400"/>
        <v>829</v>
      </c>
      <c r="BS80" s="1294">
        <f t="shared" si="400"/>
        <v>1084</v>
      </c>
      <c r="BT80" s="1295">
        <f t="shared" si="400"/>
        <v>985</v>
      </c>
      <c r="BU80" s="1295">
        <f t="shared" si="400"/>
        <v>1604</v>
      </c>
      <c r="BV80" s="1295">
        <f t="shared" si="400"/>
        <v>1822</v>
      </c>
      <c r="BW80" s="1295">
        <f t="shared" si="400"/>
        <v>3097</v>
      </c>
      <c r="BX80" s="1295">
        <f t="shared" si="400"/>
        <v>11204</v>
      </c>
      <c r="BY80" s="1295">
        <f t="shared" ref="BY80:BZ80" si="401">BY9</f>
        <v>11265.97697017292</v>
      </c>
      <c r="BZ80" s="1295">
        <f t="shared" si="401"/>
        <v>16122.165717781805</v>
      </c>
      <c r="CA80" s="1462">
        <f t="shared" ref="CA80" si="402">CA9</f>
        <v>21669.862414003255</v>
      </c>
      <c r="CB80" s="1470"/>
      <c r="CC80" s="1295">
        <f t="shared" ref="CC80:CM80" si="403">CC9</f>
        <v>240</v>
      </c>
      <c r="CD80" s="1295">
        <f t="shared" si="403"/>
        <v>61</v>
      </c>
      <c r="CE80" s="1295">
        <f t="shared" si="403"/>
        <v>195</v>
      </c>
      <c r="CF80" s="1295">
        <f t="shared" si="403"/>
        <v>144</v>
      </c>
      <c r="CG80" s="1295">
        <f t="shared" si="403"/>
        <v>363</v>
      </c>
      <c r="CH80" s="1295">
        <f t="shared" si="403"/>
        <v>819</v>
      </c>
      <c r="CI80" s="1294">
        <f t="shared" si="403"/>
        <v>1151</v>
      </c>
      <c r="CJ80" s="1295">
        <f t="shared" si="403"/>
        <v>1112</v>
      </c>
      <c r="CK80" s="1295">
        <f t="shared" si="403"/>
        <v>2569</v>
      </c>
      <c r="CL80" s="1295">
        <f t="shared" si="403"/>
        <v>2169</v>
      </c>
      <c r="CM80" s="1295">
        <f t="shared" si="403"/>
        <v>3536</v>
      </c>
      <c r="CN80" s="1295">
        <f t="shared" ref="CN80:CO80" si="404">CN9</f>
        <v>7076</v>
      </c>
      <c r="CO80" s="1295">
        <f t="shared" si="404"/>
        <v>12680.111689689507</v>
      </c>
      <c r="CP80" s="1296">
        <f t="shared" ref="CP80" si="405">CP9</f>
        <v>17678.084422505282</v>
      </c>
      <c r="CQ80" s="10"/>
      <c r="CX80" s="7"/>
    </row>
    <row r="81" spans="1:102" ht="14.25" customHeight="1">
      <c r="A81" s="7"/>
      <c r="B81" s="597" t="s">
        <v>275</v>
      </c>
      <c r="C81" s="598"/>
      <c r="D81" s="910">
        <f t="shared" ref="D81:AN81" si="406">D28+D31</f>
        <v>1724</v>
      </c>
      <c r="E81" s="911">
        <f t="shared" si="406"/>
        <v>1249</v>
      </c>
      <c r="F81" s="911">
        <f t="shared" si="406"/>
        <v>1000</v>
      </c>
      <c r="G81" s="912">
        <f t="shared" si="406"/>
        <v>1000</v>
      </c>
      <c r="H81" s="910">
        <f t="shared" si="406"/>
        <v>1000</v>
      </c>
      <c r="I81" s="911">
        <f t="shared" si="406"/>
        <v>923</v>
      </c>
      <c r="J81" s="911">
        <f t="shared" si="406"/>
        <v>917</v>
      </c>
      <c r="K81" s="912">
        <f t="shared" si="406"/>
        <v>903</v>
      </c>
      <c r="L81" s="910">
        <f t="shared" si="406"/>
        <v>705</v>
      </c>
      <c r="M81" s="911">
        <f t="shared" si="406"/>
        <v>705</v>
      </c>
      <c r="N81" s="911">
        <f t="shared" si="406"/>
        <v>703</v>
      </c>
      <c r="O81" s="912">
        <f t="shared" si="406"/>
        <v>703</v>
      </c>
      <c r="P81" s="910">
        <f t="shared" si="406"/>
        <v>700</v>
      </c>
      <c r="Q81" s="911">
        <f t="shared" si="406"/>
        <v>700</v>
      </c>
      <c r="R81" s="911">
        <f t="shared" si="406"/>
        <v>700</v>
      </c>
      <c r="S81" s="912">
        <f t="shared" si="406"/>
        <v>594</v>
      </c>
      <c r="T81" s="910">
        <f t="shared" si="406"/>
        <v>230</v>
      </c>
      <c r="U81" s="911">
        <f t="shared" si="406"/>
        <v>230</v>
      </c>
      <c r="V81" s="911">
        <f t="shared" si="406"/>
        <v>230</v>
      </c>
      <c r="W81" s="912">
        <f t="shared" si="406"/>
        <v>230</v>
      </c>
      <c r="X81" s="910">
        <f t="shared" si="406"/>
        <v>0</v>
      </c>
      <c r="Y81" s="911">
        <f t="shared" si="406"/>
        <v>0</v>
      </c>
      <c r="Z81" s="911">
        <f t="shared" si="406"/>
        <v>0</v>
      </c>
      <c r="AA81" s="912">
        <f t="shared" si="406"/>
        <v>0</v>
      </c>
      <c r="AB81" s="910">
        <f t="shared" si="406"/>
        <v>0</v>
      </c>
      <c r="AC81" s="911">
        <f t="shared" si="406"/>
        <v>0</v>
      </c>
      <c r="AD81" s="911">
        <f t="shared" si="406"/>
        <v>0</v>
      </c>
      <c r="AE81" s="912">
        <f t="shared" si="406"/>
        <v>0</v>
      </c>
      <c r="AF81" s="910">
        <f t="shared" si="406"/>
        <v>0</v>
      </c>
      <c r="AG81" s="911">
        <f t="shared" si="406"/>
        <v>0</v>
      </c>
      <c r="AH81" s="911">
        <f t="shared" si="406"/>
        <v>0</v>
      </c>
      <c r="AI81" s="912">
        <f t="shared" si="406"/>
        <v>0</v>
      </c>
      <c r="AJ81" s="910">
        <f t="shared" si="406"/>
        <v>0</v>
      </c>
      <c r="AK81" s="911">
        <f t="shared" si="406"/>
        <v>0</v>
      </c>
      <c r="AL81" s="911">
        <f>AL28+AL31</f>
        <v>5518</v>
      </c>
      <c r="AM81" s="912">
        <f t="shared" si="406"/>
        <v>5509</v>
      </c>
      <c r="AN81" s="910">
        <f t="shared" si="406"/>
        <v>5500</v>
      </c>
      <c r="AO81" s="911">
        <f t="shared" ref="AO81:AY81" si="407">AO28+AO31</f>
        <v>4898</v>
      </c>
      <c r="AP81" s="911">
        <f>AP28+AP31</f>
        <v>3961</v>
      </c>
      <c r="AQ81" s="912">
        <f t="shared" ref="AQ81:AS81" si="408">AQ28+AQ31</f>
        <v>3949</v>
      </c>
      <c r="AR81" s="910">
        <f t="shared" si="408"/>
        <v>3938</v>
      </c>
      <c r="AS81" s="911">
        <f t="shared" si="408"/>
        <v>15008</v>
      </c>
      <c r="AT81" s="911">
        <f>AT28+AT31</f>
        <v>13715</v>
      </c>
      <c r="AU81" s="912">
        <f t="shared" ref="AU81:AV81" si="409">AU28+AU31</f>
        <v>13642</v>
      </c>
      <c r="AV81" s="910">
        <f t="shared" si="409"/>
        <v>13562</v>
      </c>
      <c r="AW81" s="911">
        <f t="shared" si="407"/>
        <v>13567</v>
      </c>
      <c r="AX81" s="911">
        <f>AX28+AX31</f>
        <v>13572</v>
      </c>
      <c r="AY81" s="912">
        <f t="shared" si="407"/>
        <v>17548</v>
      </c>
      <c r="AZ81" s="910">
        <f>AZ28+AZ31</f>
        <v>17592</v>
      </c>
      <c r="BA81" s="911">
        <f t="shared" ref="BA81:BC81" si="410">BA28+BA31</f>
        <v>17592</v>
      </c>
      <c r="BB81" s="911">
        <f t="shared" si="410"/>
        <v>17592</v>
      </c>
      <c r="BC81" s="912">
        <f t="shared" si="410"/>
        <v>17592</v>
      </c>
      <c r="BD81" s="910">
        <f>BD28+BD31</f>
        <v>17592</v>
      </c>
      <c r="BE81" s="911">
        <f t="shared" ref="BE81:BG81" si="411">BE28+BE31</f>
        <v>17592</v>
      </c>
      <c r="BF81" s="911">
        <f t="shared" si="411"/>
        <v>17592</v>
      </c>
      <c r="BG81" s="912">
        <f t="shared" si="411"/>
        <v>17592</v>
      </c>
      <c r="BH81" s="910">
        <f>BH28+BH31</f>
        <v>17592</v>
      </c>
      <c r="BI81" s="911">
        <f t="shared" ref="BI81:BK81" si="412">BI28+BI31</f>
        <v>17592</v>
      </c>
      <c r="BJ81" s="911">
        <f t="shared" si="412"/>
        <v>17592</v>
      </c>
      <c r="BK81" s="912">
        <f t="shared" si="412"/>
        <v>17592</v>
      </c>
      <c r="BL81" s="166"/>
      <c r="BM81" s="910"/>
      <c r="BN81" s="911"/>
      <c r="BO81" s="911"/>
      <c r="BP81" s="911"/>
      <c r="BQ81" s="911">
        <f>W81</f>
        <v>230</v>
      </c>
      <c r="BR81" s="912">
        <f>AA81</f>
        <v>0</v>
      </c>
      <c r="BS81" s="1294">
        <f>AE81</f>
        <v>0</v>
      </c>
      <c r="BT81" s="1295">
        <f>AI81</f>
        <v>0</v>
      </c>
      <c r="BU81" s="1295">
        <f>AM81</f>
        <v>5509</v>
      </c>
      <c r="BV81" s="1295">
        <f>AQ81</f>
        <v>3949</v>
      </c>
      <c r="BW81" s="1295">
        <f>AU81</f>
        <v>13642</v>
      </c>
      <c r="BX81" s="1295">
        <f>AY81</f>
        <v>17548</v>
      </c>
      <c r="BY81" s="1295">
        <f>BC81</f>
        <v>17592</v>
      </c>
      <c r="BZ81" s="1295">
        <f>BG81</f>
        <v>17592</v>
      </c>
      <c r="CA81" s="1462">
        <f>BK81</f>
        <v>17592</v>
      </c>
      <c r="CB81" s="1470"/>
      <c r="CC81" s="1295"/>
      <c r="CD81" s="1295"/>
      <c r="CE81" s="1295"/>
      <c r="CF81" s="1295"/>
      <c r="CG81" s="1295">
        <f>CG28+CG31</f>
        <v>0</v>
      </c>
      <c r="CH81" s="1295">
        <f t="shared" ref="CH81:CM81" si="413">CH28+CH31</f>
        <v>0</v>
      </c>
      <c r="CI81" s="1294">
        <f t="shared" si="413"/>
        <v>0</v>
      </c>
      <c r="CJ81" s="1295">
        <f t="shared" si="413"/>
        <v>0</v>
      </c>
      <c r="CK81" s="1295">
        <f t="shared" si="413"/>
        <v>5500</v>
      </c>
      <c r="CL81" s="1295">
        <f t="shared" si="413"/>
        <v>3938</v>
      </c>
      <c r="CM81" s="1295">
        <f t="shared" si="413"/>
        <v>13562</v>
      </c>
      <c r="CN81" s="1295">
        <f t="shared" ref="CN81:CO81" si="414">CN28+CN31</f>
        <v>17592</v>
      </c>
      <c r="CO81" s="1295">
        <f t="shared" si="414"/>
        <v>17592</v>
      </c>
      <c r="CP81" s="1296">
        <f t="shared" ref="CP81" si="415">CP28+CP31</f>
        <v>17592</v>
      </c>
      <c r="CQ81" s="10"/>
      <c r="CX81" s="7"/>
    </row>
    <row r="82" spans="1:102" ht="14.25" customHeight="1">
      <c r="A82" s="7"/>
      <c r="B82" s="537" t="s">
        <v>273</v>
      </c>
      <c r="C82" s="594"/>
      <c r="D82" s="910">
        <f t="shared" ref="D82:AM82" si="416">+D80-D81</f>
        <v>-1555</v>
      </c>
      <c r="E82" s="911">
        <f t="shared" si="416"/>
        <v>-1039</v>
      </c>
      <c r="F82" s="911">
        <f t="shared" si="416"/>
        <v>-800</v>
      </c>
      <c r="G82" s="912">
        <f t="shared" si="416"/>
        <v>-728</v>
      </c>
      <c r="H82" s="910">
        <f t="shared" si="416"/>
        <v>-760</v>
      </c>
      <c r="I82" s="911">
        <f t="shared" si="416"/>
        <v>-723</v>
      </c>
      <c r="J82" s="911">
        <f t="shared" si="416"/>
        <v>-704</v>
      </c>
      <c r="K82" s="912">
        <f t="shared" si="416"/>
        <v>-594</v>
      </c>
      <c r="L82" s="910">
        <f t="shared" si="416"/>
        <v>-644</v>
      </c>
      <c r="M82" s="911">
        <f t="shared" si="416"/>
        <v>-622</v>
      </c>
      <c r="N82" s="911">
        <f t="shared" si="416"/>
        <v>-555</v>
      </c>
      <c r="O82" s="912">
        <f t="shared" si="416"/>
        <v>-490</v>
      </c>
      <c r="P82" s="910">
        <f t="shared" si="416"/>
        <v>-505</v>
      </c>
      <c r="Q82" s="911">
        <f t="shared" si="416"/>
        <v>-459</v>
      </c>
      <c r="R82" s="911">
        <f t="shared" si="416"/>
        <v>-446</v>
      </c>
      <c r="S82" s="912">
        <f t="shared" si="416"/>
        <v>-122</v>
      </c>
      <c r="T82" s="910">
        <f t="shared" si="416"/>
        <v>-86</v>
      </c>
      <c r="U82" s="911">
        <f t="shared" si="416"/>
        <v>26</v>
      </c>
      <c r="V82" s="911">
        <f t="shared" si="416"/>
        <v>137</v>
      </c>
      <c r="W82" s="912">
        <f t="shared" si="416"/>
        <v>331</v>
      </c>
      <c r="X82" s="910">
        <f t="shared" si="416"/>
        <v>363</v>
      </c>
      <c r="Y82" s="911">
        <f t="shared" si="416"/>
        <v>596</v>
      </c>
      <c r="Z82" s="911">
        <f t="shared" si="416"/>
        <v>704</v>
      </c>
      <c r="AA82" s="912">
        <f t="shared" si="416"/>
        <v>829</v>
      </c>
      <c r="AB82" s="910">
        <f t="shared" si="416"/>
        <v>819</v>
      </c>
      <c r="AC82" s="911">
        <f t="shared" si="416"/>
        <v>954</v>
      </c>
      <c r="AD82" s="911">
        <f t="shared" si="416"/>
        <v>973</v>
      </c>
      <c r="AE82" s="912">
        <f t="shared" si="416"/>
        <v>1084</v>
      </c>
      <c r="AF82" s="910">
        <f t="shared" si="416"/>
        <v>1151</v>
      </c>
      <c r="AG82" s="911">
        <f t="shared" si="416"/>
        <v>1219</v>
      </c>
      <c r="AH82" s="911">
        <f t="shared" si="416"/>
        <v>863</v>
      </c>
      <c r="AI82" s="912">
        <f t="shared" si="416"/>
        <v>985</v>
      </c>
      <c r="AJ82" s="910">
        <f t="shared" si="416"/>
        <v>1112</v>
      </c>
      <c r="AK82" s="911">
        <f t="shared" si="416"/>
        <v>1278</v>
      </c>
      <c r="AL82" s="911">
        <f>+AL80-AL81</f>
        <v>-4241</v>
      </c>
      <c r="AM82" s="912">
        <f t="shared" si="416"/>
        <v>-3905</v>
      </c>
      <c r="AN82" s="910">
        <f>+AN80-AN81</f>
        <v>-2931</v>
      </c>
      <c r="AO82" s="911">
        <f>+AO80-AO81</f>
        <v>-2390</v>
      </c>
      <c r="AP82" s="911">
        <f>+AP80-AP81</f>
        <v>-2607</v>
      </c>
      <c r="AQ82" s="912">
        <f t="shared" ref="AQ82" si="417">+AQ80-AQ81</f>
        <v>-2127</v>
      </c>
      <c r="AR82" s="910">
        <f>+AR80-AR81</f>
        <v>-1769</v>
      </c>
      <c r="AS82" s="911">
        <f>+AS80-AS81</f>
        <v>-12967</v>
      </c>
      <c r="AT82" s="911">
        <f>+AT80-AT81</f>
        <v>-11754</v>
      </c>
      <c r="AU82" s="912">
        <f t="shared" ref="AU82" si="418">+AU80-AU81</f>
        <v>-10545</v>
      </c>
      <c r="AV82" s="910">
        <f>+AV80-AV81</f>
        <v>-10026</v>
      </c>
      <c r="AW82" s="911">
        <f t="shared" ref="AW82:AY82" si="419">+AW80-AW81</f>
        <v>-9313</v>
      </c>
      <c r="AX82" s="911">
        <f>+AX80-AX81</f>
        <v>-8123</v>
      </c>
      <c r="AY82" s="912">
        <f t="shared" si="419"/>
        <v>-6344</v>
      </c>
      <c r="AZ82" s="910">
        <f t="shared" ref="AZ82:BC82" si="420">+AZ80-AZ81</f>
        <v>-10516</v>
      </c>
      <c r="BA82" s="911">
        <f t="shared" si="420"/>
        <v>-9098.0707913645565</v>
      </c>
      <c r="BB82" s="911">
        <f t="shared" si="420"/>
        <v>-7759.3278448838082</v>
      </c>
      <c r="BC82" s="912">
        <f t="shared" si="420"/>
        <v>-6326.0230298270799</v>
      </c>
      <c r="BD82" s="910">
        <f t="shared" ref="BD82:BG82" si="421">+BD80-BD81</f>
        <v>-4911.8883103104927</v>
      </c>
      <c r="BE82" s="911">
        <f t="shared" si="421"/>
        <v>-3735.1209863813056</v>
      </c>
      <c r="BF82" s="911">
        <f t="shared" si="421"/>
        <v>-2668.4718333683159</v>
      </c>
      <c r="BG82" s="912">
        <f t="shared" si="421"/>
        <v>-1469.8342822181949</v>
      </c>
      <c r="BH82" s="910">
        <f t="shared" ref="BH82:BK82" si="422">+BH80-BH81</f>
        <v>86.084422505282419</v>
      </c>
      <c r="BI82" s="911">
        <f t="shared" si="422"/>
        <v>1484.5177957831002</v>
      </c>
      <c r="BJ82" s="911">
        <f t="shared" si="422"/>
        <v>2733.2316367446474</v>
      </c>
      <c r="BK82" s="912">
        <f t="shared" si="422"/>
        <v>4077.8624140032553</v>
      </c>
      <c r="BL82" s="166"/>
      <c r="BM82" s="910"/>
      <c r="BN82" s="911"/>
      <c r="BO82" s="911"/>
      <c r="BP82" s="911"/>
      <c r="BQ82" s="911">
        <f t="shared" ref="BQ82:BW82" si="423">+BQ80-BQ81</f>
        <v>331</v>
      </c>
      <c r="BR82" s="912">
        <f t="shared" si="423"/>
        <v>829</v>
      </c>
      <c r="BS82" s="1294">
        <f t="shared" si="423"/>
        <v>1084</v>
      </c>
      <c r="BT82" s="1295">
        <f t="shared" si="423"/>
        <v>985</v>
      </c>
      <c r="BU82" s="1295">
        <f t="shared" si="423"/>
        <v>-3905</v>
      </c>
      <c r="BV82" s="1295">
        <f t="shared" si="423"/>
        <v>-2127</v>
      </c>
      <c r="BW82" s="1295">
        <f t="shared" si="423"/>
        <v>-10545</v>
      </c>
      <c r="BX82" s="1295">
        <f>+BX80-BX81</f>
        <v>-6344</v>
      </c>
      <c r="BY82" s="1295">
        <f>+BY80-BY81</f>
        <v>-6326.0230298270799</v>
      </c>
      <c r="BZ82" s="1295">
        <f>+BZ80-BZ81</f>
        <v>-1469.8342822181949</v>
      </c>
      <c r="CA82" s="1462">
        <f>+CA80-CA81</f>
        <v>4077.8624140032553</v>
      </c>
      <c r="CB82" s="1470"/>
      <c r="CC82" s="1295"/>
      <c r="CD82" s="1295"/>
      <c r="CE82" s="1295"/>
      <c r="CF82" s="1295"/>
      <c r="CG82" s="1295">
        <f t="shared" ref="CG82:CL82" si="424">+CG80-CG81</f>
        <v>363</v>
      </c>
      <c r="CH82" s="1295">
        <f t="shared" si="424"/>
        <v>819</v>
      </c>
      <c r="CI82" s="1294">
        <f t="shared" si="424"/>
        <v>1151</v>
      </c>
      <c r="CJ82" s="1295">
        <f t="shared" si="424"/>
        <v>1112</v>
      </c>
      <c r="CK82" s="1295">
        <f t="shared" si="424"/>
        <v>-2931</v>
      </c>
      <c r="CL82" s="1295">
        <f t="shared" si="424"/>
        <v>-1769</v>
      </c>
      <c r="CM82" s="1295">
        <f>+CM80-CM81</f>
        <v>-10026</v>
      </c>
      <c r="CN82" s="1295">
        <f>+CN80-CN81</f>
        <v>-10516</v>
      </c>
      <c r="CO82" s="1295">
        <f t="shared" ref="CO82:CP82" si="425">+CO80-CO81</f>
        <v>-4911.8883103104927</v>
      </c>
      <c r="CP82" s="1296">
        <f t="shared" si="425"/>
        <v>86.084422505282419</v>
      </c>
      <c r="CQ82" s="10"/>
      <c r="CX82" s="7"/>
    </row>
    <row r="83" spans="1:102" ht="14.25" customHeight="1">
      <c r="A83" s="7"/>
      <c r="B83" s="592" t="s">
        <v>276</v>
      </c>
      <c r="C83" s="868"/>
      <c r="D83" s="913">
        <f t="shared" ref="D83:AM83" si="426">+D82/D72</f>
        <v>-7.300469483568075</v>
      </c>
      <c r="E83" s="914">
        <f t="shared" si="426"/>
        <v>-4.8779342723004691</v>
      </c>
      <c r="F83" s="914">
        <f t="shared" si="426"/>
        <v>-3.755868544600939</v>
      </c>
      <c r="G83" s="915">
        <f t="shared" si="426"/>
        <v>-3.4178403755868545</v>
      </c>
      <c r="H83" s="913">
        <f t="shared" si="426"/>
        <v>-3.5514018691588785</v>
      </c>
      <c r="I83" s="914">
        <f t="shared" si="426"/>
        <v>-3.3785046728971961</v>
      </c>
      <c r="J83" s="914">
        <f t="shared" si="426"/>
        <v>-3.2897196261682242</v>
      </c>
      <c r="K83" s="915">
        <f t="shared" si="426"/>
        <v>-2.7757009345794392</v>
      </c>
      <c r="L83" s="913">
        <f t="shared" si="426"/>
        <v>-2.9406392694063928</v>
      </c>
      <c r="M83" s="914">
        <f t="shared" si="426"/>
        <v>-2.8401826484018264</v>
      </c>
      <c r="N83" s="914">
        <f t="shared" si="426"/>
        <v>-2.5342465753424657</v>
      </c>
      <c r="O83" s="915">
        <f t="shared" si="426"/>
        <v>-2.2374429223744294</v>
      </c>
      <c r="P83" s="913">
        <f t="shared" si="426"/>
        <v>-2.3059360730593608</v>
      </c>
      <c r="Q83" s="914">
        <f t="shared" si="426"/>
        <v>-2.1448598130841123</v>
      </c>
      <c r="R83" s="914">
        <f t="shared" si="426"/>
        <v>-2.0458715596330275</v>
      </c>
      <c r="S83" s="915">
        <f t="shared" si="426"/>
        <v>-0.51914893617021274</v>
      </c>
      <c r="T83" s="913">
        <f t="shared" si="426"/>
        <v>-0.35245901639344263</v>
      </c>
      <c r="U83" s="914">
        <f t="shared" si="426"/>
        <v>0.10569105691056911</v>
      </c>
      <c r="V83" s="914">
        <f t="shared" si="426"/>
        <v>0.55465587044534415</v>
      </c>
      <c r="W83" s="915">
        <f t="shared" si="426"/>
        <v>1.3346774193548387</v>
      </c>
      <c r="X83" s="913">
        <f t="shared" si="426"/>
        <v>1.452</v>
      </c>
      <c r="Y83" s="914">
        <f t="shared" si="426"/>
        <v>2.3650793650793651</v>
      </c>
      <c r="Z83" s="914">
        <f t="shared" si="426"/>
        <v>2.7826086956521738</v>
      </c>
      <c r="AA83" s="915">
        <f t="shared" si="426"/>
        <v>3.2896825396825395</v>
      </c>
      <c r="AB83" s="913">
        <f t="shared" si="426"/>
        <v>3.2759999999999998</v>
      </c>
      <c r="AC83" s="914">
        <f t="shared" si="426"/>
        <v>3.8159999999999998</v>
      </c>
      <c r="AD83" s="914">
        <f t="shared" si="426"/>
        <v>3.8919999999999999</v>
      </c>
      <c r="AE83" s="915">
        <f t="shared" si="426"/>
        <v>4.3360000000000003</v>
      </c>
      <c r="AF83" s="913">
        <f t="shared" si="426"/>
        <v>4.5856573705179287</v>
      </c>
      <c r="AG83" s="914">
        <f t="shared" si="426"/>
        <v>4.837301587301587</v>
      </c>
      <c r="AH83" s="914">
        <f t="shared" si="426"/>
        <v>3.4246031746031744</v>
      </c>
      <c r="AI83" s="915">
        <f t="shared" si="426"/>
        <v>3.8932806324110674</v>
      </c>
      <c r="AJ83" s="913">
        <f t="shared" si="426"/>
        <v>4.3607843137254898</v>
      </c>
      <c r="AK83" s="914">
        <f t="shared" si="426"/>
        <v>4.9534883720930232</v>
      </c>
      <c r="AL83" s="914">
        <f>+AL82/AL72</f>
        <v>-16.829365079365079</v>
      </c>
      <c r="AM83" s="915">
        <f t="shared" si="426"/>
        <v>-14.356617647058824</v>
      </c>
      <c r="AN83" s="913">
        <f>+AN82/AN72</f>
        <v>-10.543165467625899</v>
      </c>
      <c r="AO83" s="914">
        <f>+AO82/AO72</f>
        <v>-8.4154929577464781</v>
      </c>
      <c r="AP83" s="914">
        <f>+AP82/AP72</f>
        <v>-9.0836236933797903</v>
      </c>
      <c r="AQ83" s="915">
        <f t="shared" ref="AQ83" si="427">+AQ82/AQ72</f>
        <v>-7.4111498257839719</v>
      </c>
      <c r="AR83" s="913">
        <f>+AR82/AR72</f>
        <v>-6.1211072664359865</v>
      </c>
      <c r="AS83" s="1094">
        <f>+AS82/AS72</f>
        <v>-31.245783132530121</v>
      </c>
      <c r="AT83" s="1094">
        <f>+AT82/AT72</f>
        <v>-28.052505966587113</v>
      </c>
      <c r="AU83" s="915">
        <f t="shared" ref="AU83" si="428">+AU82/AU72</f>
        <v>-25.047505938242281</v>
      </c>
      <c r="AV83" s="913">
        <f>+AV82/AV72</f>
        <v>-22.838268792710707</v>
      </c>
      <c r="AW83" s="914">
        <f t="shared" ref="AW83:AY83" si="429">+AW82/AW72</f>
        <v>-21.070135746606336</v>
      </c>
      <c r="AX83" s="1094">
        <f>+AX82/AX72</f>
        <v>-18.253932584269663</v>
      </c>
      <c r="AY83" s="915">
        <f t="shared" si="429"/>
        <v>-14.962264150943396</v>
      </c>
      <c r="AZ83" s="913">
        <f t="shared" ref="AZ83:BC83" si="430">+AZ82/AZ72</f>
        <v>-24.685446009389672</v>
      </c>
      <c r="BA83" s="954">
        <f t="shared" si="430"/>
        <v>-21.207624222295003</v>
      </c>
      <c r="BB83" s="954">
        <f t="shared" si="430"/>
        <v>-18.065955401359275</v>
      </c>
      <c r="BC83" s="915">
        <f t="shared" si="430"/>
        <v>-14.71168146471414</v>
      </c>
      <c r="BD83" s="913">
        <f t="shared" ref="BD83:BG83" si="431">+BD82/BD72</f>
        <v>-11.409728943810668</v>
      </c>
      <c r="BE83" s="1094">
        <f t="shared" si="431"/>
        <v>-8.6661739823232153</v>
      </c>
      <c r="BF83" s="1094">
        <f t="shared" si="431"/>
        <v>-6.1841757436113927</v>
      </c>
      <c r="BG83" s="915">
        <f t="shared" si="431"/>
        <v>-3.4023941718013768</v>
      </c>
      <c r="BH83" s="913">
        <f t="shared" ref="BH83:BK83" si="432">+BH82/BH72</f>
        <v>0.19903912717984373</v>
      </c>
      <c r="BI83" s="1094">
        <f t="shared" si="432"/>
        <v>3.4284475653189381</v>
      </c>
      <c r="BJ83" s="1094">
        <f t="shared" si="432"/>
        <v>6.3050326107142958</v>
      </c>
      <c r="BK83" s="915">
        <f t="shared" si="432"/>
        <v>9.3959963456296212</v>
      </c>
      <c r="BL83" s="166"/>
      <c r="BM83" s="913"/>
      <c r="BN83" s="914"/>
      <c r="BO83" s="914"/>
      <c r="BP83" s="914"/>
      <c r="BQ83" s="914">
        <f t="shared" ref="BQ83:BW83" si="433">+BQ82/BQ72</f>
        <v>1.3441624365482234</v>
      </c>
      <c r="BR83" s="915">
        <f t="shared" si="433"/>
        <v>3.2929493545183712</v>
      </c>
      <c r="BS83" s="913">
        <f t="shared" si="433"/>
        <v>4.3360000000000003</v>
      </c>
      <c r="BT83" s="1094">
        <f t="shared" si="433"/>
        <v>3.9087301587301586</v>
      </c>
      <c r="BU83" s="1094">
        <f t="shared" si="433"/>
        <v>-15.06268081002893</v>
      </c>
      <c r="BV83" s="1094">
        <f t="shared" si="433"/>
        <v>-7.48943661971831</v>
      </c>
      <c r="BW83" s="1094">
        <f t="shared" si="433"/>
        <v>-27.318652849740932</v>
      </c>
      <c r="BX83" s="1094">
        <f>+BX82/BX72</f>
        <v>-14.500571428571428</v>
      </c>
      <c r="BY83" s="1094">
        <f>+BY82/BY72</f>
        <v>-14.758875543486917</v>
      </c>
      <c r="BZ83" s="1094">
        <f>+BZ82/BZ72</f>
        <v>-3.4083113790566837</v>
      </c>
      <c r="CA83" s="1464">
        <f>+CA82/CA72</f>
        <v>9.4122617749642359</v>
      </c>
      <c r="CB83" s="19"/>
      <c r="CC83" s="914"/>
      <c r="CD83" s="914"/>
      <c r="CE83" s="914"/>
      <c r="CF83" s="914"/>
      <c r="CG83" s="914">
        <f t="shared" ref="CG83:CL83" si="434">+CG82/CG72</f>
        <v>1.4651866801210898</v>
      </c>
      <c r="CH83" s="914">
        <f t="shared" si="434"/>
        <v>3.2532274081429988</v>
      </c>
      <c r="CI83" s="913">
        <f t="shared" si="434"/>
        <v>4.5994005994005995</v>
      </c>
      <c r="CJ83" s="914">
        <f t="shared" si="434"/>
        <v>4.3952569169960478</v>
      </c>
      <c r="CK83" s="914">
        <f t="shared" si="434"/>
        <v>-11.060377358490566</v>
      </c>
      <c r="CL83" s="914">
        <f t="shared" si="434"/>
        <v>-6.1691368788142977</v>
      </c>
      <c r="CM83" s="954">
        <f>+CM82/CM72</f>
        <v>-23.674144037780401</v>
      </c>
      <c r="CN83" s="1094">
        <f>+CN82/CN72</f>
        <v>-24.216465169833047</v>
      </c>
      <c r="CO83" s="1094">
        <f>+CO82/CO72</f>
        <v>-11.429641210728313</v>
      </c>
      <c r="CP83" s="915">
        <f>+CP82/CP72</f>
        <v>0.19938488130928181</v>
      </c>
      <c r="CQ83" s="10"/>
      <c r="CX83" s="7"/>
    </row>
    <row r="84" spans="1:102" ht="14.25" customHeight="1">
      <c r="A84" s="7"/>
      <c r="B84" s="595"/>
      <c r="C84" s="596"/>
      <c r="D84" s="910"/>
      <c r="E84" s="866"/>
      <c r="F84" s="866"/>
      <c r="G84" s="867"/>
      <c r="H84" s="910"/>
      <c r="I84" s="866"/>
      <c r="J84" s="866"/>
      <c r="K84" s="867"/>
      <c r="L84" s="910"/>
      <c r="M84" s="866"/>
      <c r="N84" s="866"/>
      <c r="O84" s="867"/>
      <c r="P84" s="910"/>
      <c r="Q84" s="866"/>
      <c r="R84" s="866"/>
      <c r="S84" s="867"/>
      <c r="T84" s="910"/>
      <c r="U84" s="866"/>
      <c r="V84" s="866"/>
      <c r="W84" s="867"/>
      <c r="X84" s="910"/>
      <c r="Y84" s="866"/>
      <c r="Z84" s="866"/>
      <c r="AA84" s="867"/>
      <c r="AB84" s="910"/>
      <c r="AC84" s="866"/>
      <c r="AD84" s="866"/>
      <c r="AE84" s="867"/>
      <c r="AF84" s="910"/>
      <c r="AG84" s="866"/>
      <c r="AH84" s="866"/>
      <c r="AI84" s="867"/>
      <c r="AJ84" s="910"/>
      <c r="AK84" s="866"/>
      <c r="AL84" s="866"/>
      <c r="AM84" s="867"/>
      <c r="AN84" s="910"/>
      <c r="AO84" s="866"/>
      <c r="AP84" s="866"/>
      <c r="AQ84" s="867"/>
      <c r="AR84" s="910"/>
      <c r="AS84" s="866"/>
      <c r="AT84" s="866"/>
      <c r="AU84" s="867"/>
      <c r="AV84" s="910"/>
      <c r="AW84" s="866"/>
      <c r="AX84" s="866"/>
      <c r="AY84" s="867"/>
      <c r="AZ84" s="910"/>
      <c r="BA84" s="866"/>
      <c r="BB84" s="866"/>
      <c r="BC84" s="867"/>
      <c r="BD84" s="910"/>
      <c r="BE84" s="866"/>
      <c r="BF84" s="866"/>
      <c r="BG84" s="867"/>
      <c r="BH84" s="910"/>
      <c r="BI84" s="866"/>
      <c r="BJ84" s="866"/>
      <c r="BK84" s="867"/>
      <c r="BL84" s="166"/>
      <c r="BM84" s="869"/>
      <c r="BN84" s="866"/>
      <c r="BO84" s="866"/>
      <c r="BP84" s="866"/>
      <c r="BQ84" s="866"/>
      <c r="BR84" s="867"/>
      <c r="BS84" s="869"/>
      <c r="BT84" s="866"/>
      <c r="BU84" s="866"/>
      <c r="BV84" s="866"/>
      <c r="BW84" s="866"/>
      <c r="BX84" s="866"/>
      <c r="BY84" s="866"/>
      <c r="BZ84" s="866"/>
      <c r="CA84" s="1463"/>
      <c r="CB84" s="19"/>
      <c r="CC84" s="866"/>
      <c r="CD84" s="866"/>
      <c r="CE84" s="866"/>
      <c r="CF84" s="866"/>
      <c r="CG84" s="866"/>
      <c r="CH84" s="866"/>
      <c r="CI84" s="869"/>
      <c r="CJ84" s="866"/>
      <c r="CK84" s="866"/>
      <c r="CL84" s="866"/>
      <c r="CM84" s="866"/>
      <c r="CN84" s="866"/>
      <c r="CO84" s="866"/>
      <c r="CP84" s="867"/>
      <c r="CQ84" s="10"/>
      <c r="CX84" s="7"/>
    </row>
    <row r="85" spans="1:102" ht="14.25" customHeight="1">
      <c r="A85" s="7"/>
      <c r="B85" s="599" t="s">
        <v>64</v>
      </c>
      <c r="C85" s="600"/>
      <c r="D85" s="916">
        <f t="shared" ref="D85:AY85" si="435">D14-D29</f>
        <v>109</v>
      </c>
      <c r="E85" s="917">
        <f t="shared" si="435"/>
        <v>345</v>
      </c>
      <c r="F85" s="917">
        <f t="shared" si="435"/>
        <v>356</v>
      </c>
      <c r="G85" s="918">
        <f t="shared" si="435"/>
        <v>322</v>
      </c>
      <c r="H85" s="916">
        <f t="shared" si="435"/>
        <v>395</v>
      </c>
      <c r="I85" s="917">
        <f t="shared" si="435"/>
        <v>365</v>
      </c>
      <c r="J85" s="917">
        <f t="shared" si="435"/>
        <v>363</v>
      </c>
      <c r="K85" s="918">
        <f t="shared" si="435"/>
        <v>396</v>
      </c>
      <c r="L85" s="916">
        <f t="shared" si="435"/>
        <v>197</v>
      </c>
      <c r="M85" s="917">
        <f t="shared" si="435"/>
        <v>232</v>
      </c>
      <c r="N85" s="917">
        <f t="shared" si="435"/>
        <v>302</v>
      </c>
      <c r="O85" s="918">
        <f t="shared" si="435"/>
        <v>291</v>
      </c>
      <c r="P85" s="916">
        <f t="shared" si="435"/>
        <v>322</v>
      </c>
      <c r="Q85" s="917">
        <f t="shared" si="435"/>
        <v>333</v>
      </c>
      <c r="R85" s="917">
        <f t="shared" si="435"/>
        <v>365</v>
      </c>
      <c r="S85" s="918">
        <f t="shared" si="435"/>
        <v>231</v>
      </c>
      <c r="T85" s="916">
        <f t="shared" si="435"/>
        <v>309</v>
      </c>
      <c r="U85" s="917">
        <f t="shared" si="435"/>
        <v>446</v>
      </c>
      <c r="V85" s="917">
        <f t="shared" si="435"/>
        <v>588</v>
      </c>
      <c r="W85" s="918">
        <f t="shared" si="435"/>
        <v>522</v>
      </c>
      <c r="X85" s="916">
        <f t="shared" si="435"/>
        <v>673</v>
      </c>
      <c r="Y85" s="917">
        <f t="shared" si="435"/>
        <v>832</v>
      </c>
      <c r="Z85" s="917">
        <f t="shared" si="435"/>
        <v>918</v>
      </c>
      <c r="AA85" s="918">
        <f t="shared" si="435"/>
        <v>1043</v>
      </c>
      <c r="AB85" s="916">
        <f t="shared" si="435"/>
        <v>1058</v>
      </c>
      <c r="AC85" s="917">
        <f t="shared" si="435"/>
        <v>1152</v>
      </c>
      <c r="AD85" s="917">
        <f t="shared" si="435"/>
        <v>1239</v>
      </c>
      <c r="AE85" s="918">
        <f t="shared" si="435"/>
        <v>1345</v>
      </c>
      <c r="AF85" s="916">
        <f t="shared" si="435"/>
        <v>1436</v>
      </c>
      <c r="AG85" s="917">
        <f t="shared" si="435"/>
        <v>1488</v>
      </c>
      <c r="AH85" s="917">
        <f t="shared" si="435"/>
        <v>1261</v>
      </c>
      <c r="AI85" s="918">
        <f t="shared" si="435"/>
        <v>1395</v>
      </c>
      <c r="AJ85" s="916">
        <f t="shared" si="435"/>
        <v>1495</v>
      </c>
      <c r="AK85" s="917">
        <f t="shared" si="435"/>
        <v>1618</v>
      </c>
      <c r="AL85" s="917">
        <f>AL14-AL29</f>
        <v>2900</v>
      </c>
      <c r="AM85" s="918">
        <f t="shared" si="435"/>
        <v>2795</v>
      </c>
      <c r="AN85" s="916">
        <f t="shared" si="435"/>
        <v>3253</v>
      </c>
      <c r="AO85" s="917">
        <f t="shared" si="435"/>
        <v>3170</v>
      </c>
      <c r="AP85" s="917">
        <f>AP14-AP29</f>
        <v>2217</v>
      </c>
      <c r="AQ85" s="918">
        <f t="shared" ref="AQ85:AS85" si="436">AQ14-AQ29</f>
        <v>2656</v>
      </c>
      <c r="AR85" s="916">
        <f t="shared" si="436"/>
        <v>3109</v>
      </c>
      <c r="AS85" s="917">
        <f t="shared" si="436"/>
        <v>4036</v>
      </c>
      <c r="AT85" s="917">
        <f>AT14-AT29</f>
        <v>3320</v>
      </c>
      <c r="AU85" s="918">
        <f t="shared" ref="AU85:AV85" si="437">AU14-AU29</f>
        <v>3516</v>
      </c>
      <c r="AV85" s="916">
        <f t="shared" si="437"/>
        <v>5228</v>
      </c>
      <c r="AW85" s="917">
        <f t="shared" si="435"/>
        <v>6416</v>
      </c>
      <c r="AX85" s="917">
        <f>AX14-AX29</f>
        <v>7725</v>
      </c>
      <c r="AY85" s="918">
        <f t="shared" si="435"/>
        <v>13345</v>
      </c>
      <c r="AZ85" s="916">
        <f t="shared" ref="AZ85:BC85" si="438">AZ14-AZ29</f>
        <v>9250</v>
      </c>
      <c r="BA85" s="917">
        <f t="shared" si="438"/>
        <v>10604.894226191</v>
      </c>
      <c r="BB85" s="917">
        <f t="shared" si="438"/>
        <v>11954.9159187273</v>
      </c>
      <c r="BC85" s="918">
        <f t="shared" si="438"/>
        <v>13477.452658626897</v>
      </c>
      <c r="BD85" s="916">
        <f t="shared" ref="BD85:BG85" si="439">BD14-BD29</f>
        <v>14604.471599410341</v>
      </c>
      <c r="BE85" s="917">
        <f t="shared" si="439"/>
        <v>15680.876940419495</v>
      </c>
      <c r="BF85" s="917">
        <f t="shared" si="439"/>
        <v>16910.288642616484</v>
      </c>
      <c r="BG85" s="918">
        <f t="shared" si="439"/>
        <v>18399.222730960715</v>
      </c>
      <c r="BH85" s="916">
        <f t="shared" ref="BH85:BK85" si="440">BH14-BH29</f>
        <v>19772.108081546106</v>
      </c>
      <c r="BI85" s="917">
        <f t="shared" si="440"/>
        <v>21017.512912801078</v>
      </c>
      <c r="BJ85" s="917">
        <f t="shared" si="440"/>
        <v>22375.290235839337</v>
      </c>
      <c r="BK85" s="918">
        <f t="shared" si="440"/>
        <v>23898.96507733106</v>
      </c>
      <c r="BL85" s="166"/>
      <c r="BM85" s="916">
        <f t="shared" ref="BM85:BX85" si="441">BM14-BM29</f>
        <v>322</v>
      </c>
      <c r="BN85" s="917">
        <f t="shared" si="441"/>
        <v>396</v>
      </c>
      <c r="BO85" s="917">
        <f t="shared" si="441"/>
        <v>291</v>
      </c>
      <c r="BP85" s="917">
        <f t="shared" si="441"/>
        <v>231</v>
      </c>
      <c r="BQ85" s="917">
        <f t="shared" si="441"/>
        <v>522</v>
      </c>
      <c r="BR85" s="918">
        <f t="shared" si="441"/>
        <v>1043</v>
      </c>
      <c r="BS85" s="916">
        <f t="shared" si="441"/>
        <v>1345</v>
      </c>
      <c r="BT85" s="917">
        <f t="shared" si="441"/>
        <v>1395</v>
      </c>
      <c r="BU85" s="917">
        <f t="shared" si="441"/>
        <v>2795</v>
      </c>
      <c r="BV85" s="917">
        <f t="shared" si="441"/>
        <v>2656</v>
      </c>
      <c r="BW85" s="917">
        <f t="shared" si="441"/>
        <v>3516</v>
      </c>
      <c r="BX85" s="917">
        <f t="shared" si="441"/>
        <v>13345</v>
      </c>
      <c r="BY85" s="917">
        <f t="shared" ref="BY85:BZ85" si="442">BY14-BY29</f>
        <v>13477.452658626897</v>
      </c>
      <c r="BZ85" s="917">
        <f t="shared" si="442"/>
        <v>18399.222730960715</v>
      </c>
      <c r="CA85" s="918">
        <f t="shared" ref="CA85" si="443">CA14-CA29</f>
        <v>23898.96507733106</v>
      </c>
      <c r="CB85" s="19"/>
      <c r="CC85" s="917">
        <f t="shared" ref="CC85:CM85" si="444">CC14-CC29</f>
        <v>395</v>
      </c>
      <c r="CD85" s="917">
        <f t="shared" si="444"/>
        <v>197</v>
      </c>
      <c r="CE85" s="917">
        <f t="shared" si="444"/>
        <v>322</v>
      </c>
      <c r="CF85" s="917">
        <f t="shared" si="444"/>
        <v>309</v>
      </c>
      <c r="CG85" s="917">
        <f t="shared" si="444"/>
        <v>673</v>
      </c>
      <c r="CH85" s="917">
        <f t="shared" si="444"/>
        <v>1058</v>
      </c>
      <c r="CI85" s="916">
        <f t="shared" si="444"/>
        <v>1436</v>
      </c>
      <c r="CJ85" s="917">
        <f t="shared" si="444"/>
        <v>1495</v>
      </c>
      <c r="CK85" s="917">
        <f t="shared" si="444"/>
        <v>3253</v>
      </c>
      <c r="CL85" s="917">
        <f t="shared" si="444"/>
        <v>3109</v>
      </c>
      <c r="CM85" s="917">
        <f t="shared" si="444"/>
        <v>5228</v>
      </c>
      <c r="CN85" s="917">
        <f t="shared" ref="CN85:CO85" si="445">CN14-CN29</f>
        <v>9250</v>
      </c>
      <c r="CO85" s="917">
        <f t="shared" si="445"/>
        <v>14604.471599410341</v>
      </c>
      <c r="CP85" s="918">
        <f t="shared" ref="CP85" si="446">CP14-CP29</f>
        <v>19772.108081546106</v>
      </c>
      <c r="CQ85" s="10"/>
      <c r="CX85" s="7"/>
    </row>
    <row r="86" spans="1:102" ht="14.25" customHeight="1">
      <c r="A86" s="7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7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7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10"/>
      <c r="CX86" s="7"/>
    </row>
    <row r="87" spans="1:102" ht="14.2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13"/>
      <c r="BY87" s="13"/>
      <c r="BZ87" s="13"/>
      <c r="CA87" s="13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13"/>
      <c r="CO87" s="13"/>
      <c r="CP87" s="7"/>
      <c r="CQ87" s="10"/>
      <c r="CX87" s="7"/>
    </row>
    <row r="88" spans="1:102" ht="14.25" customHeight="1">
      <c r="A88" s="7"/>
      <c r="B88" s="590" t="s">
        <v>277</v>
      </c>
      <c r="C88" s="601"/>
      <c r="D88" s="16" t="str">
        <f t="shared" ref="D88:CK88" si="447">D$55</f>
        <v>F1Q06</v>
      </c>
      <c r="E88" s="17" t="str">
        <f t="shared" si="447"/>
        <v>F2Q06</v>
      </c>
      <c r="F88" s="17" t="str">
        <f t="shared" si="447"/>
        <v>F3Q06</v>
      </c>
      <c r="G88" s="18" t="str">
        <f t="shared" si="447"/>
        <v>F4Q06</v>
      </c>
      <c r="H88" s="16" t="str">
        <f t="shared" si="447"/>
        <v>F1Q07</v>
      </c>
      <c r="I88" s="17" t="str">
        <f t="shared" si="447"/>
        <v>F2Q07</v>
      </c>
      <c r="J88" s="17" t="str">
        <f t="shared" si="447"/>
        <v>F3Q07</v>
      </c>
      <c r="K88" s="18" t="str">
        <f t="shared" si="447"/>
        <v>F4Q07</v>
      </c>
      <c r="L88" s="16" t="str">
        <f t="shared" si="447"/>
        <v>F1Q08</v>
      </c>
      <c r="M88" s="17" t="str">
        <f t="shared" si="447"/>
        <v>F2Q08</v>
      </c>
      <c r="N88" s="17" t="str">
        <f t="shared" si="447"/>
        <v>F3Q08</v>
      </c>
      <c r="O88" s="18" t="str">
        <f t="shared" si="447"/>
        <v>F4Q08</v>
      </c>
      <c r="P88" s="16" t="str">
        <f t="shared" si="447"/>
        <v>F1Q09</v>
      </c>
      <c r="Q88" s="17" t="str">
        <f t="shared" si="447"/>
        <v>F2Q09</v>
      </c>
      <c r="R88" s="17" t="str">
        <f t="shared" si="447"/>
        <v>F3Q09</v>
      </c>
      <c r="S88" s="18" t="str">
        <f t="shared" si="447"/>
        <v>F4Q09</v>
      </c>
      <c r="T88" s="16" t="str">
        <f t="shared" si="447"/>
        <v>F1Q10</v>
      </c>
      <c r="U88" s="17" t="str">
        <f t="shared" si="447"/>
        <v>F2Q10</v>
      </c>
      <c r="V88" s="17" t="str">
        <f t="shared" si="447"/>
        <v>F3Q10</v>
      </c>
      <c r="W88" s="18" t="str">
        <f t="shared" si="447"/>
        <v>F4Q10</v>
      </c>
      <c r="X88" s="16" t="str">
        <f t="shared" si="447"/>
        <v>F1Q11</v>
      </c>
      <c r="Y88" s="17" t="str">
        <f t="shared" si="447"/>
        <v>F2Q11</v>
      </c>
      <c r="Z88" s="17" t="str">
        <f t="shared" si="447"/>
        <v>F3Q11</v>
      </c>
      <c r="AA88" s="18" t="str">
        <f t="shared" si="447"/>
        <v>F4Q11</v>
      </c>
      <c r="AB88" s="16" t="str">
        <f t="shared" si="447"/>
        <v>F1Q12</v>
      </c>
      <c r="AC88" s="17" t="str">
        <f t="shared" si="447"/>
        <v>F2Q12</v>
      </c>
      <c r="AD88" s="17" t="str">
        <f t="shared" si="447"/>
        <v>F3Q12</v>
      </c>
      <c r="AE88" s="18" t="str">
        <f t="shared" si="447"/>
        <v>F4Q12</v>
      </c>
      <c r="AF88" s="16" t="str">
        <f t="shared" si="447"/>
        <v>F1Q13</v>
      </c>
      <c r="AG88" s="17" t="str">
        <f t="shared" si="447"/>
        <v>F2Q13</v>
      </c>
      <c r="AH88" s="17" t="str">
        <f t="shared" si="447"/>
        <v>F3Q13</v>
      </c>
      <c r="AI88" s="18" t="str">
        <f t="shared" si="447"/>
        <v>F4Q13</v>
      </c>
      <c r="AJ88" s="16" t="str">
        <f t="shared" si="447"/>
        <v>F1Q14</v>
      </c>
      <c r="AK88" s="17" t="str">
        <f t="shared" si="447"/>
        <v>F2Q14A</v>
      </c>
      <c r="AL88" s="17" t="str">
        <f t="shared" si="447"/>
        <v>F3Q14A</v>
      </c>
      <c r="AM88" s="18" t="str">
        <f t="shared" si="447"/>
        <v>F4Q14A</v>
      </c>
      <c r="AN88" s="16" t="str">
        <f t="shared" si="447"/>
        <v>F1Q15A</v>
      </c>
      <c r="AO88" s="17" t="str">
        <f t="shared" si="447"/>
        <v>F2Q15A</v>
      </c>
      <c r="AP88" s="17" t="str">
        <f t="shared" si="447"/>
        <v>F3Q15A</v>
      </c>
      <c r="AQ88" s="952" t="str">
        <f t="shared" si="447"/>
        <v>F4Q15A</v>
      </c>
      <c r="AR88" s="1006" t="str">
        <f t="shared" si="447"/>
        <v>F1Q16A</v>
      </c>
      <c r="AS88" s="1007" t="str">
        <f t="shared" si="447"/>
        <v>F2Q16A</v>
      </c>
      <c r="AT88" s="1139" t="str">
        <f t="shared" si="447"/>
        <v>F3Q16A</v>
      </c>
      <c r="AU88" s="1140" t="str">
        <f t="shared" si="447"/>
        <v>F4Q16A</v>
      </c>
      <c r="AV88" s="1224" t="str">
        <f t="shared" si="447"/>
        <v>F1Q17A</v>
      </c>
      <c r="AW88" s="17" t="str">
        <f t="shared" si="447"/>
        <v>F2Q17A</v>
      </c>
      <c r="AX88" s="17" t="str">
        <f t="shared" si="447"/>
        <v>F3Q17A</v>
      </c>
      <c r="AY88" s="18" t="str">
        <f t="shared" si="447"/>
        <v>F4Q17A</v>
      </c>
      <c r="AZ88" s="950" t="str">
        <f t="shared" si="447"/>
        <v>F1Q18A</v>
      </c>
      <c r="BA88" s="951" t="str">
        <f t="shared" si="447"/>
        <v>F2Q18E</v>
      </c>
      <c r="BB88" s="951" t="str">
        <f t="shared" si="447"/>
        <v>F3Q18E</v>
      </c>
      <c r="BC88" s="952" t="str">
        <f t="shared" si="447"/>
        <v>F4Q18E</v>
      </c>
      <c r="BD88" s="1224" t="str">
        <f t="shared" si="447"/>
        <v>F1Q19E</v>
      </c>
      <c r="BE88" s="1225" t="str">
        <f t="shared" si="447"/>
        <v>F2Q19E</v>
      </c>
      <c r="BF88" s="1225" t="str">
        <f t="shared" si="447"/>
        <v>F3Q19E</v>
      </c>
      <c r="BG88" s="1226" t="str">
        <f t="shared" si="447"/>
        <v>F4Q19E</v>
      </c>
      <c r="BH88" s="1361" t="str">
        <f t="shared" si="447"/>
        <v>F1Q20E</v>
      </c>
      <c r="BI88" s="1362" t="str">
        <f t="shared" si="447"/>
        <v>F2Q20E</v>
      </c>
      <c r="BJ88" s="1362" t="str">
        <f t="shared" si="447"/>
        <v>F3Q20E</v>
      </c>
      <c r="BK88" s="1363" t="str">
        <f t="shared" si="447"/>
        <v>F4Q20E</v>
      </c>
      <c r="BL88" s="19"/>
      <c r="BM88" s="16" t="str">
        <f t="shared" si="447"/>
        <v>FY2006</v>
      </c>
      <c r="BN88" s="17" t="str">
        <f t="shared" si="447"/>
        <v>FY2007</v>
      </c>
      <c r="BO88" s="17" t="str">
        <f t="shared" si="447"/>
        <v>FY2008</v>
      </c>
      <c r="BP88" s="17" t="str">
        <f t="shared" si="447"/>
        <v>FY2009</v>
      </c>
      <c r="BQ88" s="17" t="str">
        <f t="shared" si="447"/>
        <v>FY2010</v>
      </c>
      <c r="BR88" s="18" t="str">
        <f t="shared" si="447"/>
        <v>FY2011</v>
      </c>
      <c r="BS88" s="17" t="str">
        <f t="shared" si="447"/>
        <v>FY2012</v>
      </c>
      <c r="BT88" s="17" t="str">
        <f t="shared" si="447"/>
        <v>FY2013</v>
      </c>
      <c r="BU88" s="17" t="str">
        <f t="shared" si="447"/>
        <v>FY2014A</v>
      </c>
      <c r="BV88" s="17" t="str">
        <f t="shared" si="447"/>
        <v>FY2015A</v>
      </c>
      <c r="BW88" s="17" t="str">
        <f t="shared" si="447"/>
        <v>FY2016A</v>
      </c>
      <c r="BX88" s="951" t="str">
        <f t="shared" si="447"/>
        <v>FY2017A</v>
      </c>
      <c r="BY88" s="1225" t="str">
        <f t="shared" si="447"/>
        <v>FY2018E</v>
      </c>
      <c r="BZ88" s="1362" t="str">
        <f t="shared" si="447"/>
        <v>FY2019E</v>
      </c>
      <c r="CA88" s="1363" t="str">
        <f t="shared" si="447"/>
        <v>FY2020E</v>
      </c>
      <c r="CB88" s="19"/>
      <c r="CC88" s="17" t="str">
        <f t="shared" si="447"/>
        <v>CY2006</v>
      </c>
      <c r="CD88" s="17" t="str">
        <f t="shared" si="447"/>
        <v>CY2007</v>
      </c>
      <c r="CE88" s="17" t="str">
        <f t="shared" si="447"/>
        <v>CY2008</v>
      </c>
      <c r="CF88" s="17" t="str">
        <f t="shared" si="447"/>
        <v>CY2009</v>
      </c>
      <c r="CG88" s="17" t="str">
        <f t="shared" si="447"/>
        <v>CY2010</v>
      </c>
      <c r="CH88" s="17" t="str">
        <f t="shared" si="447"/>
        <v>CY2011</v>
      </c>
      <c r="CI88" s="16" t="str">
        <f t="shared" si="447"/>
        <v>CY2012</v>
      </c>
      <c r="CJ88" s="17" t="str">
        <f t="shared" si="447"/>
        <v>CY2013</v>
      </c>
      <c r="CK88" s="17" t="str">
        <f t="shared" si="447"/>
        <v>CY2014A</v>
      </c>
      <c r="CL88" s="17" t="str">
        <f>CL$55</f>
        <v>CY2015A</v>
      </c>
      <c r="CM88" s="951" t="str">
        <f>CM$55</f>
        <v>CY2016A</v>
      </c>
      <c r="CN88" s="1225" t="str">
        <f>CN$55</f>
        <v>CY2017A</v>
      </c>
      <c r="CO88" s="1362" t="str">
        <f>CO$55</f>
        <v>CY2018E</v>
      </c>
      <c r="CP88" s="1363" t="str">
        <f>CP$55</f>
        <v>CY2019E</v>
      </c>
      <c r="CQ88" s="21"/>
      <c r="CX88" s="7"/>
    </row>
    <row r="89" spans="1:102" ht="14.25" customHeight="1">
      <c r="A89" s="7"/>
      <c r="B89" s="602" t="s">
        <v>278</v>
      </c>
      <c r="C89" s="214"/>
      <c r="D89" s="295"/>
      <c r="E89" s="624"/>
      <c r="F89" s="624"/>
      <c r="G89" s="226"/>
      <c r="H89" s="295"/>
      <c r="I89" s="624"/>
      <c r="J89" s="624"/>
      <c r="K89" s="226"/>
      <c r="L89" s="295"/>
      <c r="M89" s="624"/>
      <c r="N89" s="624"/>
      <c r="O89" s="226"/>
      <c r="P89" s="295"/>
      <c r="Q89" s="624"/>
      <c r="R89" s="624"/>
      <c r="S89" s="226"/>
      <c r="T89" s="295"/>
      <c r="U89" s="624"/>
      <c r="V89" s="624"/>
      <c r="W89" s="226"/>
      <c r="X89" s="295"/>
      <c r="Y89" s="624"/>
      <c r="Z89" s="624"/>
      <c r="AA89" s="226"/>
      <c r="AB89" s="295"/>
      <c r="AC89" s="624"/>
      <c r="AD89" s="624"/>
      <c r="AE89" s="226"/>
      <c r="AF89" s="295"/>
      <c r="AG89" s="624"/>
      <c r="AH89" s="624"/>
      <c r="AI89" s="226"/>
      <c r="AJ89" s="295"/>
      <c r="AK89" s="624"/>
      <c r="AL89" s="624"/>
      <c r="AM89" s="226"/>
      <c r="AN89" s="295"/>
      <c r="AO89" s="624"/>
      <c r="AP89" s="624"/>
      <c r="AQ89" s="226"/>
      <c r="AR89" s="295"/>
      <c r="AS89" s="624"/>
      <c r="AT89" s="624"/>
      <c r="AU89" s="226"/>
      <c r="AV89" s="295"/>
      <c r="AW89" s="624"/>
      <c r="AX89" s="624"/>
      <c r="AY89" s="226"/>
      <c r="AZ89" s="295"/>
      <c r="BA89" s="624"/>
      <c r="BB89" s="624"/>
      <c r="BC89" s="226"/>
      <c r="BD89" s="295"/>
      <c r="BE89" s="624"/>
      <c r="BF89" s="624"/>
      <c r="BG89" s="226"/>
      <c r="BH89" s="295"/>
      <c r="BI89" s="624"/>
      <c r="BJ89" s="624"/>
      <c r="BK89" s="226"/>
      <c r="BL89" s="19"/>
      <c r="BM89" s="603"/>
      <c r="BN89" s="13"/>
      <c r="BO89" s="13"/>
      <c r="BP89" s="13"/>
      <c r="BQ89" s="13"/>
      <c r="BR89" s="232"/>
      <c r="BS89" s="295"/>
      <c r="BT89" s="624"/>
      <c r="BU89" s="624"/>
      <c r="BV89" s="624"/>
      <c r="BW89" s="624"/>
      <c r="BX89" s="624"/>
      <c r="BY89" s="624"/>
      <c r="BZ89" s="624"/>
      <c r="CA89" s="226"/>
      <c r="CB89" s="19"/>
      <c r="CC89" s="624"/>
      <c r="CD89" s="624"/>
      <c r="CE89" s="624"/>
      <c r="CF89" s="624"/>
      <c r="CG89" s="624"/>
      <c r="CH89" s="624"/>
      <c r="CI89" s="295"/>
      <c r="CJ89" s="624"/>
      <c r="CK89" s="624"/>
      <c r="CL89" s="624"/>
      <c r="CM89" s="624"/>
      <c r="CN89" s="624"/>
      <c r="CO89" s="624"/>
      <c r="CP89" s="226"/>
      <c r="CQ89" s="10"/>
      <c r="CX89" s="7"/>
    </row>
    <row r="90" spans="1:102" s="533" customFormat="1" ht="14.25" customHeight="1">
      <c r="A90" s="525"/>
      <c r="B90" s="597" t="s">
        <v>279</v>
      </c>
      <c r="C90" s="606"/>
      <c r="D90" s="870"/>
      <c r="E90" s="616">
        <f t="shared" ref="E90:AY90" si="448">+D9</f>
        <v>169</v>
      </c>
      <c r="F90" s="616">
        <f t="shared" si="448"/>
        <v>210</v>
      </c>
      <c r="G90" s="623">
        <f t="shared" si="448"/>
        <v>200</v>
      </c>
      <c r="H90" s="870">
        <f t="shared" si="448"/>
        <v>272</v>
      </c>
      <c r="I90" s="616">
        <f t="shared" si="448"/>
        <v>240</v>
      </c>
      <c r="J90" s="616">
        <f t="shared" si="448"/>
        <v>200</v>
      </c>
      <c r="K90" s="623">
        <f t="shared" si="448"/>
        <v>213</v>
      </c>
      <c r="L90" s="870">
        <f t="shared" si="448"/>
        <v>309</v>
      </c>
      <c r="M90" s="616">
        <f t="shared" si="448"/>
        <v>61</v>
      </c>
      <c r="N90" s="616">
        <f t="shared" si="448"/>
        <v>83</v>
      </c>
      <c r="O90" s="623">
        <f t="shared" si="448"/>
        <v>148</v>
      </c>
      <c r="P90" s="870">
        <f t="shared" si="448"/>
        <v>213</v>
      </c>
      <c r="Q90" s="616">
        <f t="shared" si="448"/>
        <v>195</v>
      </c>
      <c r="R90" s="616">
        <f t="shared" si="448"/>
        <v>241</v>
      </c>
      <c r="S90" s="623">
        <f t="shared" si="448"/>
        <v>254</v>
      </c>
      <c r="T90" s="870">
        <f t="shared" si="448"/>
        <v>472</v>
      </c>
      <c r="U90" s="616">
        <f t="shared" si="448"/>
        <v>144</v>
      </c>
      <c r="V90" s="616">
        <f t="shared" si="448"/>
        <v>256</v>
      </c>
      <c r="W90" s="623">
        <f t="shared" si="448"/>
        <v>367</v>
      </c>
      <c r="X90" s="870">
        <f t="shared" si="448"/>
        <v>561</v>
      </c>
      <c r="Y90" s="616">
        <f t="shared" si="448"/>
        <v>363</v>
      </c>
      <c r="Z90" s="616">
        <f t="shared" si="448"/>
        <v>596</v>
      </c>
      <c r="AA90" s="623">
        <f t="shared" si="448"/>
        <v>704</v>
      </c>
      <c r="AB90" s="870">
        <f t="shared" si="448"/>
        <v>829</v>
      </c>
      <c r="AC90" s="616">
        <f t="shared" si="448"/>
        <v>819</v>
      </c>
      <c r="AD90" s="616">
        <f t="shared" si="448"/>
        <v>954</v>
      </c>
      <c r="AE90" s="623">
        <f t="shared" si="448"/>
        <v>973</v>
      </c>
      <c r="AF90" s="870">
        <f t="shared" si="448"/>
        <v>1084</v>
      </c>
      <c r="AG90" s="616">
        <f t="shared" si="448"/>
        <v>1151</v>
      </c>
      <c r="AH90" s="616">
        <f t="shared" si="448"/>
        <v>1219</v>
      </c>
      <c r="AI90" s="623">
        <f t="shared" si="448"/>
        <v>863</v>
      </c>
      <c r="AJ90" s="870">
        <f t="shared" si="448"/>
        <v>985</v>
      </c>
      <c r="AK90" s="616">
        <f t="shared" si="448"/>
        <v>1112</v>
      </c>
      <c r="AL90" s="616">
        <f t="shared" si="448"/>
        <v>1278</v>
      </c>
      <c r="AM90" s="623">
        <f t="shared" si="448"/>
        <v>1277</v>
      </c>
      <c r="AN90" s="870">
        <f t="shared" si="448"/>
        <v>1604</v>
      </c>
      <c r="AO90" s="616">
        <f t="shared" si="448"/>
        <v>2569</v>
      </c>
      <c r="AP90" s="616">
        <f t="shared" si="448"/>
        <v>2508</v>
      </c>
      <c r="AQ90" s="623">
        <f t="shared" si="448"/>
        <v>1354</v>
      </c>
      <c r="AR90" s="870">
        <f t="shared" si="448"/>
        <v>1822</v>
      </c>
      <c r="AS90" s="616">
        <f t="shared" si="448"/>
        <v>2169</v>
      </c>
      <c r="AT90" s="616">
        <f t="shared" si="448"/>
        <v>2041</v>
      </c>
      <c r="AU90" s="623">
        <f t="shared" si="448"/>
        <v>1961</v>
      </c>
      <c r="AV90" s="870">
        <f t="shared" si="448"/>
        <v>3097</v>
      </c>
      <c r="AW90" s="616">
        <f t="shared" si="448"/>
        <v>3536</v>
      </c>
      <c r="AX90" s="616">
        <f t="shared" si="448"/>
        <v>4254</v>
      </c>
      <c r="AY90" s="623">
        <f t="shared" si="448"/>
        <v>5249</v>
      </c>
      <c r="AZ90" s="870">
        <f t="shared" ref="AZ90" si="449">+AY9</f>
        <v>11204</v>
      </c>
      <c r="BA90" s="616">
        <f t="shared" ref="BA90" si="450">+AZ9</f>
        <v>7076</v>
      </c>
      <c r="BB90" s="616">
        <f t="shared" ref="BB90" si="451">+BA9</f>
        <v>8493.9292086354435</v>
      </c>
      <c r="BC90" s="623">
        <f t="shared" ref="BC90" si="452">+BB9</f>
        <v>9832.6721551161918</v>
      </c>
      <c r="BD90" s="870">
        <f t="shared" ref="BD90" si="453">+BC9</f>
        <v>11265.97697017292</v>
      </c>
      <c r="BE90" s="616">
        <f t="shared" ref="BE90" si="454">+BD9</f>
        <v>12680.111689689507</v>
      </c>
      <c r="BF90" s="616">
        <f t="shared" ref="BF90" si="455">+BE9</f>
        <v>13856.879013618694</v>
      </c>
      <c r="BG90" s="623">
        <f t="shared" ref="BG90" si="456">+BF9</f>
        <v>14923.528166631684</v>
      </c>
      <c r="BH90" s="870">
        <f t="shared" ref="BH90" si="457">+BG9</f>
        <v>16122.165717781805</v>
      </c>
      <c r="BI90" s="616">
        <f t="shared" ref="BI90" si="458">+BH9</f>
        <v>17678.084422505282</v>
      </c>
      <c r="BJ90" s="616">
        <f t="shared" ref="BJ90" si="459">+BI9</f>
        <v>19076.5177957831</v>
      </c>
      <c r="BK90" s="623">
        <f t="shared" ref="BK90" si="460">+BJ9</f>
        <v>20325.231636744647</v>
      </c>
      <c r="BL90" s="529"/>
      <c r="BM90" s="607"/>
      <c r="BN90" s="616">
        <f t="shared" ref="BN90:CA90" si="461">+BM9</f>
        <v>272</v>
      </c>
      <c r="BO90" s="616">
        <f t="shared" si="461"/>
        <v>309</v>
      </c>
      <c r="BP90" s="616">
        <f t="shared" si="461"/>
        <v>213</v>
      </c>
      <c r="BQ90" s="616">
        <f t="shared" si="461"/>
        <v>472</v>
      </c>
      <c r="BR90" s="623">
        <f t="shared" si="461"/>
        <v>561</v>
      </c>
      <c r="BS90" s="870">
        <f t="shared" si="461"/>
        <v>829</v>
      </c>
      <c r="BT90" s="616">
        <f t="shared" si="461"/>
        <v>1084</v>
      </c>
      <c r="BU90" s="616">
        <f t="shared" si="461"/>
        <v>985</v>
      </c>
      <c r="BV90" s="616">
        <f t="shared" si="461"/>
        <v>1604</v>
      </c>
      <c r="BW90" s="616">
        <f t="shared" si="461"/>
        <v>1822</v>
      </c>
      <c r="BX90" s="616">
        <f t="shared" si="461"/>
        <v>3097</v>
      </c>
      <c r="BY90" s="616">
        <f t="shared" si="461"/>
        <v>11204</v>
      </c>
      <c r="BZ90" s="616">
        <f t="shared" si="461"/>
        <v>11265.97697017292</v>
      </c>
      <c r="CA90" s="1465">
        <f t="shared" si="461"/>
        <v>16122.165717781805</v>
      </c>
      <c r="CB90" s="529"/>
      <c r="CC90" s="616"/>
      <c r="CD90" s="616">
        <f t="shared" ref="CD90:CP90" si="462">+CC9</f>
        <v>240</v>
      </c>
      <c r="CE90" s="616">
        <f t="shared" si="462"/>
        <v>61</v>
      </c>
      <c r="CF90" s="616">
        <f t="shared" si="462"/>
        <v>195</v>
      </c>
      <c r="CG90" s="616">
        <f t="shared" si="462"/>
        <v>144</v>
      </c>
      <c r="CH90" s="616">
        <f t="shared" si="462"/>
        <v>363</v>
      </c>
      <c r="CI90" s="870">
        <f t="shared" si="462"/>
        <v>819</v>
      </c>
      <c r="CJ90" s="616">
        <f t="shared" si="462"/>
        <v>1151</v>
      </c>
      <c r="CK90" s="616">
        <f t="shared" si="462"/>
        <v>1112</v>
      </c>
      <c r="CL90" s="616">
        <f t="shared" si="462"/>
        <v>2569</v>
      </c>
      <c r="CM90" s="616">
        <f t="shared" si="462"/>
        <v>2169</v>
      </c>
      <c r="CN90" s="616">
        <f t="shared" si="462"/>
        <v>3536</v>
      </c>
      <c r="CO90" s="616">
        <f t="shared" si="462"/>
        <v>7076</v>
      </c>
      <c r="CP90" s="623">
        <f t="shared" si="462"/>
        <v>12680.111689689507</v>
      </c>
      <c r="CQ90"/>
      <c r="CR90"/>
      <c r="CS90"/>
      <c r="CT90"/>
      <c r="CU90"/>
      <c r="CV90"/>
      <c r="CW90"/>
      <c r="CX90" s="525"/>
    </row>
    <row r="91" spans="1:102" ht="14.25" customHeight="1">
      <c r="A91" s="7"/>
      <c r="B91" s="592" t="s">
        <v>249</v>
      </c>
      <c r="C91" s="604"/>
      <c r="D91" s="871"/>
      <c r="E91" s="617">
        <f t="shared" ref="E91:AM91" si="463">+SUM(E90:E90)</f>
        <v>169</v>
      </c>
      <c r="F91" s="617">
        <f t="shared" si="463"/>
        <v>210</v>
      </c>
      <c r="G91" s="618">
        <f t="shared" si="463"/>
        <v>200</v>
      </c>
      <c r="H91" s="871">
        <f t="shared" si="463"/>
        <v>272</v>
      </c>
      <c r="I91" s="617">
        <f t="shared" si="463"/>
        <v>240</v>
      </c>
      <c r="J91" s="617">
        <f t="shared" si="463"/>
        <v>200</v>
      </c>
      <c r="K91" s="618">
        <f t="shared" si="463"/>
        <v>213</v>
      </c>
      <c r="L91" s="871">
        <f t="shared" si="463"/>
        <v>309</v>
      </c>
      <c r="M91" s="617">
        <f t="shared" si="463"/>
        <v>61</v>
      </c>
      <c r="N91" s="617">
        <f t="shared" si="463"/>
        <v>83</v>
      </c>
      <c r="O91" s="618">
        <f t="shared" si="463"/>
        <v>148</v>
      </c>
      <c r="P91" s="871">
        <f t="shared" si="463"/>
        <v>213</v>
      </c>
      <c r="Q91" s="617">
        <f t="shared" si="463"/>
        <v>195</v>
      </c>
      <c r="R91" s="617">
        <f t="shared" si="463"/>
        <v>241</v>
      </c>
      <c r="S91" s="618">
        <f t="shared" si="463"/>
        <v>254</v>
      </c>
      <c r="T91" s="871">
        <f t="shared" si="463"/>
        <v>472</v>
      </c>
      <c r="U91" s="617">
        <f t="shared" si="463"/>
        <v>144</v>
      </c>
      <c r="V91" s="617">
        <f t="shared" si="463"/>
        <v>256</v>
      </c>
      <c r="W91" s="618">
        <f t="shared" si="463"/>
        <v>367</v>
      </c>
      <c r="X91" s="871">
        <f t="shared" si="463"/>
        <v>561</v>
      </c>
      <c r="Y91" s="617">
        <f t="shared" si="463"/>
        <v>363</v>
      </c>
      <c r="Z91" s="617">
        <f t="shared" si="463"/>
        <v>596</v>
      </c>
      <c r="AA91" s="618">
        <f t="shared" si="463"/>
        <v>704</v>
      </c>
      <c r="AB91" s="871">
        <f t="shared" si="463"/>
        <v>829</v>
      </c>
      <c r="AC91" s="617">
        <f t="shared" si="463"/>
        <v>819</v>
      </c>
      <c r="AD91" s="617">
        <f t="shared" si="463"/>
        <v>954</v>
      </c>
      <c r="AE91" s="618">
        <f t="shared" si="463"/>
        <v>973</v>
      </c>
      <c r="AF91" s="871">
        <f t="shared" si="463"/>
        <v>1084</v>
      </c>
      <c r="AG91" s="617">
        <f t="shared" si="463"/>
        <v>1151</v>
      </c>
      <c r="AH91" s="617">
        <f t="shared" si="463"/>
        <v>1219</v>
      </c>
      <c r="AI91" s="618">
        <f t="shared" si="463"/>
        <v>863</v>
      </c>
      <c r="AJ91" s="871">
        <f t="shared" si="463"/>
        <v>985</v>
      </c>
      <c r="AK91" s="617">
        <f t="shared" si="463"/>
        <v>1112</v>
      </c>
      <c r="AL91" s="617">
        <f>+SUM(AL90:AL90)</f>
        <v>1278</v>
      </c>
      <c r="AM91" s="618">
        <f t="shared" si="463"/>
        <v>1277</v>
      </c>
      <c r="AN91" s="871">
        <f t="shared" ref="AN91:AO91" si="464">+SUM(AN90:AN90)</f>
        <v>1604</v>
      </c>
      <c r="AO91" s="617">
        <f t="shared" si="464"/>
        <v>2569</v>
      </c>
      <c r="AP91" s="617">
        <f>+SUM(AP90:AP90)</f>
        <v>2508</v>
      </c>
      <c r="AQ91" s="618">
        <f t="shared" ref="AQ91:AS91" si="465">+SUM(AQ90:AQ90)</f>
        <v>1354</v>
      </c>
      <c r="AR91" s="871">
        <f t="shared" si="465"/>
        <v>1822</v>
      </c>
      <c r="AS91" s="617">
        <f t="shared" si="465"/>
        <v>2169</v>
      </c>
      <c r="AT91" s="617">
        <f>+SUM(AT90:AT90)</f>
        <v>2041</v>
      </c>
      <c r="AU91" s="618">
        <f t="shared" ref="AU91:AV91" si="466">+SUM(AU90:AU90)</f>
        <v>1961</v>
      </c>
      <c r="AV91" s="871">
        <f t="shared" si="466"/>
        <v>3097</v>
      </c>
      <c r="AW91" s="617">
        <f t="shared" ref="AW91:BC91" si="467">+SUM(AW90:AW90)</f>
        <v>3536</v>
      </c>
      <c r="AX91" s="617">
        <f>+SUM(AX90:AX90)</f>
        <v>4254</v>
      </c>
      <c r="AY91" s="618">
        <f t="shared" si="467"/>
        <v>5249</v>
      </c>
      <c r="AZ91" s="871">
        <f t="shared" si="467"/>
        <v>11204</v>
      </c>
      <c r="BA91" s="617">
        <f t="shared" si="467"/>
        <v>7076</v>
      </c>
      <c r="BB91" s="617">
        <f t="shared" si="467"/>
        <v>8493.9292086354435</v>
      </c>
      <c r="BC91" s="618">
        <f t="shared" si="467"/>
        <v>9832.6721551161918</v>
      </c>
      <c r="BD91" s="871">
        <f t="shared" ref="BD91:BG91" si="468">+SUM(BD90:BD90)</f>
        <v>11265.97697017292</v>
      </c>
      <c r="BE91" s="617">
        <f t="shared" si="468"/>
        <v>12680.111689689507</v>
      </c>
      <c r="BF91" s="617">
        <f t="shared" si="468"/>
        <v>13856.879013618694</v>
      </c>
      <c r="BG91" s="618">
        <f t="shared" si="468"/>
        <v>14923.528166631684</v>
      </c>
      <c r="BH91" s="871">
        <f t="shared" ref="BH91:BK91" si="469">+SUM(BH90:BH90)</f>
        <v>16122.165717781805</v>
      </c>
      <c r="BI91" s="617">
        <f t="shared" si="469"/>
        <v>17678.084422505282</v>
      </c>
      <c r="BJ91" s="617">
        <f t="shared" si="469"/>
        <v>19076.5177957831</v>
      </c>
      <c r="BK91" s="618">
        <f t="shared" si="469"/>
        <v>20325.231636744647</v>
      </c>
      <c r="BL91" s="19"/>
      <c r="BM91" s="605"/>
      <c r="BN91" s="617">
        <f t="shared" ref="BN91:BW91" si="470">+SUM(BN90:BN90)</f>
        <v>272</v>
      </c>
      <c r="BO91" s="617">
        <f t="shared" si="470"/>
        <v>309</v>
      </c>
      <c r="BP91" s="617">
        <f t="shared" si="470"/>
        <v>213</v>
      </c>
      <c r="BQ91" s="617">
        <f t="shared" si="470"/>
        <v>472</v>
      </c>
      <c r="BR91" s="618">
        <f t="shared" si="470"/>
        <v>561</v>
      </c>
      <c r="BS91" s="871">
        <f t="shared" si="470"/>
        <v>829</v>
      </c>
      <c r="BT91" s="617">
        <f t="shared" si="470"/>
        <v>1084</v>
      </c>
      <c r="BU91" s="617">
        <f t="shared" si="470"/>
        <v>985</v>
      </c>
      <c r="BV91" s="617">
        <f t="shared" si="470"/>
        <v>1604</v>
      </c>
      <c r="BW91" s="617">
        <f t="shared" si="470"/>
        <v>1822</v>
      </c>
      <c r="BX91" s="617">
        <f>+SUM(BX90:BX90)</f>
        <v>3097</v>
      </c>
      <c r="BY91" s="617">
        <f>+SUM(BY90:BY90)</f>
        <v>11204</v>
      </c>
      <c r="BZ91" s="617">
        <f>+SUM(BZ90:BZ90)</f>
        <v>11265.97697017292</v>
      </c>
      <c r="CA91" s="1466">
        <f>+SUM(CA90:CA90)</f>
        <v>16122.165717781805</v>
      </c>
      <c r="CB91" s="19"/>
      <c r="CC91" s="617"/>
      <c r="CD91" s="617">
        <f t="shared" ref="CD91:CJ91" si="471">+SUM(CD90:CD90)</f>
        <v>240</v>
      </c>
      <c r="CE91" s="617">
        <f t="shared" si="471"/>
        <v>61</v>
      </c>
      <c r="CF91" s="617">
        <f t="shared" si="471"/>
        <v>195</v>
      </c>
      <c r="CG91" s="617">
        <f t="shared" si="471"/>
        <v>144</v>
      </c>
      <c r="CH91" s="617">
        <f t="shared" si="471"/>
        <v>363</v>
      </c>
      <c r="CI91" s="871">
        <f t="shared" si="471"/>
        <v>819</v>
      </c>
      <c r="CJ91" s="617">
        <f t="shared" si="471"/>
        <v>1151</v>
      </c>
      <c r="CK91" s="617">
        <f t="shared" ref="CK91:CP91" si="472">+SUM(CK90:CK90)</f>
        <v>1112</v>
      </c>
      <c r="CL91" s="617">
        <f t="shared" si="472"/>
        <v>2569</v>
      </c>
      <c r="CM91" s="617">
        <f t="shared" si="472"/>
        <v>2169</v>
      </c>
      <c r="CN91" s="617">
        <f t="shared" si="472"/>
        <v>3536</v>
      </c>
      <c r="CO91" s="617">
        <f t="shared" si="472"/>
        <v>7076</v>
      </c>
      <c r="CP91" s="618">
        <f t="shared" si="472"/>
        <v>12680.111689689507</v>
      </c>
      <c r="CQ91" s="10"/>
      <c r="CX91" s="7"/>
    </row>
    <row r="92" spans="1:102" ht="14.25" customHeight="1">
      <c r="A92" s="7"/>
      <c r="B92" s="537"/>
      <c r="C92" s="63"/>
      <c r="D92" s="872"/>
      <c r="E92" s="169"/>
      <c r="F92" s="169"/>
      <c r="G92" s="170"/>
      <c r="H92" s="872"/>
      <c r="I92" s="169"/>
      <c r="J92" s="169"/>
      <c r="K92" s="170"/>
      <c r="L92" s="872"/>
      <c r="M92" s="169"/>
      <c r="N92" s="169"/>
      <c r="O92" s="170"/>
      <c r="P92" s="872"/>
      <c r="Q92" s="169"/>
      <c r="R92" s="169"/>
      <c r="S92" s="170"/>
      <c r="T92" s="872"/>
      <c r="U92" s="169"/>
      <c r="V92" s="169"/>
      <c r="W92" s="170"/>
      <c r="X92" s="872"/>
      <c r="Y92" s="169"/>
      <c r="Z92" s="169"/>
      <c r="AA92" s="170"/>
      <c r="AB92" s="872"/>
      <c r="AC92" s="169"/>
      <c r="AD92" s="169"/>
      <c r="AE92" s="170"/>
      <c r="AF92" s="872"/>
      <c r="AG92" s="169"/>
      <c r="AH92" s="169"/>
      <c r="AI92" s="170"/>
      <c r="AJ92" s="872"/>
      <c r="AK92" s="169"/>
      <c r="AL92" s="169"/>
      <c r="AM92" s="170"/>
      <c r="AN92" s="872"/>
      <c r="AO92" s="169"/>
      <c r="AP92" s="169"/>
      <c r="AQ92" s="170"/>
      <c r="AR92" s="872"/>
      <c r="AS92" s="169"/>
      <c r="AT92" s="169"/>
      <c r="AU92" s="170"/>
      <c r="AV92" s="872"/>
      <c r="AW92" s="169"/>
      <c r="AX92" s="169"/>
      <c r="AY92" s="170"/>
      <c r="AZ92" s="872"/>
      <c r="BA92" s="169"/>
      <c r="BB92" s="169"/>
      <c r="BC92" s="170"/>
      <c r="BD92" s="872"/>
      <c r="BE92" s="169"/>
      <c r="BF92" s="169"/>
      <c r="BG92" s="170"/>
      <c r="BH92" s="872"/>
      <c r="BI92" s="169"/>
      <c r="BJ92" s="169"/>
      <c r="BK92" s="170"/>
      <c r="BL92" s="19"/>
      <c r="BM92" s="168"/>
      <c r="BN92" s="169"/>
      <c r="BO92" s="169"/>
      <c r="BP92" s="169"/>
      <c r="BQ92" s="169"/>
      <c r="BR92" s="170"/>
      <c r="BS92" s="872"/>
      <c r="BT92" s="169"/>
      <c r="BU92" s="169"/>
      <c r="BV92" s="169"/>
      <c r="BW92" s="169"/>
      <c r="BX92" s="169"/>
      <c r="BY92" s="169"/>
      <c r="BZ92" s="169"/>
      <c r="CA92" s="1467"/>
      <c r="CB92" s="19"/>
      <c r="CC92" s="169"/>
      <c r="CD92" s="169"/>
      <c r="CE92" s="169"/>
      <c r="CF92" s="169"/>
      <c r="CG92" s="169"/>
      <c r="CH92" s="169"/>
      <c r="CI92" s="872"/>
      <c r="CJ92" s="169"/>
      <c r="CK92" s="169"/>
      <c r="CL92" s="169"/>
      <c r="CM92" s="169"/>
      <c r="CN92" s="169"/>
      <c r="CO92" s="169"/>
      <c r="CP92" s="170"/>
      <c r="CQ92" s="10"/>
      <c r="CX92" s="7"/>
    </row>
    <row r="93" spans="1:102" ht="14.25" customHeight="1">
      <c r="A93" s="7"/>
      <c r="B93" s="602" t="s">
        <v>280</v>
      </c>
      <c r="C93" s="63"/>
      <c r="D93" s="872"/>
      <c r="E93" s="169"/>
      <c r="F93" s="169"/>
      <c r="G93" s="170"/>
      <c r="H93" s="872"/>
      <c r="I93" s="169"/>
      <c r="J93" s="169"/>
      <c r="K93" s="170"/>
      <c r="L93" s="872"/>
      <c r="M93" s="169"/>
      <c r="N93" s="169"/>
      <c r="O93" s="170"/>
      <c r="P93" s="872"/>
      <c r="Q93" s="169"/>
      <c r="R93" s="169"/>
      <c r="S93" s="170"/>
      <c r="T93" s="872"/>
      <c r="U93" s="169"/>
      <c r="V93" s="169"/>
      <c r="W93" s="170"/>
      <c r="X93" s="872"/>
      <c r="Y93" s="169"/>
      <c r="Z93" s="169"/>
      <c r="AA93" s="170"/>
      <c r="AB93" s="872"/>
      <c r="AC93" s="169"/>
      <c r="AD93" s="169"/>
      <c r="AE93" s="170"/>
      <c r="AF93" s="872"/>
      <c r="AG93" s="169"/>
      <c r="AH93" s="169"/>
      <c r="AI93" s="170"/>
      <c r="AJ93" s="872"/>
      <c r="AK93" s="169"/>
      <c r="AL93" s="169"/>
      <c r="AM93" s="170"/>
      <c r="AN93" s="872"/>
      <c r="AO93" s="169"/>
      <c r="AP93" s="169"/>
      <c r="AQ93" s="170"/>
      <c r="AR93" s="872"/>
      <c r="AS93" s="169"/>
      <c r="AT93" s="169"/>
      <c r="AU93" s="170"/>
      <c r="AV93" s="872"/>
      <c r="AW93" s="169"/>
      <c r="AX93" s="169"/>
      <c r="AY93" s="170"/>
      <c r="AZ93" s="872"/>
      <c r="BA93" s="169"/>
      <c r="BB93" s="169"/>
      <c r="BC93" s="170"/>
      <c r="BD93" s="872"/>
      <c r="BE93" s="169"/>
      <c r="BF93" s="169"/>
      <c r="BG93" s="170"/>
      <c r="BH93" s="872"/>
      <c r="BI93" s="169"/>
      <c r="BJ93" s="169"/>
      <c r="BK93" s="170"/>
      <c r="BL93" s="19"/>
      <c r="BM93" s="168"/>
      <c r="BN93" s="169"/>
      <c r="BO93" s="169"/>
      <c r="BP93" s="169"/>
      <c r="BQ93" s="169"/>
      <c r="BR93" s="170"/>
      <c r="BS93" s="872"/>
      <c r="BT93" s="169"/>
      <c r="BU93" s="169"/>
      <c r="BV93" s="169"/>
      <c r="BW93" s="169"/>
      <c r="BX93" s="169"/>
      <c r="BY93" s="169"/>
      <c r="BZ93" s="169"/>
      <c r="CA93" s="1467"/>
      <c r="CB93" s="19"/>
      <c r="CC93" s="169"/>
      <c r="CD93" s="169"/>
      <c r="CE93" s="169"/>
      <c r="CF93" s="169"/>
      <c r="CG93" s="169"/>
      <c r="CH93" s="169"/>
      <c r="CI93" s="872"/>
      <c r="CJ93" s="169"/>
      <c r="CK93" s="169"/>
      <c r="CL93" s="169"/>
      <c r="CM93" s="169"/>
      <c r="CN93" s="169"/>
      <c r="CO93" s="169"/>
      <c r="CP93" s="170"/>
      <c r="CQ93" s="10"/>
      <c r="CX93" s="7"/>
    </row>
    <row r="94" spans="1:102" s="533" customFormat="1" ht="14.25" customHeight="1">
      <c r="A94" s="525"/>
      <c r="B94" s="597" t="s">
        <v>279</v>
      </c>
      <c r="C94" s="606"/>
      <c r="D94" s="873">
        <f t="shared" ref="D94:AY94" si="473">+D9</f>
        <v>169</v>
      </c>
      <c r="E94" s="619">
        <f t="shared" si="473"/>
        <v>210</v>
      </c>
      <c r="F94" s="619">
        <f t="shared" si="473"/>
        <v>200</v>
      </c>
      <c r="G94" s="620">
        <f t="shared" si="473"/>
        <v>272</v>
      </c>
      <c r="H94" s="873">
        <f t="shared" si="473"/>
        <v>240</v>
      </c>
      <c r="I94" s="619">
        <f t="shared" si="473"/>
        <v>200</v>
      </c>
      <c r="J94" s="619">
        <f t="shared" si="473"/>
        <v>213</v>
      </c>
      <c r="K94" s="620">
        <f t="shared" si="473"/>
        <v>309</v>
      </c>
      <c r="L94" s="873">
        <f t="shared" si="473"/>
        <v>61</v>
      </c>
      <c r="M94" s="619">
        <f t="shared" si="473"/>
        <v>83</v>
      </c>
      <c r="N94" s="619">
        <f t="shared" si="473"/>
        <v>148</v>
      </c>
      <c r="O94" s="620">
        <f t="shared" si="473"/>
        <v>213</v>
      </c>
      <c r="P94" s="873">
        <f t="shared" si="473"/>
        <v>195</v>
      </c>
      <c r="Q94" s="619">
        <f t="shared" si="473"/>
        <v>241</v>
      </c>
      <c r="R94" s="619">
        <f t="shared" si="473"/>
        <v>254</v>
      </c>
      <c r="S94" s="620">
        <f t="shared" si="473"/>
        <v>472</v>
      </c>
      <c r="T94" s="873">
        <f t="shared" si="473"/>
        <v>144</v>
      </c>
      <c r="U94" s="619">
        <f t="shared" si="473"/>
        <v>256</v>
      </c>
      <c r="V94" s="619">
        <f t="shared" si="473"/>
        <v>367</v>
      </c>
      <c r="W94" s="620">
        <f t="shared" si="473"/>
        <v>561</v>
      </c>
      <c r="X94" s="873">
        <f t="shared" si="473"/>
        <v>363</v>
      </c>
      <c r="Y94" s="619">
        <f t="shared" si="473"/>
        <v>596</v>
      </c>
      <c r="Z94" s="619">
        <f t="shared" si="473"/>
        <v>704</v>
      </c>
      <c r="AA94" s="620">
        <f t="shared" si="473"/>
        <v>829</v>
      </c>
      <c r="AB94" s="873">
        <f t="shared" si="473"/>
        <v>819</v>
      </c>
      <c r="AC94" s="619">
        <f t="shared" si="473"/>
        <v>954</v>
      </c>
      <c r="AD94" s="619">
        <f t="shared" si="473"/>
        <v>973</v>
      </c>
      <c r="AE94" s="620">
        <f t="shared" si="473"/>
        <v>1084</v>
      </c>
      <c r="AF94" s="873">
        <f t="shared" si="473"/>
        <v>1151</v>
      </c>
      <c r="AG94" s="619">
        <f t="shared" si="473"/>
        <v>1219</v>
      </c>
      <c r="AH94" s="619">
        <f t="shared" si="473"/>
        <v>863</v>
      </c>
      <c r="AI94" s="620">
        <f t="shared" si="473"/>
        <v>985</v>
      </c>
      <c r="AJ94" s="873">
        <f t="shared" si="473"/>
        <v>1112</v>
      </c>
      <c r="AK94" s="619">
        <f t="shared" si="473"/>
        <v>1278</v>
      </c>
      <c r="AL94" s="619">
        <f>+AL9</f>
        <v>1277</v>
      </c>
      <c r="AM94" s="620">
        <f t="shared" si="473"/>
        <v>1604</v>
      </c>
      <c r="AN94" s="873">
        <f t="shared" si="473"/>
        <v>2569</v>
      </c>
      <c r="AO94" s="619">
        <f t="shared" si="473"/>
        <v>2508</v>
      </c>
      <c r="AP94" s="619">
        <f>+AP9</f>
        <v>1354</v>
      </c>
      <c r="AQ94" s="620">
        <f t="shared" ref="AQ94:AS94" si="474">+AQ9</f>
        <v>1822</v>
      </c>
      <c r="AR94" s="873">
        <f t="shared" si="474"/>
        <v>2169</v>
      </c>
      <c r="AS94" s="619">
        <f t="shared" si="474"/>
        <v>2041</v>
      </c>
      <c r="AT94" s="619">
        <f>+AT9</f>
        <v>1961</v>
      </c>
      <c r="AU94" s="620">
        <f t="shared" ref="AU94:AV94" si="475">+AU9</f>
        <v>3097</v>
      </c>
      <c r="AV94" s="873">
        <f t="shared" si="475"/>
        <v>3536</v>
      </c>
      <c r="AW94" s="619">
        <f t="shared" si="473"/>
        <v>4254</v>
      </c>
      <c r="AX94" s="619">
        <f>+AX9</f>
        <v>5249</v>
      </c>
      <c r="AY94" s="620">
        <f t="shared" si="473"/>
        <v>11204</v>
      </c>
      <c r="AZ94" s="873">
        <f t="shared" ref="AZ94:BC94" si="476">+AZ9</f>
        <v>7076</v>
      </c>
      <c r="BA94" s="619">
        <f t="shared" si="476"/>
        <v>8493.9292086354435</v>
      </c>
      <c r="BB94" s="619">
        <f t="shared" si="476"/>
        <v>9832.6721551161918</v>
      </c>
      <c r="BC94" s="620">
        <f t="shared" si="476"/>
        <v>11265.97697017292</v>
      </c>
      <c r="BD94" s="873">
        <f t="shared" ref="BD94:BG94" si="477">+BD9</f>
        <v>12680.111689689507</v>
      </c>
      <c r="BE94" s="619">
        <f t="shared" si="477"/>
        <v>13856.879013618694</v>
      </c>
      <c r="BF94" s="619">
        <f t="shared" si="477"/>
        <v>14923.528166631684</v>
      </c>
      <c r="BG94" s="620">
        <f t="shared" si="477"/>
        <v>16122.165717781805</v>
      </c>
      <c r="BH94" s="873">
        <f t="shared" ref="BH94:BK94" si="478">+BH9</f>
        <v>17678.084422505282</v>
      </c>
      <c r="BI94" s="619">
        <f t="shared" si="478"/>
        <v>19076.5177957831</v>
      </c>
      <c r="BJ94" s="619">
        <f t="shared" si="478"/>
        <v>20325.231636744647</v>
      </c>
      <c r="BK94" s="620">
        <f t="shared" si="478"/>
        <v>21669.862414003255</v>
      </c>
      <c r="BL94" s="529"/>
      <c r="BM94" s="607">
        <f t="shared" ref="BM94:BX94" si="479">+BM9</f>
        <v>272</v>
      </c>
      <c r="BN94" s="619">
        <f t="shared" si="479"/>
        <v>309</v>
      </c>
      <c r="BO94" s="619">
        <f t="shared" si="479"/>
        <v>213</v>
      </c>
      <c r="BP94" s="619">
        <f t="shared" si="479"/>
        <v>472</v>
      </c>
      <c r="BQ94" s="619">
        <f t="shared" si="479"/>
        <v>561</v>
      </c>
      <c r="BR94" s="620">
        <f t="shared" si="479"/>
        <v>829</v>
      </c>
      <c r="BS94" s="873">
        <f t="shared" si="479"/>
        <v>1084</v>
      </c>
      <c r="BT94" s="619">
        <f t="shared" si="479"/>
        <v>985</v>
      </c>
      <c r="BU94" s="619">
        <f t="shared" si="479"/>
        <v>1604</v>
      </c>
      <c r="BV94" s="619">
        <f t="shared" si="479"/>
        <v>1822</v>
      </c>
      <c r="BW94" s="619">
        <f t="shared" si="479"/>
        <v>3097</v>
      </c>
      <c r="BX94" s="619">
        <f t="shared" si="479"/>
        <v>11204</v>
      </c>
      <c r="BY94" s="619">
        <f t="shared" ref="BY94:BZ94" si="480">+BY9</f>
        <v>11265.97697017292</v>
      </c>
      <c r="BZ94" s="619">
        <f t="shared" si="480"/>
        <v>16122.165717781805</v>
      </c>
      <c r="CA94" s="1468">
        <f t="shared" ref="CA94" si="481">+CA9</f>
        <v>21669.862414003255</v>
      </c>
      <c r="CB94" s="529"/>
      <c r="CC94" s="619">
        <f t="shared" ref="CC94:CM94" si="482">+CC9</f>
        <v>240</v>
      </c>
      <c r="CD94" s="619">
        <f t="shared" si="482"/>
        <v>61</v>
      </c>
      <c r="CE94" s="619">
        <f t="shared" si="482"/>
        <v>195</v>
      </c>
      <c r="CF94" s="619">
        <f t="shared" si="482"/>
        <v>144</v>
      </c>
      <c r="CG94" s="619">
        <f t="shared" si="482"/>
        <v>363</v>
      </c>
      <c r="CH94" s="619">
        <f t="shared" si="482"/>
        <v>819</v>
      </c>
      <c r="CI94" s="873">
        <f t="shared" si="482"/>
        <v>1151</v>
      </c>
      <c r="CJ94" s="619">
        <f t="shared" si="482"/>
        <v>1112</v>
      </c>
      <c r="CK94" s="619">
        <f t="shared" si="482"/>
        <v>2569</v>
      </c>
      <c r="CL94" s="619">
        <f t="shared" si="482"/>
        <v>2169</v>
      </c>
      <c r="CM94" s="619">
        <f t="shared" si="482"/>
        <v>3536</v>
      </c>
      <c r="CN94" s="619">
        <f t="shared" ref="CN94:CO94" si="483">+CN9</f>
        <v>7076</v>
      </c>
      <c r="CO94" s="619">
        <f t="shared" si="483"/>
        <v>12680.111689689507</v>
      </c>
      <c r="CP94" s="620">
        <f t="shared" ref="CP94" si="484">+CP9</f>
        <v>17678.084422505282</v>
      </c>
      <c r="CQ94"/>
      <c r="CR94"/>
      <c r="CS94"/>
      <c r="CT94"/>
      <c r="CU94"/>
      <c r="CV94"/>
      <c r="CW94"/>
      <c r="CX94" s="525"/>
    </row>
    <row r="95" spans="1:102" ht="14.25" customHeight="1">
      <c r="A95" s="7"/>
      <c r="B95" s="592" t="s">
        <v>249</v>
      </c>
      <c r="C95" s="604"/>
      <c r="D95" s="871">
        <f t="shared" ref="D95:AM95" si="485">+SUM(D94:D94)</f>
        <v>169</v>
      </c>
      <c r="E95" s="617">
        <f t="shared" si="485"/>
        <v>210</v>
      </c>
      <c r="F95" s="617">
        <f t="shared" si="485"/>
        <v>200</v>
      </c>
      <c r="G95" s="618">
        <f t="shared" si="485"/>
        <v>272</v>
      </c>
      <c r="H95" s="871">
        <f t="shared" si="485"/>
        <v>240</v>
      </c>
      <c r="I95" s="617">
        <f t="shared" si="485"/>
        <v>200</v>
      </c>
      <c r="J95" s="617">
        <f t="shared" si="485"/>
        <v>213</v>
      </c>
      <c r="K95" s="618">
        <f t="shared" si="485"/>
        <v>309</v>
      </c>
      <c r="L95" s="871">
        <f t="shared" si="485"/>
        <v>61</v>
      </c>
      <c r="M95" s="617">
        <f t="shared" si="485"/>
        <v>83</v>
      </c>
      <c r="N95" s="617">
        <f t="shared" si="485"/>
        <v>148</v>
      </c>
      <c r="O95" s="618">
        <f t="shared" si="485"/>
        <v>213</v>
      </c>
      <c r="P95" s="871">
        <f t="shared" si="485"/>
        <v>195</v>
      </c>
      <c r="Q95" s="617">
        <f t="shared" si="485"/>
        <v>241</v>
      </c>
      <c r="R95" s="617">
        <f t="shared" si="485"/>
        <v>254</v>
      </c>
      <c r="S95" s="618">
        <f t="shared" si="485"/>
        <v>472</v>
      </c>
      <c r="T95" s="871">
        <f t="shared" si="485"/>
        <v>144</v>
      </c>
      <c r="U95" s="617">
        <f t="shared" si="485"/>
        <v>256</v>
      </c>
      <c r="V95" s="617">
        <f t="shared" si="485"/>
        <v>367</v>
      </c>
      <c r="W95" s="618">
        <f t="shared" si="485"/>
        <v>561</v>
      </c>
      <c r="X95" s="871">
        <f t="shared" si="485"/>
        <v>363</v>
      </c>
      <c r="Y95" s="617">
        <f t="shared" si="485"/>
        <v>596</v>
      </c>
      <c r="Z95" s="617">
        <f t="shared" si="485"/>
        <v>704</v>
      </c>
      <c r="AA95" s="618">
        <f t="shared" si="485"/>
        <v>829</v>
      </c>
      <c r="AB95" s="871">
        <f t="shared" si="485"/>
        <v>819</v>
      </c>
      <c r="AC95" s="617">
        <f t="shared" si="485"/>
        <v>954</v>
      </c>
      <c r="AD95" s="617">
        <f t="shared" si="485"/>
        <v>973</v>
      </c>
      <c r="AE95" s="618">
        <f t="shared" si="485"/>
        <v>1084</v>
      </c>
      <c r="AF95" s="871">
        <f t="shared" si="485"/>
        <v>1151</v>
      </c>
      <c r="AG95" s="617">
        <f t="shared" si="485"/>
        <v>1219</v>
      </c>
      <c r="AH95" s="617">
        <f t="shared" si="485"/>
        <v>863</v>
      </c>
      <c r="AI95" s="618">
        <f t="shared" si="485"/>
        <v>985</v>
      </c>
      <c r="AJ95" s="871">
        <f t="shared" si="485"/>
        <v>1112</v>
      </c>
      <c r="AK95" s="617">
        <f t="shared" si="485"/>
        <v>1278</v>
      </c>
      <c r="AL95" s="617">
        <f>+SUM(AL94:AL94)</f>
        <v>1277</v>
      </c>
      <c r="AM95" s="618">
        <f t="shared" si="485"/>
        <v>1604</v>
      </c>
      <c r="AN95" s="871">
        <f t="shared" ref="AN95:AO95" si="486">+SUM(AN94:AN94)</f>
        <v>2569</v>
      </c>
      <c r="AO95" s="617">
        <f t="shared" si="486"/>
        <v>2508</v>
      </c>
      <c r="AP95" s="617">
        <f>+SUM(AP94:AP94)</f>
        <v>1354</v>
      </c>
      <c r="AQ95" s="618">
        <f t="shared" ref="AQ95:AS95" si="487">+SUM(AQ94:AQ94)</f>
        <v>1822</v>
      </c>
      <c r="AR95" s="871">
        <f t="shared" si="487"/>
        <v>2169</v>
      </c>
      <c r="AS95" s="617">
        <f t="shared" si="487"/>
        <v>2041</v>
      </c>
      <c r="AT95" s="617">
        <f>+SUM(AT94:AT94)</f>
        <v>1961</v>
      </c>
      <c r="AU95" s="618">
        <f t="shared" ref="AU95:AV95" si="488">+SUM(AU94:AU94)</f>
        <v>3097</v>
      </c>
      <c r="AV95" s="871">
        <f t="shared" si="488"/>
        <v>3536</v>
      </c>
      <c r="AW95" s="617">
        <f t="shared" ref="AW95:BC95" si="489">+SUM(AW94:AW94)</f>
        <v>4254</v>
      </c>
      <c r="AX95" s="617">
        <f>+SUM(AX94:AX94)</f>
        <v>5249</v>
      </c>
      <c r="AY95" s="618">
        <f t="shared" si="489"/>
        <v>11204</v>
      </c>
      <c r="AZ95" s="871">
        <f t="shared" si="489"/>
        <v>7076</v>
      </c>
      <c r="BA95" s="617">
        <f t="shared" si="489"/>
        <v>8493.9292086354435</v>
      </c>
      <c r="BB95" s="617">
        <f t="shared" si="489"/>
        <v>9832.6721551161918</v>
      </c>
      <c r="BC95" s="618">
        <f t="shared" si="489"/>
        <v>11265.97697017292</v>
      </c>
      <c r="BD95" s="871">
        <f t="shared" ref="BD95:BG95" si="490">+SUM(BD94:BD94)</f>
        <v>12680.111689689507</v>
      </c>
      <c r="BE95" s="617">
        <f t="shared" si="490"/>
        <v>13856.879013618694</v>
      </c>
      <c r="BF95" s="617">
        <f t="shared" si="490"/>
        <v>14923.528166631684</v>
      </c>
      <c r="BG95" s="618">
        <f t="shared" si="490"/>
        <v>16122.165717781805</v>
      </c>
      <c r="BH95" s="871">
        <f t="shared" ref="BH95:BK95" si="491">+SUM(BH94:BH94)</f>
        <v>17678.084422505282</v>
      </c>
      <c r="BI95" s="617">
        <f t="shared" si="491"/>
        <v>19076.5177957831</v>
      </c>
      <c r="BJ95" s="617">
        <f t="shared" si="491"/>
        <v>20325.231636744647</v>
      </c>
      <c r="BK95" s="618">
        <f t="shared" si="491"/>
        <v>21669.862414003255</v>
      </c>
      <c r="BL95" s="19"/>
      <c r="BM95" s="605">
        <f t="shared" ref="BM95:BW95" si="492">+SUM(BM94:BM94)</f>
        <v>272</v>
      </c>
      <c r="BN95" s="617">
        <f t="shared" si="492"/>
        <v>309</v>
      </c>
      <c r="BO95" s="617">
        <f t="shared" si="492"/>
        <v>213</v>
      </c>
      <c r="BP95" s="617">
        <f t="shared" si="492"/>
        <v>472</v>
      </c>
      <c r="BQ95" s="617">
        <f t="shared" si="492"/>
        <v>561</v>
      </c>
      <c r="BR95" s="618">
        <f t="shared" si="492"/>
        <v>829</v>
      </c>
      <c r="BS95" s="871">
        <f t="shared" si="492"/>
        <v>1084</v>
      </c>
      <c r="BT95" s="617">
        <f t="shared" si="492"/>
        <v>985</v>
      </c>
      <c r="BU95" s="617">
        <f t="shared" si="492"/>
        <v>1604</v>
      </c>
      <c r="BV95" s="617">
        <f t="shared" si="492"/>
        <v>1822</v>
      </c>
      <c r="BW95" s="617">
        <f t="shared" si="492"/>
        <v>3097</v>
      </c>
      <c r="BX95" s="617">
        <f>+SUM(BX94:BX94)</f>
        <v>11204</v>
      </c>
      <c r="BY95" s="617">
        <f>+SUM(BY94:BY94)</f>
        <v>11265.97697017292</v>
      </c>
      <c r="BZ95" s="617">
        <f>+SUM(BZ94:BZ94)</f>
        <v>16122.165717781805</v>
      </c>
      <c r="CA95" s="1466">
        <f>+SUM(CA94:CA94)</f>
        <v>21669.862414003255</v>
      </c>
      <c r="CB95" s="19"/>
      <c r="CC95" s="617">
        <f t="shared" ref="CC95:CJ95" si="493">+SUM(CC94:CC94)</f>
        <v>240</v>
      </c>
      <c r="CD95" s="617">
        <f t="shared" si="493"/>
        <v>61</v>
      </c>
      <c r="CE95" s="617">
        <f t="shared" si="493"/>
        <v>195</v>
      </c>
      <c r="CF95" s="617">
        <f t="shared" si="493"/>
        <v>144</v>
      </c>
      <c r="CG95" s="617">
        <f t="shared" si="493"/>
        <v>363</v>
      </c>
      <c r="CH95" s="617">
        <f t="shared" si="493"/>
        <v>819</v>
      </c>
      <c r="CI95" s="871">
        <f t="shared" si="493"/>
        <v>1151</v>
      </c>
      <c r="CJ95" s="617">
        <f t="shared" si="493"/>
        <v>1112</v>
      </c>
      <c r="CK95" s="617">
        <f t="shared" ref="CK95:CP95" si="494">+SUM(CK94:CK94)</f>
        <v>2569</v>
      </c>
      <c r="CL95" s="617">
        <f t="shared" si="494"/>
        <v>2169</v>
      </c>
      <c r="CM95" s="617">
        <f t="shared" si="494"/>
        <v>3536</v>
      </c>
      <c r="CN95" s="617">
        <f t="shared" si="494"/>
        <v>7076</v>
      </c>
      <c r="CO95" s="617">
        <f t="shared" si="494"/>
        <v>12680.111689689507</v>
      </c>
      <c r="CP95" s="618">
        <f t="shared" si="494"/>
        <v>17678.084422505282</v>
      </c>
      <c r="CQ95" s="10"/>
      <c r="CX95" s="7"/>
    </row>
    <row r="96" spans="1:102" ht="14.25" customHeight="1">
      <c r="A96" s="7"/>
      <c r="B96" s="537"/>
      <c r="C96" s="63"/>
      <c r="D96" s="872"/>
      <c r="E96" s="169"/>
      <c r="F96" s="169"/>
      <c r="G96" s="170"/>
      <c r="H96" s="872"/>
      <c r="I96" s="169"/>
      <c r="J96" s="169"/>
      <c r="K96" s="170"/>
      <c r="L96" s="872"/>
      <c r="M96" s="169"/>
      <c r="N96" s="169"/>
      <c r="O96" s="170"/>
      <c r="P96" s="872"/>
      <c r="Q96" s="169"/>
      <c r="R96" s="169"/>
      <c r="S96" s="170"/>
      <c r="T96" s="872"/>
      <c r="U96" s="169"/>
      <c r="V96" s="169"/>
      <c r="W96" s="170"/>
      <c r="X96" s="872"/>
      <c r="Y96" s="169"/>
      <c r="Z96" s="169"/>
      <c r="AA96" s="170"/>
      <c r="AB96" s="872"/>
      <c r="AC96" s="169"/>
      <c r="AD96" s="169"/>
      <c r="AE96" s="170"/>
      <c r="AF96" s="872"/>
      <c r="AG96" s="169"/>
      <c r="AH96" s="169"/>
      <c r="AI96" s="170"/>
      <c r="AJ96" s="872"/>
      <c r="AK96" s="169"/>
      <c r="AL96" s="169"/>
      <c r="AM96" s="170"/>
      <c r="AN96" s="872"/>
      <c r="AO96" s="169"/>
      <c r="AP96" s="169"/>
      <c r="AQ96" s="170"/>
      <c r="AR96" s="872"/>
      <c r="AS96" s="169"/>
      <c r="AT96" s="169"/>
      <c r="AU96" s="170"/>
      <c r="AV96" s="872"/>
      <c r="AW96" s="169"/>
      <c r="AX96" s="169"/>
      <c r="AY96" s="170"/>
      <c r="AZ96" s="872"/>
      <c r="BA96" s="169"/>
      <c r="BB96" s="169"/>
      <c r="BC96" s="170"/>
      <c r="BD96" s="872"/>
      <c r="BE96" s="169"/>
      <c r="BF96" s="169"/>
      <c r="BG96" s="170"/>
      <c r="BH96" s="872"/>
      <c r="BI96" s="169"/>
      <c r="BJ96" s="169"/>
      <c r="BK96" s="170"/>
      <c r="BL96" s="19"/>
      <c r="BM96" s="168"/>
      <c r="BN96" s="169"/>
      <c r="BO96" s="169"/>
      <c r="BP96" s="169"/>
      <c r="BQ96" s="169"/>
      <c r="BR96" s="170"/>
      <c r="BS96" s="872"/>
      <c r="BT96" s="169"/>
      <c r="BU96" s="169"/>
      <c r="BV96" s="169"/>
      <c r="BW96" s="169"/>
      <c r="BX96" s="169"/>
      <c r="BY96" s="169"/>
      <c r="BZ96" s="169"/>
      <c r="CA96" s="1467"/>
      <c r="CB96" s="19"/>
      <c r="CC96" s="169"/>
      <c r="CD96" s="169"/>
      <c r="CE96" s="169"/>
      <c r="CF96" s="169"/>
      <c r="CG96" s="169"/>
      <c r="CH96" s="169"/>
      <c r="CI96" s="872"/>
      <c r="CJ96" s="169"/>
      <c r="CK96" s="169"/>
      <c r="CL96" s="169"/>
      <c r="CM96" s="169"/>
      <c r="CN96" s="169"/>
      <c r="CO96" s="169"/>
      <c r="CP96" s="170"/>
      <c r="CQ96" s="10"/>
      <c r="CX96" s="7"/>
    </row>
    <row r="97" spans="1:102" ht="14.25" customHeight="1">
      <c r="A97" s="7"/>
      <c r="B97" s="608" t="s">
        <v>281</v>
      </c>
      <c r="C97" s="609"/>
      <c r="D97" s="610">
        <v>0.01</v>
      </c>
      <c r="E97" s="611">
        <f t="shared" ref="E97:K97" si="495">+D97</f>
        <v>0.01</v>
      </c>
      <c r="F97" s="611">
        <f t="shared" si="495"/>
        <v>0.01</v>
      </c>
      <c r="G97" s="612">
        <f t="shared" si="495"/>
        <v>0.01</v>
      </c>
      <c r="H97" s="610">
        <f t="shared" si="495"/>
        <v>0.01</v>
      </c>
      <c r="I97" s="611">
        <f t="shared" si="495"/>
        <v>0.01</v>
      </c>
      <c r="J97" s="611">
        <f t="shared" si="495"/>
        <v>0.01</v>
      </c>
      <c r="K97" s="612">
        <f t="shared" si="495"/>
        <v>0.01</v>
      </c>
      <c r="L97" s="610">
        <f t="shared" ref="L97:AM97" si="496">+K97</f>
        <v>0.01</v>
      </c>
      <c r="M97" s="611">
        <f t="shared" si="496"/>
        <v>0.01</v>
      </c>
      <c r="N97" s="611">
        <f t="shared" si="496"/>
        <v>0.01</v>
      </c>
      <c r="O97" s="612">
        <f t="shared" si="496"/>
        <v>0.01</v>
      </c>
      <c r="P97" s="610">
        <f t="shared" si="496"/>
        <v>0.01</v>
      </c>
      <c r="Q97" s="611">
        <f t="shared" si="496"/>
        <v>0.01</v>
      </c>
      <c r="R97" s="611">
        <f t="shared" si="496"/>
        <v>0.01</v>
      </c>
      <c r="S97" s="612">
        <f t="shared" si="496"/>
        <v>0.01</v>
      </c>
      <c r="T97" s="610">
        <f t="shared" si="496"/>
        <v>0.01</v>
      </c>
      <c r="U97" s="611">
        <f t="shared" si="496"/>
        <v>0.01</v>
      </c>
      <c r="V97" s="611">
        <f t="shared" si="496"/>
        <v>0.01</v>
      </c>
      <c r="W97" s="612">
        <f t="shared" si="496"/>
        <v>0.01</v>
      </c>
      <c r="X97" s="610">
        <f t="shared" si="496"/>
        <v>0.01</v>
      </c>
      <c r="Y97" s="611">
        <f t="shared" si="496"/>
        <v>0.01</v>
      </c>
      <c r="Z97" s="611">
        <f t="shared" si="496"/>
        <v>0.01</v>
      </c>
      <c r="AA97" s="612">
        <f t="shared" si="496"/>
        <v>0.01</v>
      </c>
      <c r="AB97" s="610">
        <f t="shared" si="496"/>
        <v>0.01</v>
      </c>
      <c r="AC97" s="611">
        <f t="shared" si="496"/>
        <v>0.01</v>
      </c>
      <c r="AD97" s="611">
        <f t="shared" si="496"/>
        <v>0.01</v>
      </c>
      <c r="AE97" s="612">
        <f t="shared" si="496"/>
        <v>0.01</v>
      </c>
      <c r="AF97" s="610">
        <f t="shared" si="496"/>
        <v>0.01</v>
      </c>
      <c r="AG97" s="611">
        <f t="shared" si="496"/>
        <v>0.01</v>
      </c>
      <c r="AH97" s="611">
        <f t="shared" si="496"/>
        <v>0.01</v>
      </c>
      <c r="AI97" s="612">
        <f t="shared" si="496"/>
        <v>0.01</v>
      </c>
      <c r="AJ97" s="610">
        <f t="shared" si="496"/>
        <v>0.01</v>
      </c>
      <c r="AK97" s="611">
        <f t="shared" si="496"/>
        <v>0.01</v>
      </c>
      <c r="AL97" s="611">
        <f t="shared" si="496"/>
        <v>0.01</v>
      </c>
      <c r="AM97" s="612">
        <f t="shared" si="496"/>
        <v>0.01</v>
      </c>
      <c r="AN97" s="610">
        <f t="shared" ref="AN97:AX97" si="497">+AM97</f>
        <v>0.01</v>
      </c>
      <c r="AO97" s="611">
        <f t="shared" si="497"/>
        <v>0.01</v>
      </c>
      <c r="AP97" s="611">
        <f t="shared" si="497"/>
        <v>0.01</v>
      </c>
      <c r="AQ97" s="612">
        <f t="shared" si="497"/>
        <v>0.01</v>
      </c>
      <c r="AR97" s="610">
        <f t="shared" si="497"/>
        <v>0.01</v>
      </c>
      <c r="AS97" s="611">
        <f t="shared" si="497"/>
        <v>0.01</v>
      </c>
      <c r="AT97" s="611">
        <f t="shared" si="497"/>
        <v>0.01</v>
      </c>
      <c r="AU97" s="612">
        <f t="shared" si="497"/>
        <v>0.01</v>
      </c>
      <c r="AV97" s="610">
        <f t="shared" si="497"/>
        <v>0.01</v>
      </c>
      <c r="AW97" s="611">
        <f t="shared" ref="AW97:BC97" si="498">+AV97</f>
        <v>0.01</v>
      </c>
      <c r="AX97" s="611">
        <f t="shared" si="497"/>
        <v>0.01</v>
      </c>
      <c r="AY97" s="612">
        <f t="shared" si="498"/>
        <v>0.01</v>
      </c>
      <c r="AZ97" s="610">
        <f t="shared" si="498"/>
        <v>0.01</v>
      </c>
      <c r="BA97" s="611">
        <f t="shared" si="498"/>
        <v>0.01</v>
      </c>
      <c r="BB97" s="611">
        <f t="shared" si="498"/>
        <v>0.01</v>
      </c>
      <c r="BC97" s="612">
        <f t="shared" si="498"/>
        <v>0.01</v>
      </c>
      <c r="BD97" s="610">
        <f t="shared" ref="BD97" si="499">+BC97</f>
        <v>0.01</v>
      </c>
      <c r="BE97" s="611">
        <f t="shared" ref="BE97" si="500">+BD97</f>
        <v>0.01</v>
      </c>
      <c r="BF97" s="611">
        <f t="shared" ref="BF97" si="501">+BE97</f>
        <v>0.01</v>
      </c>
      <c r="BG97" s="612">
        <f t="shared" ref="BG97" si="502">+BF97</f>
        <v>0.01</v>
      </c>
      <c r="BH97" s="610">
        <f t="shared" ref="BH97" si="503">+BG97</f>
        <v>0.01</v>
      </c>
      <c r="BI97" s="611">
        <f t="shared" ref="BI97" si="504">+BH97</f>
        <v>0.01</v>
      </c>
      <c r="BJ97" s="611">
        <f t="shared" ref="BJ97" si="505">+BI97</f>
        <v>0.01</v>
      </c>
      <c r="BK97" s="612">
        <f t="shared" ref="BK97" si="506">+BJ97</f>
        <v>0.01</v>
      </c>
      <c r="BL97" s="19"/>
      <c r="BM97" s="610">
        <f>BL97</f>
        <v>0</v>
      </c>
      <c r="BN97" s="611">
        <f t="shared" ref="BN97:BU97" si="507">BM97</f>
        <v>0</v>
      </c>
      <c r="BO97" s="611">
        <f t="shared" si="507"/>
        <v>0</v>
      </c>
      <c r="BP97" s="611">
        <f t="shared" si="507"/>
        <v>0</v>
      </c>
      <c r="BQ97" s="611">
        <f t="shared" si="507"/>
        <v>0</v>
      </c>
      <c r="BR97" s="612">
        <f t="shared" si="507"/>
        <v>0</v>
      </c>
      <c r="BS97" s="610">
        <f t="shared" si="507"/>
        <v>0</v>
      </c>
      <c r="BT97" s="611">
        <f t="shared" si="507"/>
        <v>0</v>
      </c>
      <c r="BU97" s="611">
        <f t="shared" si="507"/>
        <v>0</v>
      </c>
      <c r="BV97" s="611">
        <f t="shared" ref="BV97:CA97" si="508">BU97</f>
        <v>0</v>
      </c>
      <c r="BW97" s="611">
        <f t="shared" si="508"/>
        <v>0</v>
      </c>
      <c r="BX97" s="611">
        <f t="shared" si="508"/>
        <v>0</v>
      </c>
      <c r="BY97" s="611">
        <f t="shared" si="508"/>
        <v>0</v>
      </c>
      <c r="BZ97" s="611">
        <f t="shared" si="508"/>
        <v>0</v>
      </c>
      <c r="CA97" s="1469">
        <f t="shared" si="508"/>
        <v>0</v>
      </c>
      <c r="CB97" s="19"/>
      <c r="CC97" s="611">
        <f>CB97</f>
        <v>0</v>
      </c>
      <c r="CD97" s="611">
        <f t="shared" ref="CD97:CJ97" si="509">CC97</f>
        <v>0</v>
      </c>
      <c r="CE97" s="611">
        <f t="shared" si="509"/>
        <v>0</v>
      </c>
      <c r="CF97" s="611">
        <f t="shared" si="509"/>
        <v>0</v>
      </c>
      <c r="CG97" s="611">
        <f t="shared" si="509"/>
        <v>0</v>
      </c>
      <c r="CH97" s="611">
        <f t="shared" si="509"/>
        <v>0</v>
      </c>
      <c r="CI97" s="610">
        <f t="shared" si="509"/>
        <v>0</v>
      </c>
      <c r="CJ97" s="611">
        <f t="shared" si="509"/>
        <v>0</v>
      </c>
      <c r="CK97" s="611">
        <f t="shared" ref="CK97:CP97" si="510">CJ97</f>
        <v>0</v>
      </c>
      <c r="CL97" s="611">
        <f t="shared" si="510"/>
        <v>0</v>
      </c>
      <c r="CM97" s="611">
        <f t="shared" si="510"/>
        <v>0</v>
      </c>
      <c r="CN97" s="611">
        <f t="shared" si="510"/>
        <v>0</v>
      </c>
      <c r="CO97" s="611">
        <f t="shared" si="510"/>
        <v>0</v>
      </c>
      <c r="CP97" s="612">
        <f t="shared" si="510"/>
        <v>0</v>
      </c>
      <c r="CQ97" s="10"/>
      <c r="CX97" s="7"/>
    </row>
    <row r="98" spans="1:102" ht="14.25" customHeight="1">
      <c r="A98" s="7"/>
      <c r="B98" s="613" t="s">
        <v>277</v>
      </c>
      <c r="C98" s="614"/>
      <c r="D98" s="874"/>
      <c r="E98" s="621">
        <f t="shared" ref="E98:AM98" si="511">+E97*E91/4</f>
        <v>0.42249999999999999</v>
      </c>
      <c r="F98" s="621">
        <f t="shared" si="511"/>
        <v>0.52500000000000002</v>
      </c>
      <c r="G98" s="622">
        <f t="shared" si="511"/>
        <v>0.5</v>
      </c>
      <c r="H98" s="874">
        <f t="shared" si="511"/>
        <v>0.68</v>
      </c>
      <c r="I98" s="621">
        <f t="shared" si="511"/>
        <v>0.6</v>
      </c>
      <c r="J98" s="621">
        <f t="shared" si="511"/>
        <v>0.5</v>
      </c>
      <c r="K98" s="622">
        <f t="shared" si="511"/>
        <v>0.53249999999999997</v>
      </c>
      <c r="L98" s="874">
        <f t="shared" si="511"/>
        <v>0.77249999999999996</v>
      </c>
      <c r="M98" s="621">
        <f t="shared" si="511"/>
        <v>0.1525</v>
      </c>
      <c r="N98" s="621">
        <f t="shared" si="511"/>
        <v>0.20750000000000002</v>
      </c>
      <c r="O98" s="622">
        <f t="shared" si="511"/>
        <v>0.37</v>
      </c>
      <c r="P98" s="874">
        <f t="shared" si="511"/>
        <v>0.53249999999999997</v>
      </c>
      <c r="Q98" s="621">
        <f t="shared" si="511"/>
        <v>0.48749999999999999</v>
      </c>
      <c r="R98" s="621">
        <f t="shared" si="511"/>
        <v>0.60250000000000004</v>
      </c>
      <c r="S98" s="622">
        <f t="shared" si="511"/>
        <v>0.63500000000000001</v>
      </c>
      <c r="T98" s="874">
        <f t="shared" si="511"/>
        <v>1.18</v>
      </c>
      <c r="U98" s="621">
        <f t="shared" si="511"/>
        <v>0.36</v>
      </c>
      <c r="V98" s="621">
        <f t="shared" si="511"/>
        <v>0.64</v>
      </c>
      <c r="W98" s="622">
        <f t="shared" si="511"/>
        <v>0.91749999999999998</v>
      </c>
      <c r="X98" s="874">
        <f t="shared" si="511"/>
        <v>1.4025000000000001</v>
      </c>
      <c r="Y98" s="621">
        <f t="shared" si="511"/>
        <v>0.90749999999999997</v>
      </c>
      <c r="Z98" s="621">
        <f t="shared" si="511"/>
        <v>1.49</v>
      </c>
      <c r="AA98" s="622">
        <f t="shared" si="511"/>
        <v>1.76</v>
      </c>
      <c r="AB98" s="874">
        <f t="shared" si="511"/>
        <v>2.0725000000000002</v>
      </c>
      <c r="AC98" s="621">
        <f t="shared" si="511"/>
        <v>2.0474999999999999</v>
      </c>
      <c r="AD98" s="621">
        <f t="shared" si="511"/>
        <v>2.3850000000000002</v>
      </c>
      <c r="AE98" s="622">
        <f t="shared" si="511"/>
        <v>2.4325000000000001</v>
      </c>
      <c r="AF98" s="874">
        <f t="shared" si="511"/>
        <v>2.71</v>
      </c>
      <c r="AG98" s="621">
        <f t="shared" si="511"/>
        <v>2.8774999999999999</v>
      </c>
      <c r="AH98" s="621">
        <f t="shared" si="511"/>
        <v>3.0474999999999999</v>
      </c>
      <c r="AI98" s="622">
        <f t="shared" si="511"/>
        <v>2.1575000000000002</v>
      </c>
      <c r="AJ98" s="874">
        <f t="shared" si="511"/>
        <v>2.4624999999999999</v>
      </c>
      <c r="AK98" s="621">
        <f t="shared" si="511"/>
        <v>2.7800000000000002</v>
      </c>
      <c r="AL98" s="621">
        <f>+AL97*AL91/4</f>
        <v>3.1950000000000003</v>
      </c>
      <c r="AM98" s="622">
        <f t="shared" si="511"/>
        <v>3.1924999999999999</v>
      </c>
      <c r="AN98" s="874">
        <f t="shared" ref="AN98:AO98" si="512">+AN97*AN91/4</f>
        <v>4.01</v>
      </c>
      <c r="AO98" s="621">
        <f t="shared" si="512"/>
        <v>6.4225000000000003</v>
      </c>
      <c r="AP98" s="621">
        <f>+AP97*AP91/4</f>
        <v>6.2700000000000005</v>
      </c>
      <c r="AQ98" s="622">
        <f t="shared" ref="AQ98:AS98" si="513">+AQ97*AQ91/4</f>
        <v>3.3850000000000002</v>
      </c>
      <c r="AR98" s="874">
        <f t="shared" si="513"/>
        <v>4.5549999999999997</v>
      </c>
      <c r="AS98" s="621">
        <f t="shared" si="513"/>
        <v>5.4225000000000003</v>
      </c>
      <c r="AT98" s="621">
        <f>+AT97*AT91/4</f>
        <v>5.1025</v>
      </c>
      <c r="AU98" s="622">
        <f t="shared" ref="AU98:AV98" si="514">+AU97*AU91/4</f>
        <v>4.9024999999999999</v>
      </c>
      <c r="AV98" s="874">
        <f t="shared" si="514"/>
        <v>7.7425000000000006</v>
      </c>
      <c r="AW98" s="621">
        <f t="shared" ref="AW98:BC98" si="515">+AW97*AW91/4</f>
        <v>8.84</v>
      </c>
      <c r="AX98" s="621">
        <f>+AX97*AX91/4</f>
        <v>10.635</v>
      </c>
      <c r="AY98" s="622">
        <f t="shared" si="515"/>
        <v>13.1225</v>
      </c>
      <c r="AZ98" s="874">
        <f t="shared" si="515"/>
        <v>28.01</v>
      </c>
      <c r="BA98" s="621">
        <f t="shared" si="515"/>
        <v>17.690000000000001</v>
      </c>
      <c r="BB98" s="621">
        <f t="shared" si="515"/>
        <v>21.23482302158861</v>
      </c>
      <c r="BC98" s="622">
        <f t="shared" si="515"/>
        <v>24.581680387790481</v>
      </c>
      <c r="BD98" s="874">
        <f t="shared" ref="BD98:BG98" si="516">+BD97*BD91/4</f>
        <v>28.164942425432301</v>
      </c>
      <c r="BE98" s="621">
        <f t="shared" si="516"/>
        <v>31.70027922422377</v>
      </c>
      <c r="BF98" s="621">
        <f t="shared" si="516"/>
        <v>34.642197534046737</v>
      </c>
      <c r="BG98" s="622">
        <f t="shared" si="516"/>
        <v>37.308820416579209</v>
      </c>
      <c r="BH98" s="874">
        <f t="shared" ref="BH98:BK98" si="517">+BH97*BH91/4</f>
        <v>40.305414294454515</v>
      </c>
      <c r="BI98" s="621">
        <f t="shared" si="517"/>
        <v>44.195211056263204</v>
      </c>
      <c r="BJ98" s="621">
        <f t="shared" si="517"/>
        <v>47.691294489457754</v>
      </c>
      <c r="BK98" s="622">
        <f t="shared" si="517"/>
        <v>50.813079091861617</v>
      </c>
      <c r="BL98" s="19"/>
      <c r="BM98" s="615">
        <f t="shared" ref="BM98:BW98" si="518">+BM91*BM97</f>
        <v>0</v>
      </c>
      <c r="BN98" s="621">
        <f t="shared" si="518"/>
        <v>0</v>
      </c>
      <c r="BO98" s="621">
        <f t="shared" si="518"/>
        <v>0</v>
      </c>
      <c r="BP98" s="621">
        <f t="shared" si="518"/>
        <v>0</v>
      </c>
      <c r="BQ98" s="621">
        <f t="shared" si="518"/>
        <v>0</v>
      </c>
      <c r="BR98" s="622">
        <f t="shared" si="518"/>
        <v>0</v>
      </c>
      <c r="BS98" s="874">
        <f t="shared" si="518"/>
        <v>0</v>
      </c>
      <c r="BT98" s="621">
        <f t="shared" si="518"/>
        <v>0</v>
      </c>
      <c r="BU98" s="621">
        <f t="shared" si="518"/>
        <v>0</v>
      </c>
      <c r="BV98" s="621">
        <f t="shared" si="518"/>
        <v>0</v>
      </c>
      <c r="BW98" s="621">
        <f t="shared" si="518"/>
        <v>0</v>
      </c>
      <c r="BX98" s="621">
        <f>+BX91*BX97</f>
        <v>0</v>
      </c>
      <c r="BY98" s="621">
        <f>+BY91*BY97</f>
        <v>0</v>
      </c>
      <c r="BZ98" s="621">
        <f>+BZ91*BZ97</f>
        <v>0</v>
      </c>
      <c r="CA98" s="622">
        <f>+CA91*CA97</f>
        <v>0</v>
      </c>
      <c r="CB98" s="19"/>
      <c r="CC98" s="621">
        <f t="shared" ref="CC98:CJ98" si="519">+CC91*CC97</f>
        <v>0</v>
      </c>
      <c r="CD98" s="621">
        <f t="shared" si="519"/>
        <v>0</v>
      </c>
      <c r="CE98" s="621">
        <f t="shared" si="519"/>
        <v>0</v>
      </c>
      <c r="CF98" s="621">
        <f t="shared" si="519"/>
        <v>0</v>
      </c>
      <c r="CG98" s="621">
        <f t="shared" si="519"/>
        <v>0</v>
      </c>
      <c r="CH98" s="621">
        <f t="shared" si="519"/>
        <v>0</v>
      </c>
      <c r="CI98" s="874">
        <f t="shared" si="519"/>
        <v>0</v>
      </c>
      <c r="CJ98" s="621">
        <f t="shared" si="519"/>
        <v>0</v>
      </c>
      <c r="CK98" s="621">
        <f t="shared" ref="CK98:CP98" si="520">+CK91*CK97</f>
        <v>0</v>
      </c>
      <c r="CL98" s="621">
        <f t="shared" si="520"/>
        <v>0</v>
      </c>
      <c r="CM98" s="621">
        <f t="shared" si="520"/>
        <v>0</v>
      </c>
      <c r="CN98" s="621">
        <f t="shared" si="520"/>
        <v>0</v>
      </c>
      <c r="CO98" s="621">
        <f t="shared" si="520"/>
        <v>0</v>
      </c>
      <c r="CP98" s="622">
        <f t="shared" si="520"/>
        <v>0</v>
      </c>
      <c r="CQ98" s="10"/>
      <c r="CX98" s="7"/>
    </row>
    <row r="99" spans="1:102" ht="14.2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13"/>
      <c r="BY99" s="13"/>
      <c r="BZ99" s="13"/>
      <c r="CA99" s="13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10"/>
      <c r="CX99" s="7"/>
    </row>
    <row r="100" spans="1:102" ht="14.2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13"/>
      <c r="BY100" s="13"/>
      <c r="BZ100" s="13"/>
      <c r="CA100" s="13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10"/>
      <c r="CX100" s="7"/>
    </row>
    <row r="101" spans="1:102" ht="14.2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13"/>
      <c r="BY101" s="13"/>
      <c r="BZ101" s="13"/>
      <c r="CA101" s="13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10"/>
      <c r="CX101" s="7"/>
    </row>
    <row r="102" spans="1:102" ht="14.2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13"/>
      <c r="BY102" s="13"/>
      <c r="BZ102" s="13"/>
      <c r="CA102" s="13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10"/>
      <c r="CX102" s="7"/>
    </row>
    <row r="103" spans="1:102" ht="14.2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13"/>
      <c r="BY103" s="13"/>
      <c r="BZ103" s="13"/>
      <c r="CA103" s="13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10"/>
      <c r="CX103" s="7"/>
    </row>
    <row r="104" spans="1:102" ht="14.2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13"/>
      <c r="BY104" s="13"/>
      <c r="BZ104" s="13"/>
      <c r="CA104" s="13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10"/>
      <c r="CX104" s="7"/>
    </row>
    <row r="105" spans="1:102" ht="14.2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13"/>
      <c r="BY105" s="13"/>
      <c r="BZ105" s="13"/>
      <c r="CA105" s="13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10"/>
      <c r="CX105" s="7"/>
    </row>
    <row r="106" spans="1:102" ht="14.2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13"/>
      <c r="BY106" s="13"/>
      <c r="BZ106" s="13"/>
      <c r="CA106" s="13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10"/>
      <c r="CX106" s="7"/>
    </row>
    <row r="107" spans="1:102" ht="14.2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13"/>
      <c r="BY107" s="13"/>
      <c r="BZ107" s="13"/>
      <c r="CA107" s="13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10"/>
      <c r="CX107" s="7"/>
    </row>
    <row r="108" spans="1:102" ht="14.2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13"/>
      <c r="BY108" s="13"/>
      <c r="BZ108" s="13"/>
      <c r="CA108" s="13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10"/>
      <c r="CX108" s="7"/>
    </row>
    <row r="109" spans="1:102" ht="14.2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13"/>
      <c r="BY109" s="13"/>
      <c r="BZ109" s="13"/>
      <c r="CA109" s="13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10"/>
      <c r="CX109" s="7"/>
    </row>
    <row r="110" spans="1:102" ht="14.2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13"/>
      <c r="BY110" s="13"/>
      <c r="BZ110" s="13"/>
      <c r="CA110" s="13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10"/>
      <c r="CX110" s="7"/>
    </row>
    <row r="111" spans="1:102" ht="14.2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13"/>
      <c r="BY111" s="13"/>
      <c r="BZ111" s="13"/>
      <c r="CA111" s="13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10"/>
      <c r="CX111" s="7"/>
    </row>
    <row r="112" spans="1:102" ht="14.2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13"/>
      <c r="BY112" s="13"/>
      <c r="BZ112" s="13"/>
      <c r="CA112" s="13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10"/>
      <c r="CX112" s="7"/>
    </row>
    <row r="113" spans="1:102" ht="14.2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13"/>
      <c r="BY113" s="13"/>
      <c r="BZ113" s="13"/>
      <c r="CA113" s="13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10"/>
      <c r="CX113" s="7"/>
    </row>
    <row r="114" spans="1:102" ht="14.2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13"/>
      <c r="BY114" s="13"/>
      <c r="BZ114" s="13"/>
      <c r="CA114" s="13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10"/>
      <c r="CX114" s="7"/>
    </row>
    <row r="115" spans="1:102" ht="14.2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13"/>
      <c r="BY115" s="13"/>
      <c r="BZ115" s="13"/>
      <c r="CA115" s="13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10"/>
      <c r="CX115" s="7"/>
    </row>
    <row r="116" spans="1:102" ht="14.25" customHeight="1">
      <c r="AZ116"/>
      <c r="BA116"/>
      <c r="BB116"/>
      <c r="BC116"/>
      <c r="BD116"/>
      <c r="BE116"/>
      <c r="BF116"/>
      <c r="BG116"/>
      <c r="BH116"/>
      <c r="BI116"/>
      <c r="BJ116"/>
      <c r="BK116"/>
      <c r="BY116"/>
      <c r="BZ116"/>
      <c r="CA116"/>
      <c r="CN116"/>
      <c r="CO116"/>
      <c r="CP116"/>
      <c r="CQ116"/>
    </row>
    <row r="117" spans="1:102" ht="14.25" customHeight="1">
      <c r="A117" s="7"/>
      <c r="B117" s="97" t="s">
        <v>25</v>
      </c>
      <c r="C117" s="97"/>
      <c r="D117" s="98" t="str">
        <f>+'AVGO IS'!D205</f>
        <v>A</v>
      </c>
      <c r="E117" s="98" t="str">
        <f>+'AVGO IS'!E205</f>
        <v>A</v>
      </c>
      <c r="F117" s="98" t="str">
        <f>+'AVGO IS'!F205</f>
        <v>A</v>
      </c>
      <c r="G117" s="98" t="str">
        <f>+'AVGO IS'!G205</f>
        <v>A</v>
      </c>
      <c r="H117" s="98" t="str">
        <f>+'AVGO IS'!H205</f>
        <v>A</v>
      </c>
      <c r="I117" s="98" t="str">
        <f>+'AVGO IS'!I205</f>
        <v>A</v>
      </c>
      <c r="J117" s="98" t="str">
        <f>+'AVGO IS'!J205</f>
        <v>A</v>
      </c>
      <c r="K117" s="98" t="str">
        <f>+'AVGO IS'!K205</f>
        <v>A</v>
      </c>
      <c r="L117" s="98" t="str">
        <f>+'AVGO IS'!L205</f>
        <v>A</v>
      </c>
      <c r="M117" s="98" t="str">
        <f>+'AVGO IS'!M205</f>
        <v>A</v>
      </c>
      <c r="N117" s="98" t="str">
        <f>+'AVGO IS'!N205</f>
        <v>A</v>
      </c>
      <c r="O117" s="98" t="str">
        <f>+'AVGO IS'!O205</f>
        <v>A</v>
      </c>
      <c r="P117" s="98" t="str">
        <f>+'AVGO IS'!P205</f>
        <v>A</v>
      </c>
      <c r="Q117" s="98" t="str">
        <f>+'AVGO IS'!Q205</f>
        <v>A</v>
      </c>
      <c r="R117" s="98" t="str">
        <f>+'AVGO IS'!R205</f>
        <v>A</v>
      </c>
      <c r="S117" s="98" t="str">
        <f>+'AVGO IS'!S205</f>
        <v>A</v>
      </c>
      <c r="T117" s="98" t="str">
        <f>+'AVGO IS'!T205</f>
        <v>A</v>
      </c>
      <c r="U117" s="98" t="str">
        <f>+'AVGO IS'!U205</f>
        <v>A</v>
      </c>
      <c r="V117" s="98" t="str">
        <f>+'AVGO IS'!V205</f>
        <v>A</v>
      </c>
      <c r="W117" s="98" t="str">
        <f>+'AVGO IS'!W205</f>
        <v>A</v>
      </c>
      <c r="X117" s="98" t="str">
        <f>+'AVGO IS'!X205</f>
        <v>A</v>
      </c>
      <c r="Y117" s="98" t="str">
        <f>+'AVGO IS'!Y205</f>
        <v>A</v>
      </c>
      <c r="Z117" s="98" t="str">
        <f>+'AVGO IS'!Z205</f>
        <v>A</v>
      </c>
      <c r="AA117" s="98" t="str">
        <f>+'AVGO IS'!AA205</f>
        <v>A</v>
      </c>
      <c r="AB117" s="98" t="str">
        <f>+'AVGO IS'!AB205</f>
        <v>A</v>
      </c>
      <c r="AC117" s="98" t="str">
        <f>+'AVGO IS'!AC205</f>
        <v>A</v>
      </c>
      <c r="AD117" s="98" t="str">
        <f>+'AVGO IS'!AD205</f>
        <v>A</v>
      </c>
      <c r="AE117" s="98" t="str">
        <f>+'AVGO IS'!AE205</f>
        <v>A</v>
      </c>
      <c r="AF117" s="98" t="str">
        <f>+'AVGO IS'!AF205</f>
        <v>A</v>
      </c>
      <c r="AG117" s="98" t="str">
        <f>+'AVGO IS'!AG205</f>
        <v>A</v>
      </c>
      <c r="AH117" s="98" t="str">
        <f>+'AVGO IS'!AH205</f>
        <v>A</v>
      </c>
      <c r="AI117" s="98" t="str">
        <f>+'AVGO IS'!AI205</f>
        <v>A</v>
      </c>
      <c r="AJ117" s="98" t="str">
        <f>+'AVGO IS'!AJ205</f>
        <v>A</v>
      </c>
      <c r="AK117" s="98" t="str">
        <f>+'AVGO IS'!AK205</f>
        <v>A</v>
      </c>
      <c r="AL117" s="98" t="str">
        <f>+'AVGO IS'!AL205</f>
        <v>A</v>
      </c>
      <c r="AM117" s="98" t="str">
        <f>+'AVGO IS'!AM205</f>
        <v>A</v>
      </c>
      <c r="AN117" s="98" t="str">
        <f>+'AVGO IS'!AN205</f>
        <v>A</v>
      </c>
      <c r="AO117" s="98" t="str">
        <f>+'AVGO IS'!AO205</f>
        <v>A</v>
      </c>
      <c r="AP117" s="98" t="str">
        <f>+'AVGO IS'!AP205</f>
        <v>A</v>
      </c>
      <c r="AQ117" s="98" t="str">
        <f>+'AVGO IS'!AQ205</f>
        <v>A</v>
      </c>
      <c r="AR117" s="98" t="str">
        <f>+'AVGO IS'!AR205</f>
        <v>A</v>
      </c>
      <c r="AS117" s="98" t="str">
        <f>+'AVGO IS'!AS205</f>
        <v>A</v>
      </c>
      <c r="AT117" s="98" t="str">
        <f>+'AVGO IS'!AT205</f>
        <v>A</v>
      </c>
      <c r="AU117" s="98" t="str">
        <f>+'AVGO IS'!AU205</f>
        <v>A</v>
      </c>
      <c r="AV117" s="98" t="str">
        <f>+'AVGO IS'!AV205</f>
        <v>A</v>
      </c>
      <c r="AW117" s="98" t="str">
        <f>+'AVGO IS'!AW205</f>
        <v>A</v>
      </c>
      <c r="AX117" s="98" t="str">
        <f>+'AVGO IS'!AX205</f>
        <v>A</v>
      </c>
      <c r="AY117" s="98" t="str">
        <f>+'AVGO IS'!AY205</f>
        <v>A</v>
      </c>
      <c r="AZ117" s="98" t="str">
        <f>+'AVGO IS'!AZ205</f>
        <v>A</v>
      </c>
      <c r="BA117" s="98" t="str">
        <f>+'AVGO IS'!BA205</f>
        <v>E</v>
      </c>
      <c r="BB117" s="98" t="str">
        <f>+'AVGO IS'!BB205</f>
        <v>E</v>
      </c>
      <c r="BC117" s="98" t="str">
        <f>+'AVGO IS'!BC205</f>
        <v>E</v>
      </c>
      <c r="BD117" s="98" t="str">
        <f>+'AVGO IS'!BD205</f>
        <v>E</v>
      </c>
      <c r="BE117" s="98" t="str">
        <f>+'AVGO IS'!BE205</f>
        <v>E</v>
      </c>
      <c r="BF117" s="98" t="str">
        <f>+'AVGO IS'!BF205</f>
        <v>E</v>
      </c>
      <c r="BG117" s="98" t="str">
        <f>+'AVGO IS'!BG205</f>
        <v>E</v>
      </c>
      <c r="BH117" s="98" t="str">
        <f>+'AVGO IS'!BH205</f>
        <v>E</v>
      </c>
      <c r="BI117" s="98" t="str">
        <f>+'AVGO IS'!BI205</f>
        <v>E</v>
      </c>
      <c r="BJ117" s="98" t="str">
        <f>+'AVGO IS'!BJ205</f>
        <v>E</v>
      </c>
      <c r="BK117" s="98" t="str">
        <f>+'AVGO IS'!BK205</f>
        <v>E</v>
      </c>
      <c r="BL117" s="98"/>
      <c r="BM117" s="98" t="str">
        <f>+'AVGO IS'!BM205</f>
        <v>A</v>
      </c>
      <c r="BN117" s="98" t="str">
        <f>+'AVGO IS'!BN205</f>
        <v>A</v>
      </c>
      <c r="BO117" s="98" t="str">
        <f>+'AVGO IS'!BO205</f>
        <v>A</v>
      </c>
      <c r="BP117" s="98" t="str">
        <f>+'AVGO IS'!BP205</f>
        <v>A</v>
      </c>
      <c r="BQ117" s="98" t="str">
        <f>+'AVGO IS'!BQ205</f>
        <v>A</v>
      </c>
      <c r="BR117" s="98" t="str">
        <f>+'AVGO IS'!BR205</f>
        <v>A</v>
      </c>
      <c r="BS117" s="98" t="str">
        <f>+'AVGO IS'!BS205</f>
        <v>A</v>
      </c>
      <c r="BT117" s="98" t="str">
        <f>+'AVGO IS'!BT205</f>
        <v>A</v>
      </c>
      <c r="BU117" s="98" t="str">
        <f>+'AVGO IS'!BU205</f>
        <v>A</v>
      </c>
      <c r="BV117" s="98" t="str">
        <f>+'AVGO IS'!BV205</f>
        <v>A</v>
      </c>
      <c r="BW117" s="98" t="str">
        <f>+'AVGO IS'!BW205</f>
        <v>A</v>
      </c>
      <c r="BX117" s="960" t="str">
        <f>+'AVGO IS'!BX205</f>
        <v>E</v>
      </c>
      <c r="BY117" s="960" t="str">
        <f>+'AVGO IS'!BY205</f>
        <v>E</v>
      </c>
      <c r="BZ117" s="960" t="str">
        <f>+'AVGO IS'!BZ205</f>
        <v>E</v>
      </c>
      <c r="CA117" s="960" t="str">
        <f>+'AVGO IS'!CA205</f>
        <v>E</v>
      </c>
      <c r="CB117" s="7"/>
      <c r="CC117" s="98"/>
      <c r="CD117" s="98"/>
      <c r="CE117" s="98"/>
      <c r="CF117" s="98"/>
      <c r="CG117" s="98"/>
      <c r="CH117" s="98"/>
      <c r="CI117" s="98"/>
      <c r="CJ117" s="98"/>
      <c r="CK117" s="98"/>
      <c r="CL117" s="98"/>
      <c r="CM117" s="98"/>
      <c r="CN117" s="98"/>
      <c r="CO117" s="98"/>
      <c r="CP117" s="98"/>
      <c r="CQ117" s="10"/>
      <c r="CX117" s="7"/>
    </row>
    <row r="118" spans="1:102" ht="14.25" customHeight="1" outlineLevel="1">
      <c r="A118" s="7"/>
      <c r="B118" s="63" t="s">
        <v>65</v>
      </c>
      <c r="C118" s="63"/>
      <c r="D118" s="171" t="s">
        <v>66</v>
      </c>
      <c r="E118" s="171" t="s">
        <v>66</v>
      </c>
      <c r="F118" s="171" t="s">
        <v>66</v>
      </c>
      <c r="G118" s="171" t="s">
        <v>66</v>
      </c>
      <c r="H118" s="171" t="s">
        <v>66</v>
      </c>
      <c r="I118" s="171" t="s">
        <v>66</v>
      </c>
      <c r="J118" s="171" t="s">
        <v>66</v>
      </c>
      <c r="K118" s="171" t="s">
        <v>66</v>
      </c>
      <c r="L118" s="171" t="s">
        <v>66</v>
      </c>
      <c r="M118" s="171" t="s">
        <v>66</v>
      </c>
      <c r="N118" s="171" t="s">
        <v>66</v>
      </c>
      <c r="O118" s="171" t="s">
        <v>66</v>
      </c>
      <c r="P118" s="171" t="s">
        <v>66</v>
      </c>
      <c r="Q118" s="171" t="s">
        <v>66</v>
      </c>
      <c r="R118" s="171" t="s">
        <v>66</v>
      </c>
      <c r="S118" s="171" t="s">
        <v>66</v>
      </c>
      <c r="T118" s="171" t="s">
        <v>66</v>
      </c>
      <c r="U118" s="171" t="s">
        <v>66</v>
      </c>
      <c r="V118" s="171" t="s">
        <v>66</v>
      </c>
      <c r="W118" s="171" t="s">
        <v>66</v>
      </c>
      <c r="X118" s="171" t="s">
        <v>66</v>
      </c>
      <c r="Y118" s="171" t="s">
        <v>66</v>
      </c>
      <c r="Z118" s="171" t="s">
        <v>66</v>
      </c>
      <c r="AA118" s="171" t="s">
        <v>66</v>
      </c>
      <c r="AB118" s="171" t="s">
        <v>66</v>
      </c>
      <c r="AC118" s="171" t="s">
        <v>66</v>
      </c>
      <c r="AD118" s="171" t="s">
        <v>66</v>
      </c>
      <c r="AE118" s="171" t="s">
        <v>66</v>
      </c>
      <c r="AF118" s="171" t="s">
        <v>66</v>
      </c>
      <c r="AG118" s="171" t="s">
        <v>66</v>
      </c>
      <c r="AH118" s="171" t="s">
        <v>66</v>
      </c>
      <c r="AI118" s="171" t="s">
        <v>66</v>
      </c>
      <c r="AJ118" s="171" t="s">
        <v>66</v>
      </c>
      <c r="AK118" s="171" t="s">
        <v>66</v>
      </c>
      <c r="AL118" s="171" t="s">
        <v>66</v>
      </c>
      <c r="AM118" s="171" t="s">
        <v>66</v>
      </c>
      <c r="AN118" s="171" t="s">
        <v>66</v>
      </c>
      <c r="AO118" s="171" t="s">
        <v>66</v>
      </c>
      <c r="AP118" s="171" t="s">
        <v>66</v>
      </c>
      <c r="AQ118" s="171" t="s">
        <v>66</v>
      </c>
      <c r="AR118" s="171" t="s">
        <v>66</v>
      </c>
      <c r="AS118" s="171" t="s">
        <v>66</v>
      </c>
      <c r="AT118" s="171" t="s">
        <v>66</v>
      </c>
      <c r="AU118" s="171" t="s">
        <v>66</v>
      </c>
      <c r="AV118" s="171" t="s">
        <v>66</v>
      </c>
      <c r="AW118" s="171" t="s">
        <v>66</v>
      </c>
      <c r="AX118" s="171" t="s">
        <v>66</v>
      </c>
      <c r="AY118" s="171" t="s">
        <v>66</v>
      </c>
      <c r="AZ118" s="171" t="s">
        <v>66</v>
      </c>
      <c r="BA118" s="171" t="s">
        <v>66</v>
      </c>
      <c r="BB118" s="171" t="s">
        <v>66</v>
      </c>
      <c r="BC118" s="171" t="s">
        <v>66</v>
      </c>
      <c r="BD118" s="171" t="s">
        <v>66</v>
      </c>
      <c r="BE118" s="171" t="s">
        <v>66</v>
      </c>
      <c r="BF118" s="171" t="s">
        <v>66</v>
      </c>
      <c r="BG118" s="171" t="s">
        <v>66</v>
      </c>
      <c r="BH118" s="171" t="s">
        <v>66</v>
      </c>
      <c r="BI118" s="171" t="s">
        <v>66</v>
      </c>
      <c r="BJ118" s="171" t="s">
        <v>66</v>
      </c>
      <c r="BK118" s="171" t="s">
        <v>66</v>
      </c>
      <c r="BL118" s="7"/>
      <c r="BM118" s="171" t="s">
        <v>66</v>
      </c>
      <c r="BN118" s="171" t="s">
        <v>66</v>
      </c>
      <c r="BO118" s="171" t="s">
        <v>66</v>
      </c>
      <c r="BP118" s="171" t="s">
        <v>66</v>
      </c>
      <c r="BQ118" s="171" t="s">
        <v>66</v>
      </c>
      <c r="BR118" s="171" t="s">
        <v>66</v>
      </c>
      <c r="BS118" s="171" t="s">
        <v>66</v>
      </c>
      <c r="BT118" s="171" t="s">
        <v>66</v>
      </c>
      <c r="BU118" s="171" t="s">
        <v>66</v>
      </c>
      <c r="BV118" s="171" t="s">
        <v>66</v>
      </c>
      <c r="BW118" s="171" t="s">
        <v>66</v>
      </c>
      <c r="BX118" s="961" t="s">
        <v>66</v>
      </c>
      <c r="BY118" s="961" t="s">
        <v>66</v>
      </c>
      <c r="BZ118" s="961" t="s">
        <v>66</v>
      </c>
      <c r="CA118" s="961" t="s">
        <v>66</v>
      </c>
      <c r="CB118" s="7"/>
      <c r="CC118" s="171"/>
      <c r="CD118" s="171"/>
      <c r="CE118" s="171"/>
      <c r="CF118" s="171"/>
      <c r="CG118" s="171"/>
      <c r="CH118" s="171"/>
      <c r="CI118" s="171"/>
      <c r="CJ118" s="171"/>
      <c r="CK118" s="171"/>
      <c r="CL118" s="171"/>
      <c r="CM118" s="171"/>
      <c r="CN118" s="171"/>
      <c r="CO118" s="171"/>
      <c r="CP118" s="171"/>
      <c r="CQ118" s="10"/>
      <c r="CX118" s="7"/>
    </row>
    <row r="119" spans="1:102" ht="14.25" customHeight="1">
      <c r="A119" s="7"/>
      <c r="B119" s="63" t="s">
        <v>67</v>
      </c>
      <c r="C119" s="63"/>
      <c r="D119" s="172">
        <f>D60-C60+D63-+C63-D58+C58-'AVGO IS'!D92+C56-D56</f>
        <v>1076</v>
      </c>
      <c r="E119" s="172">
        <f>E60-D60+E63-+D63-E58+D58-'AVGO IS'!E92+D56-E56</f>
        <v>14</v>
      </c>
      <c r="F119" s="172">
        <f>F60-E60+F63-+E63-F58+E58-'AVGO IS'!F92+E56-F56</f>
        <v>2</v>
      </c>
      <c r="G119" s="172">
        <f>G60-F60+G63-+F63-G58+F58-'AVGO IS'!G92+F56-G56</f>
        <v>1</v>
      </c>
      <c r="H119" s="172">
        <f>H60-G60+H63-+G63-H58+G58-'AVGO IS'!H92+G56-H56</f>
        <v>10</v>
      </c>
      <c r="I119" s="172">
        <f>I60-H60+I63-+H63-I58+H58-'AVGO IS'!I92+H56-I56</f>
        <v>3</v>
      </c>
      <c r="J119" s="172">
        <f>J60-I60+J63-+I63-J58+I58-'AVGO IS'!J92+I56-J56</f>
        <v>-2</v>
      </c>
      <c r="K119" s="172">
        <f>K60-J60+K63-+J63-K58+J58-'AVGO IS'!K92+J56-K56</f>
        <v>-5</v>
      </c>
      <c r="L119" s="172">
        <f>L60-K60+L63-+K63-L58+K58-'AVGO IS'!L92+K56-L56</f>
        <v>-5</v>
      </c>
      <c r="M119" s="172">
        <f>M60-L60+M63-+L63-M58+L58-'AVGO IS'!M92+L56-M56</f>
        <v>0</v>
      </c>
      <c r="N119" s="172">
        <f>N60-M60+N63-+M63-N58+M58-'AVGO IS'!N92+M56-N56</f>
        <v>3</v>
      </c>
      <c r="O119" s="172">
        <f>O60-N60+O63-+N63-O58+N58-'AVGO IS'!O92+N56-O56</f>
        <v>2</v>
      </c>
      <c r="P119" s="172">
        <f>P60-O60+P63-+O63-P58+O58-'AVGO IS'!P92+O56-P56</f>
        <v>0</v>
      </c>
      <c r="Q119" s="172">
        <f>Q60-P60+Q63-+P63-Q58+P58-'AVGO IS'!Q92+P56-Q56</f>
        <v>2</v>
      </c>
      <c r="R119" s="172">
        <f>R60-Q60+R63-+Q63-R58+Q58-'AVGO IS'!R92+Q56-R56</f>
        <v>-2</v>
      </c>
      <c r="S119" s="172">
        <f>S60-R60+S63-+R63-S58+R58-'AVGO IS'!S92+R56-S56</f>
        <v>309</v>
      </c>
      <c r="T119" s="172">
        <f>T60-S60+T63-+S63-T58+S58-'AVGO IS'!T92+S56-T56</f>
        <v>9</v>
      </c>
      <c r="U119" s="172">
        <f>U60-T60+U63-+T63-U58+T58-'AVGO IS'!U92+T56-U56</f>
        <v>23</v>
      </c>
      <c r="V119" s="172">
        <f>V60-U60+V63-+U63-V58+U58-'AVGO IS'!V92+U56-V56</f>
        <v>10</v>
      </c>
      <c r="W119" s="172">
        <f>W60-V60+W63-+V63-W58+V58-'AVGO IS'!W92+V56-W56</f>
        <v>15</v>
      </c>
      <c r="X119" s="172">
        <f>X60-W60+X63-+W63-X58+W58-'AVGO IS'!X92+W56-X56</f>
        <v>20</v>
      </c>
      <c r="Y119" s="172">
        <f>Y60-X60+Y63-+X63-Y58+X58-'AVGO IS'!Y92+X56-Y56</f>
        <v>11</v>
      </c>
      <c r="Z119" s="172">
        <f>Z60-Y60+Z63-+Y63-Z58+Y58-'AVGO IS'!Z92+Y56-Z56</f>
        <v>-68</v>
      </c>
      <c r="AA119" s="172">
        <f>AA60-Z60+AA63-+Z63-AA58+Z58-'AVGO IS'!AA92+Z56-AA56</f>
        <v>-20</v>
      </c>
      <c r="AB119" s="172">
        <f>AB60-AA60+AB63-+AA63-AB58+AA58-'AVGO IS'!AB92+AA56-AB56</f>
        <v>-92</v>
      </c>
      <c r="AC119" s="172">
        <f>AC60-AB60+AC63-+AB63-AC58+AB58-'AVGO IS'!AC92+AB56-AC56</f>
        <v>-6</v>
      </c>
      <c r="AD119" s="172">
        <f>AD60-AC60+AD63-+AC63-AD58+AC58-'AVGO IS'!AD92+AC56-AD56</f>
        <v>-23</v>
      </c>
      <c r="AE119" s="172">
        <f>AE60-AD60+AE63-+AD63-AE58+AD58-'AVGO IS'!AE92+AD56-AE56</f>
        <v>-16</v>
      </c>
      <c r="AF119" s="172">
        <f>AF60-AE60+AF63-+AE63-AF58+AE58-'AVGO IS'!AF92+AE56-AF56</f>
        <v>-28</v>
      </c>
      <c r="AG119" s="172">
        <f>AG60-AF60+AG63-+AF63-AG58+AF58-'AVGO IS'!AG92+AF56-AG56</f>
        <v>-22</v>
      </c>
      <c r="AH119" s="172">
        <f>AH60-AG60+AH63-+AG63-AH58+AG58-'AVGO IS'!AH92+AG56-AH56</f>
        <v>-32</v>
      </c>
      <c r="AI119" s="172">
        <f>AI60-AH60+AI63-+AH63-AI58+AH58-'AVGO IS'!AI92+AH56-AI56</f>
        <v>-8</v>
      </c>
      <c r="AJ119" s="172">
        <f>AJ60-AI60+AJ63-+AI63-AJ58+AI58-'AVGO IS'!AJ92+AI56-AJ56</f>
        <v>-27</v>
      </c>
      <c r="AK119" s="172">
        <f>AK60-AJ60+AK63-+AJ63-AK58+AJ58-'AVGO IS'!AK92+AJ56-AK56</f>
        <v>4</v>
      </c>
      <c r="AL119" s="172">
        <f>AL60-AK60+AL63-+AK63-AL58+AK58-'AVGO IS'!AL92+AK56-AL56</f>
        <v>108</v>
      </c>
      <c r="AM119" s="172">
        <f>AM60-AL60+AM63-+AL63-AM58+AL58-'AVGO IS'!AM92+AL56-AM56</f>
        <v>53</v>
      </c>
      <c r="AN119" s="172">
        <f>AN60-AM60+AN63-+AM63-AN58+AM58-'AVGO IS'!AN92+AM56-AN56</f>
        <v>33</v>
      </c>
      <c r="AO119" s="172">
        <f>AO60-AN60+AO63-+AN63-AO58+AN58-'AVGO IS'!AO92+AN56-AO56</f>
        <v>89</v>
      </c>
      <c r="AP119" s="172">
        <f>AP60-AO60+AP63-+AO63-AP58+AO58-'AVGO IS'!AP92+AO56-AP56</f>
        <v>-20</v>
      </c>
      <c r="AQ119" s="172">
        <f>AQ60-AP60+AQ63-+AP63-AQ58+AP58-'AVGO IS'!AQ92+AP56-AQ56</f>
        <v>28</v>
      </c>
      <c r="AR119" s="172">
        <f>AR60-AQ60+AR63-+AQ63-AR58+AQ58-'AVGO IS'!AR92+AQ56-AR56</f>
        <v>30</v>
      </c>
      <c r="AS119" s="172">
        <f>AS60-AR60+AS63-+AR63-AS58+AR58-'AVGO IS'!AS92+AR56-AS56</f>
        <v>18896</v>
      </c>
      <c r="AT119" s="172">
        <f>AT60-AS60+AT63-+AS63-AT58+AS58-'AVGO IS'!AT92+AS56-AT56</f>
        <v>56</v>
      </c>
      <c r="AU119" s="172">
        <f>AU60-AT60+AU63-+AT63-AU58+AT58-'AVGO IS'!AU92+AT56-AU56</f>
        <v>102</v>
      </c>
      <c r="AV119" s="172">
        <f>AV60-AU60+AV63-+AU63-AV58+AU58-'AVGO IS'!AV92+AU56-AV56</f>
        <v>-118</v>
      </c>
      <c r="AW119" s="172">
        <f>AW60-AV60+AW63-+AV63-AW58+AV58-'AVGO IS'!AW92+AV56-AW56</f>
        <v>-132</v>
      </c>
      <c r="AX119" s="172">
        <f>AX60-AW60+AX63-+AW63-AX58+AW58-'AVGO IS'!AX92+AW56-AX56</f>
        <v>-146</v>
      </c>
      <c r="AY119" s="172">
        <f>AY60-AX60+AY63-+AX63-AY58+AX58-'AVGO IS'!AY92+AX56-AY56</f>
        <v>-121</v>
      </c>
      <c r="AZ119" s="172">
        <f>AZ60-AY60+AZ63-+AY63-AZ58+AY58-'AVGO IS'!AZ92+AY56-AZ56</f>
        <v>-790</v>
      </c>
      <c r="BA119" s="172">
        <f>BA60-AZ60+BA63-+AZ63-BA58+AZ58-'AVGO IS'!BA92+AZ56-BA56</f>
        <v>304.99999999999955</v>
      </c>
      <c r="BB119" s="172">
        <f>BB60-BA60+BB63-+BA63-BB58+BA58-'AVGO IS'!BB92+BA56-BB56</f>
        <v>310.00000000000068</v>
      </c>
      <c r="BC119" s="172">
        <f>BC60-BB60+BC63-+BB63-BC58+BB58-'AVGO IS'!BC92+BB56-BC56</f>
        <v>315.00000000000068</v>
      </c>
      <c r="BD119" s="172">
        <f>BD60-BC60+BD63-+BC63-BD58+BC58-'AVGO IS'!BD92+BC56-BD56</f>
        <v>317.75000000000068</v>
      </c>
      <c r="BE119" s="172">
        <f>BE60-BD60+BE63-+BD63-BE58+BD58-'AVGO IS'!BE92+BD56-BE56</f>
        <v>321.25</v>
      </c>
      <c r="BF119" s="172">
        <f>BF60-BE60+BF63-+BE63-BF58+BE58-'AVGO IS'!BF92+BE56-BF56</f>
        <v>324.75000000000045</v>
      </c>
      <c r="BG119" s="172">
        <f>BG60-BF60+BG63-+BF63-BG58+BF58-'AVGO IS'!BG92+BF56-BG56</f>
        <v>328.25000000000045</v>
      </c>
      <c r="BH119" s="172">
        <f>BH60-BG60+BH63-+BG63-BH58+BG58-'AVGO IS'!BH92+BG56-BH56</f>
        <v>330.99999999999864</v>
      </c>
      <c r="BI119" s="172">
        <f>BI60-BH60+BI63-+BH63-BI58+BH58-'AVGO IS'!BI92+BH56-BI56</f>
        <v>334.50000000000114</v>
      </c>
      <c r="BJ119" s="172">
        <f>BJ60-BI60+BJ63-+BI63-BJ58+BI58-'AVGO IS'!BJ92+BI56-BJ56</f>
        <v>338.00000000000136</v>
      </c>
      <c r="BK119" s="172">
        <f>BK60-BJ60+BK63-+BJ63-BK58+BJ58-'AVGO IS'!BK92+BJ56-BK56</f>
        <v>341.5</v>
      </c>
      <c r="BL119" s="7"/>
      <c r="BM119" s="173" t="e">
        <f>BM60-BL60+BM63-+BL63-BM58+BL58-#REF!+BL56-BM56</f>
        <v>#REF!</v>
      </c>
      <c r="BN119" s="173" t="e">
        <f>BN60-BM60+BN63-+BM63-BN58+BM58-#REF!+BM56-BN56</f>
        <v>#REF!</v>
      </c>
      <c r="BO119" s="173" t="e">
        <f>BO60-BN60+BO63-+BN63-BO58+BN58-#REF!+BN56-BO56</f>
        <v>#REF!</v>
      </c>
      <c r="BP119" s="173" t="e">
        <f>BP60-BO60+BP63-+BO63-BP58+BO58-#REF!+BO56-BP56</f>
        <v>#REF!</v>
      </c>
      <c r="BQ119" s="173" t="e">
        <f>BQ60-BP60+BQ63-+BP63-BQ58+BP58-#REF!+BP56-BQ56</f>
        <v>#REF!</v>
      </c>
      <c r="BR119" s="173" t="e">
        <f>BR60-BQ60+BR63-+BQ63-BR58+BQ58-#REF!+BQ56-BR56</f>
        <v>#REF!</v>
      </c>
      <c r="BS119" s="173">
        <f>BS60-BR60+BS63-+BR63-BS58+BR58-'AVGO IS'!BS92+BR56-BS56</f>
        <v>-137</v>
      </c>
      <c r="BT119" s="173">
        <f>BT60-BS60+BT63-+BS63-BT58+BS58-'AVGO IS'!BT92+BS56-BT56</f>
        <v>-90</v>
      </c>
      <c r="BU119" s="173">
        <f>BU60-BT60+BU63-+BT63-BU58+BT58-'AVGO IS'!BU92+BT56-BU56</f>
        <v>138</v>
      </c>
      <c r="BV119" s="173">
        <f>BV60-BU60+BV63-+BU63-BV58+BU58-'AVGO IS'!BV92+BU56-BV56</f>
        <v>130</v>
      </c>
      <c r="BW119" s="173">
        <f>BW60-BV60+BW63-+BV63-BW58+BV58-'AVGO IS'!BW92+BV56-BW56</f>
        <v>19084</v>
      </c>
      <c r="BX119" s="962">
        <f>BX60-BW60+BX63-+BW63-BX58+BW58-'AVGO IS'!BX92+BW56-BX56</f>
        <v>-517</v>
      </c>
      <c r="BY119" s="962">
        <f>BY60-BX60+BY63-+BX63-BY58+BX58-'AVGO IS'!BY92+BX56-BY56</f>
        <v>140</v>
      </c>
      <c r="BZ119" s="962">
        <f>BZ60-BY60+BZ63-+BY63-BZ58+BY58-'AVGO IS'!BZ92+BY56-BZ56</f>
        <v>1292.0000000000018</v>
      </c>
      <c r="CA119" s="962">
        <f>CA60-BZ60+CA63-+BZ63-CA58+BZ58-'AVGO IS'!CA92+BZ56-CA56</f>
        <v>1344.9999999999982</v>
      </c>
      <c r="CB119" s="7"/>
      <c r="CC119" s="173"/>
      <c r="CD119" s="173"/>
      <c r="CE119" s="173"/>
      <c r="CF119" s="173"/>
      <c r="CG119" s="173"/>
      <c r="CH119" s="173"/>
      <c r="CI119" s="173"/>
      <c r="CJ119" s="173"/>
      <c r="CK119" s="173"/>
      <c r="CL119" s="173"/>
      <c r="CM119" s="173"/>
      <c r="CN119" s="173"/>
      <c r="CO119" s="173"/>
      <c r="CP119" s="173"/>
      <c r="CQ119" s="10"/>
      <c r="CX119" s="7"/>
    </row>
    <row r="120" spans="1:102" ht="14.25" customHeight="1">
      <c r="A120" s="1"/>
      <c r="B120" s="174"/>
      <c r="C120" s="174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75"/>
      <c r="BY120" s="175"/>
      <c r="BZ120" s="175"/>
      <c r="CA120" s="175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5"/>
      <c r="CX120" s="1"/>
    </row>
    <row r="121" spans="1:102" ht="14.25" customHeight="1">
      <c r="A121" s="1"/>
      <c r="B121" s="174"/>
      <c r="C121" s="174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75"/>
      <c r="BY121" s="175"/>
      <c r="BZ121" s="175"/>
      <c r="CA121" s="175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5"/>
      <c r="CX121" s="1"/>
    </row>
    <row r="122" spans="1:10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75"/>
      <c r="BY122" s="175"/>
      <c r="BZ122" s="175"/>
      <c r="CA122" s="175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5"/>
      <c r="CX122" s="1"/>
    </row>
    <row r="123" spans="1:102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75"/>
      <c r="BY123" s="175"/>
      <c r="BZ123" s="175"/>
      <c r="CA123" s="175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5"/>
      <c r="CX123" s="1"/>
    </row>
  </sheetData>
  <phoneticPr fontId="46" type="noConversion"/>
  <pageMargins left="0" right="0" top="0" bottom="0" header="0" footer="0"/>
  <pageSetup paperSize="5" scale="52" orientation="landscape" r:id="rId1"/>
  <headerFooter alignWithMargins="0"/>
  <ignoredErrors>
    <ignoredError sqref="CB17 BL17:BU18 BU23 CB18 BA18:BC18 CX17:DF18" formula="1"/>
    <ignoredError sqref="D49:AF49 CB49:CJ49 BL49:BU49" formulaRange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CW164"/>
  <sheetViews>
    <sheetView topLeftCell="A4" zoomScale="80" zoomScaleNormal="80" workbookViewId="0">
      <pane xSplit="3" ySplit="4" topLeftCell="AV8" activePane="bottomRight" state="frozen"/>
      <selection activeCell="A4" sqref="A4"/>
      <selection pane="topRight" activeCell="D4" sqref="D4"/>
      <selection pane="bottomLeft" activeCell="A8" sqref="A8"/>
      <selection pane="bottomRight" activeCell="B4" sqref="B4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31" width="11.42578125" hidden="1" customWidth="1" outlineLevel="1"/>
    <col min="32" max="32" width="11.42578125" hidden="1" customWidth="1" outlineLevel="1" collapsed="1"/>
    <col min="33" max="39" width="11.42578125" hidden="1" customWidth="1" outlineLevel="1"/>
    <col min="40" max="40" width="11.42578125" hidden="1" customWidth="1" outlineLevel="1" collapsed="1"/>
    <col min="41" max="43" width="11.42578125" hidden="1" customWidth="1" outlineLevel="1"/>
    <col min="44" max="44" width="11.42578125" hidden="1" customWidth="1" outlineLevel="1" collapsed="1"/>
    <col min="45" max="45" width="11.5703125" hidden="1" customWidth="1" outlineLevel="1"/>
    <col min="46" max="46" width="11.7109375" hidden="1" customWidth="1" outlineLevel="1"/>
    <col min="47" max="47" width="12.28515625" hidden="1" customWidth="1" outlineLevel="1"/>
    <col min="48" max="48" width="11.42578125" customWidth="1" collapsed="1"/>
    <col min="49" max="49" width="11.5703125" style="1305" customWidth="1"/>
    <col min="50" max="51" width="11.42578125" customWidth="1"/>
    <col min="52" max="53" width="11.42578125" style="959" customWidth="1"/>
    <col min="54" max="54" width="12.28515625" style="959" customWidth="1"/>
    <col min="55" max="55" width="12.42578125" style="959" customWidth="1"/>
    <col min="56" max="59" width="11.42578125" style="1386" customWidth="1"/>
    <col min="60" max="63" width="11.42578125" style="1386" customWidth="1" outlineLevel="1"/>
    <col min="64" max="64" width="3.140625" customWidth="1"/>
    <col min="65" max="69" width="11.42578125" hidden="1" customWidth="1" outlineLevel="1"/>
    <col min="70" max="70" width="11.42578125" hidden="1" customWidth="1" outlineLevel="1" collapsed="1"/>
    <col min="71" max="72" width="11.42578125" hidden="1" customWidth="1" outlineLevel="1"/>
    <col min="73" max="75" width="12" hidden="1" customWidth="1" outlineLevel="1"/>
    <col min="76" max="76" width="12" customWidth="1" collapsed="1"/>
    <col min="77" max="77" width="12.5703125" style="1386" customWidth="1"/>
    <col min="78" max="78" width="12" style="1386" customWidth="1"/>
    <col min="79" max="79" width="12" style="1386" customWidth="1" outlineLevel="1"/>
    <col min="80" max="80" width="5.42578125" customWidth="1"/>
    <col min="81" max="85" width="11.42578125" hidden="1" customWidth="1" outlineLevel="1"/>
    <col min="86" max="86" width="11.42578125" hidden="1" customWidth="1" outlineLevel="1" collapsed="1"/>
    <col min="87" max="90" width="11.42578125" hidden="1" customWidth="1" outlineLevel="1"/>
    <col min="91" max="91" width="12" style="1386" hidden="1" customWidth="1" outlineLevel="1"/>
    <col min="92" max="92" width="11.28515625" style="1386" bestFit="1" customWidth="1" collapsed="1"/>
    <col min="93" max="93" width="11.28515625" style="1386" bestFit="1" customWidth="1"/>
    <col min="94" max="94" width="11.42578125" style="1386" customWidth="1"/>
  </cols>
  <sheetData>
    <row r="1" spans="1:95" ht="67.5" customHeight="1">
      <c r="A1" s="1"/>
      <c r="B1" s="5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/>
      <c r="BE1" s="1"/>
      <c r="BF1" s="2"/>
      <c r="BG1" s="1"/>
      <c r="BH1" s="2"/>
      <c r="BI1" s="1"/>
      <c r="BJ1" s="2"/>
      <c r="BK1" s="1"/>
      <c r="BL1" s="2" t="str">
        <f>IF(SUM(BS)&lt;&gt;0,"BS BREAK","")</f>
        <v/>
      </c>
      <c r="BM1" s="1"/>
      <c r="BN1" s="2" t="str">
        <f>IF(SUM(BS)&lt;&gt;0,"BS BREAK","")</f>
        <v/>
      </c>
      <c r="BO1" s="1"/>
      <c r="BP1" s="2" t="str">
        <f>IF(SUM(BS)&lt;&gt;0,"BS BREAK","")</f>
        <v/>
      </c>
      <c r="BQ1" s="1"/>
      <c r="BR1" s="2" t="str">
        <f>IF(SUM(BS)&lt;&gt;0,"BS BREAK","")</f>
        <v/>
      </c>
      <c r="BS1" s="1"/>
      <c r="BT1" s="2" t="str">
        <f>IF(SUM(BS)&lt;&gt;0,"BS BREAK","")</f>
        <v/>
      </c>
      <c r="BU1" s="1"/>
      <c r="BV1" s="2" t="str">
        <f>IF(SUM(BS)&lt;&gt;0,"BS BREAK","")</f>
        <v/>
      </c>
      <c r="BW1" s="2"/>
      <c r="BX1" s="1" t="str">
        <f>IF(SUM(BS)&lt;&gt;0,"BS BREAK","")</f>
        <v/>
      </c>
      <c r="BY1" s="1"/>
      <c r="BZ1" s="1"/>
      <c r="CA1" s="1"/>
      <c r="CB1" s="1"/>
      <c r="CC1" s="2" t="str">
        <f>IF(SUM(BS)&lt;&gt;0,"BS BREAK","")</f>
        <v/>
      </c>
      <c r="CD1" s="1"/>
      <c r="CE1" s="2" t="str">
        <f>IF(SUM(BS)&lt;&gt;0,"BS BREAK","")</f>
        <v/>
      </c>
      <c r="CF1" s="1"/>
      <c r="CG1" s="2" t="str">
        <f>IF(SUM(BS)&lt;&gt;0,"BS BREAK","")</f>
        <v/>
      </c>
      <c r="CH1" s="1"/>
      <c r="CI1" s="2" t="str">
        <f>IF(SUM(BS)&lt;&gt;0,"BS BREAK","")</f>
        <v/>
      </c>
      <c r="CJ1" s="2"/>
      <c r="CK1" s="2"/>
      <c r="CL1" s="2"/>
      <c r="CM1" s="2"/>
      <c r="CN1" s="2"/>
      <c r="CO1" s="2"/>
      <c r="CP1" s="1"/>
      <c r="CQ1" s="1"/>
    </row>
    <row r="2" spans="1:95" ht="18" customHeight="1">
      <c r="A2" s="1"/>
      <c r="B2" s="4" t="s">
        <v>155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ht="14.25" customHeight="1">
      <c r="A4" s="1"/>
      <c r="B4" s="1"/>
      <c r="C4" s="1"/>
      <c r="D4" s="1"/>
      <c r="E4" s="1"/>
      <c r="F4" s="1"/>
      <c r="G4" s="176"/>
      <c r="H4" s="1"/>
      <c r="I4" s="1"/>
      <c r="J4" s="1"/>
      <c r="K4" s="176"/>
      <c r="L4" s="1"/>
      <c r="M4" s="1"/>
      <c r="N4" s="1"/>
      <c r="O4" s="176"/>
      <c r="P4" s="1"/>
      <c r="Q4" s="1"/>
      <c r="R4" s="1"/>
      <c r="S4" s="176"/>
      <c r="T4" s="1"/>
      <c r="U4" s="1"/>
      <c r="V4" s="1"/>
      <c r="W4" s="1"/>
      <c r="X4" s="1"/>
      <c r="Y4" s="6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740"/>
      <c r="BX4" s="740"/>
      <c r="BY4" s="740"/>
      <c r="BZ4" s="740"/>
      <c r="CA4" s="740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040"/>
      <c r="CQ4" s="1"/>
    </row>
    <row r="5" spans="1:95" ht="14.25" customHeight="1">
      <c r="A5" s="7"/>
      <c r="B5" s="8" t="s">
        <v>266</v>
      </c>
      <c r="C5" s="9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301"/>
      <c r="AS5" s="130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219"/>
      <c r="BW5" s="1219"/>
      <c r="BX5" s="1219"/>
      <c r="BY5" s="1219"/>
      <c r="BZ5" s="1219"/>
      <c r="CA5" s="1219"/>
      <c r="CB5" s="1219"/>
      <c r="CC5" s="1219">
        <f t="shared" ref="CC5:CH5" si="0">CC25+CC28</f>
        <v>65</v>
      </c>
      <c r="CD5" s="1219">
        <f t="shared" si="0"/>
        <v>166</v>
      </c>
      <c r="CE5" s="1219">
        <f t="shared" si="0"/>
        <v>148</v>
      </c>
      <c r="CF5" s="1219">
        <f t="shared" si="0"/>
        <v>130</v>
      </c>
      <c r="CG5" s="1219">
        <f t="shared" si="0"/>
        <v>434</v>
      </c>
      <c r="CH5" s="1219">
        <f t="shared" si="0"/>
        <v>671</v>
      </c>
      <c r="CI5" s="1"/>
      <c r="CJ5" s="1"/>
      <c r="CL5" s="1288"/>
      <c r="CM5" s="1288"/>
      <c r="CN5" s="1288"/>
      <c r="CO5" s="1288"/>
      <c r="CP5" s="1288"/>
      <c r="CQ5" s="1219"/>
    </row>
    <row r="6" spans="1:95" ht="14.25" customHeight="1">
      <c r="A6" s="7"/>
      <c r="B6" s="11" t="s">
        <v>180</v>
      </c>
      <c r="C6" s="12"/>
      <c r="D6" s="330">
        <f>'BS '!D6</f>
        <v>38748</v>
      </c>
      <c r="E6" s="331">
        <f>'BS '!E6</f>
        <v>38837</v>
      </c>
      <c r="F6" s="331">
        <f>'BS '!F6</f>
        <v>38929</v>
      </c>
      <c r="G6" s="332">
        <f>'BS '!G6</f>
        <v>39021</v>
      </c>
      <c r="H6" s="330">
        <f>'BS '!H6</f>
        <v>39113</v>
      </c>
      <c r="I6" s="331">
        <f>'BS '!I6</f>
        <v>39202</v>
      </c>
      <c r="J6" s="331">
        <f>'BS '!J6</f>
        <v>39294</v>
      </c>
      <c r="K6" s="332">
        <f>'BS '!K6</f>
        <v>39386</v>
      </c>
      <c r="L6" s="330">
        <f>'BS '!L6</f>
        <v>39478</v>
      </c>
      <c r="M6" s="331">
        <f>'BS '!M6</f>
        <v>39568</v>
      </c>
      <c r="N6" s="331">
        <f>'BS '!N6</f>
        <v>39660</v>
      </c>
      <c r="O6" s="332">
        <f>'BS '!O6</f>
        <v>39752</v>
      </c>
      <c r="P6" s="330">
        <f>'BS '!P6</f>
        <v>39844</v>
      </c>
      <c r="Q6" s="331">
        <f>'BS '!Q6</f>
        <v>39933</v>
      </c>
      <c r="R6" s="331">
        <f>'BS '!R6</f>
        <v>40025</v>
      </c>
      <c r="S6" s="332">
        <f>'BS '!S6</f>
        <v>40117</v>
      </c>
      <c r="T6" s="330">
        <f>'BS '!T6</f>
        <v>40209</v>
      </c>
      <c r="U6" s="331">
        <f>'BS '!U6</f>
        <v>40298</v>
      </c>
      <c r="V6" s="331">
        <f>'BS '!V6</f>
        <v>40390</v>
      </c>
      <c r="W6" s="332">
        <f>'BS '!W6</f>
        <v>40482</v>
      </c>
      <c r="X6" s="330">
        <f>'BS '!X6</f>
        <v>40574</v>
      </c>
      <c r="Y6" s="331">
        <f>'BS '!Y6</f>
        <v>40663</v>
      </c>
      <c r="Z6" s="331">
        <f>'BS '!Z6</f>
        <v>40755</v>
      </c>
      <c r="AA6" s="332">
        <f>'BS '!AA6</f>
        <v>40847</v>
      </c>
      <c r="AB6" s="330">
        <f>'BS '!AB6</f>
        <v>40939</v>
      </c>
      <c r="AC6" s="331">
        <f>'BS '!AC6</f>
        <v>41029</v>
      </c>
      <c r="AD6" s="331">
        <f>'BS '!AD6</f>
        <v>41121</v>
      </c>
      <c r="AE6" s="332">
        <f>'BS '!AE6</f>
        <v>41213</v>
      </c>
      <c r="AF6" s="330">
        <f>'BS '!AF6</f>
        <v>41305</v>
      </c>
      <c r="AG6" s="331">
        <f>'BS '!AG6</f>
        <v>41394</v>
      </c>
      <c r="AH6" s="331">
        <f>'BS '!AH6</f>
        <v>41486</v>
      </c>
      <c r="AI6" s="331">
        <f>'BS '!AI6</f>
        <v>41578</v>
      </c>
      <c r="AJ6" s="330">
        <f>'BS '!AJ6</f>
        <v>41670</v>
      </c>
      <c r="AK6" s="331">
        <f>'BS '!AK6</f>
        <v>41759</v>
      </c>
      <c r="AL6" s="331">
        <f>'BS '!AL6</f>
        <v>41851</v>
      </c>
      <c r="AM6" s="331">
        <f>'BS '!AM6</f>
        <v>41943</v>
      </c>
      <c r="AN6" s="330">
        <f>'BS '!AN6</f>
        <v>42035</v>
      </c>
      <c r="AO6" s="331">
        <f>'BS '!AO6</f>
        <v>42124</v>
      </c>
      <c r="AP6" s="331">
        <f>'BS '!AP6</f>
        <v>42216</v>
      </c>
      <c r="AQ6" s="332">
        <f>'BS '!AQ6</f>
        <v>42308</v>
      </c>
      <c r="AR6" s="1154">
        <f>'BS '!AR6</f>
        <v>42400</v>
      </c>
      <c r="AS6" s="1155">
        <f>'BS '!AS6</f>
        <v>42490</v>
      </c>
      <c r="AT6" s="1155">
        <f>'BS '!AT6</f>
        <v>42582</v>
      </c>
      <c r="AU6" s="1156">
        <f>'BS '!AU6</f>
        <v>42674</v>
      </c>
      <c r="AV6" s="1154">
        <f>'BS '!AV6</f>
        <v>42766</v>
      </c>
      <c r="AW6" s="1244">
        <f>'BS '!AW6</f>
        <v>42855</v>
      </c>
      <c r="AX6" s="1155">
        <f>'BS '!AX6</f>
        <v>42947</v>
      </c>
      <c r="AY6" s="1156">
        <f>'BS '!AY6</f>
        <v>43039</v>
      </c>
      <c r="AZ6" s="1243">
        <f>'BS '!AZ6</f>
        <v>43131</v>
      </c>
      <c r="BA6" s="1244">
        <f>'BS '!BA6</f>
        <v>43220</v>
      </c>
      <c r="BB6" s="1244">
        <f>'BS '!BB6</f>
        <v>43312</v>
      </c>
      <c r="BC6" s="1245">
        <f>'BS '!BC6</f>
        <v>43404</v>
      </c>
      <c r="BD6" s="1316">
        <f>'BS '!BD6</f>
        <v>43496</v>
      </c>
      <c r="BE6" s="1317">
        <f>'BS '!BE6</f>
        <v>43585</v>
      </c>
      <c r="BF6" s="1317">
        <f>'BS '!BF6</f>
        <v>43677</v>
      </c>
      <c r="BG6" s="1318">
        <f>'BS '!BG6</f>
        <v>43769</v>
      </c>
      <c r="BH6" s="1316">
        <f>'BS '!BH6</f>
        <v>43861</v>
      </c>
      <c r="BI6" s="1317">
        <f>'BS '!BI6</f>
        <v>43951</v>
      </c>
      <c r="BJ6" s="1317">
        <f>'BS '!BJ6</f>
        <v>44043</v>
      </c>
      <c r="BK6" s="1318">
        <f>'BS '!BK6</f>
        <v>44135</v>
      </c>
      <c r="BL6" s="7"/>
      <c r="BM6" s="7"/>
      <c r="BN6" s="7"/>
      <c r="BO6" s="7"/>
      <c r="BP6" s="7"/>
      <c r="BQ6" s="7"/>
      <c r="BR6" s="7"/>
      <c r="BS6" s="7"/>
      <c r="BT6" s="7"/>
      <c r="BU6" s="7"/>
      <c r="BV6" s="1380"/>
      <c r="BW6" s="1380"/>
      <c r="BX6" s="1380"/>
      <c r="BY6" s="1380"/>
      <c r="BZ6" s="1380"/>
      <c r="CA6" s="1380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</row>
    <row r="7" spans="1:95" ht="14.25" customHeight="1">
      <c r="A7" s="7"/>
      <c r="B7" s="11"/>
      <c r="C7" s="177"/>
      <c r="D7" s="16" t="str">
        <f>'BS '!D7</f>
        <v>F1Q06</v>
      </c>
      <c r="E7" s="17" t="str">
        <f>'BS '!E7</f>
        <v>F2Q06</v>
      </c>
      <c r="F7" s="17" t="str">
        <f>'BS '!F7</f>
        <v>F3Q06</v>
      </c>
      <c r="G7" s="18" t="str">
        <f>'BS '!G7</f>
        <v>F4Q06</v>
      </c>
      <c r="H7" s="16" t="str">
        <f>'BS '!H7</f>
        <v>F1Q07</v>
      </c>
      <c r="I7" s="17" t="str">
        <f>'BS '!I7</f>
        <v>F2Q07</v>
      </c>
      <c r="J7" s="17" t="str">
        <f>'BS '!J7</f>
        <v>F3Q07</v>
      </c>
      <c r="K7" s="18" t="str">
        <f>'BS '!K7</f>
        <v>F4Q07</v>
      </c>
      <c r="L7" s="16" t="str">
        <f>'BS '!L7</f>
        <v>F1Q08</v>
      </c>
      <c r="M7" s="17" t="str">
        <f>'BS '!M7</f>
        <v>F2Q08</v>
      </c>
      <c r="N7" s="17" t="str">
        <f>'BS '!N7</f>
        <v>F3Q08</v>
      </c>
      <c r="O7" s="18" t="str">
        <f>'BS '!O7</f>
        <v>F4Q08</v>
      </c>
      <c r="P7" s="16" t="str">
        <f>'BS '!P7</f>
        <v>F1Q09</v>
      </c>
      <c r="Q7" s="17" t="str">
        <f>'BS '!Q7</f>
        <v>F2Q09</v>
      </c>
      <c r="R7" s="17" t="str">
        <f>'BS '!R7</f>
        <v>F3Q09</v>
      </c>
      <c r="S7" s="18" t="str">
        <f>'BS '!S7</f>
        <v>F4Q09</v>
      </c>
      <c r="T7" s="16" t="str">
        <f>'BS '!T7</f>
        <v>F1Q10</v>
      </c>
      <c r="U7" s="17" t="str">
        <f>'BS '!U7</f>
        <v>F2Q10</v>
      </c>
      <c r="V7" s="17" t="str">
        <f>'BS '!V7</f>
        <v>F3Q10</v>
      </c>
      <c r="W7" s="18" t="str">
        <f>'BS '!W7</f>
        <v>F4Q10</v>
      </c>
      <c r="X7" s="16" t="str">
        <f>'BS '!X7</f>
        <v>F1Q11</v>
      </c>
      <c r="Y7" s="17" t="str">
        <f>'BS '!Y7</f>
        <v>F2Q11</v>
      </c>
      <c r="Z7" s="17" t="str">
        <f>'BS '!Z7</f>
        <v>F3Q11</v>
      </c>
      <c r="AA7" s="18" t="str">
        <f>'BS '!AA7</f>
        <v>F4Q11</v>
      </c>
      <c r="AB7" s="16" t="str">
        <f>'BS '!AB7</f>
        <v>F1Q12</v>
      </c>
      <c r="AC7" s="17" t="str">
        <f>'BS '!AC7</f>
        <v>F2Q12</v>
      </c>
      <c r="AD7" s="17" t="str">
        <f>'BS '!AD7</f>
        <v>F3Q12</v>
      </c>
      <c r="AE7" s="18" t="str">
        <f>'BS '!AE7</f>
        <v>F4Q12</v>
      </c>
      <c r="AF7" s="16" t="str">
        <f>'BS '!AF7</f>
        <v>F1Q13</v>
      </c>
      <c r="AG7" s="17" t="str">
        <f>'BS '!AG7</f>
        <v>F2Q13</v>
      </c>
      <c r="AH7" s="17" t="str">
        <f>'BS '!AH7</f>
        <v>F3Q13</v>
      </c>
      <c r="AI7" s="17" t="str">
        <f>'BS '!AI7</f>
        <v>F4Q13</v>
      </c>
      <c r="AJ7" s="16" t="str">
        <f>'BS '!AJ7</f>
        <v>F1Q14</v>
      </c>
      <c r="AK7" s="17" t="str">
        <f>'BS '!AK7</f>
        <v>F2Q14A</v>
      </c>
      <c r="AL7" s="17" t="str">
        <f>'BS '!AL7</f>
        <v>F3Q14A</v>
      </c>
      <c r="AM7" s="17" t="str">
        <f>'BS '!AM7</f>
        <v>F4Q14A</v>
      </c>
      <c r="AN7" s="16" t="str">
        <f>'BS '!AN7</f>
        <v>F1Q15A</v>
      </c>
      <c r="AO7" s="17" t="str">
        <f>'BS '!AO7</f>
        <v>F2Q15A</v>
      </c>
      <c r="AP7" s="17" t="str">
        <f>'BS '!AP7</f>
        <v>F3Q15A</v>
      </c>
      <c r="AQ7" s="18" t="str">
        <f>'BS '!AQ7</f>
        <v>F4Q15A</v>
      </c>
      <c r="AR7" s="1138" t="str">
        <f>'BS '!AR7</f>
        <v>F1Q16A</v>
      </c>
      <c r="AS7" s="1139" t="str">
        <f>'BS '!AS7</f>
        <v>F2Q16A</v>
      </c>
      <c r="AT7" s="1139" t="str">
        <f>'BS '!AT7</f>
        <v>F3Q16A</v>
      </c>
      <c r="AU7" s="1140" t="str">
        <f>'BS '!AU7</f>
        <v>F4Q16A</v>
      </c>
      <c r="AV7" s="1138" t="str">
        <f>'BS '!AV7</f>
        <v>F1Q17A</v>
      </c>
      <c r="AW7" s="1225" t="str">
        <f>'BS '!AW7</f>
        <v>F2Q17A</v>
      </c>
      <c r="AX7" s="1139" t="str">
        <f>'BS '!AX7</f>
        <v>F3Q17A</v>
      </c>
      <c r="AY7" s="1140" t="str">
        <f>'BS '!AY7</f>
        <v>F4Q17A</v>
      </c>
      <c r="AZ7" s="1224" t="str">
        <f>'BS '!AZ7</f>
        <v>F1Q18A</v>
      </c>
      <c r="BA7" s="1225" t="str">
        <f>'BS '!BA7</f>
        <v>F2Q18E</v>
      </c>
      <c r="BB7" s="1225" t="str">
        <f>'BS '!BB7</f>
        <v>F3Q18E</v>
      </c>
      <c r="BC7" s="1226" t="str">
        <f>'BS '!BC7</f>
        <v>F4Q18E</v>
      </c>
      <c r="BD7" s="1361" t="str">
        <f>'BS '!BD7</f>
        <v>F1Q19E</v>
      </c>
      <c r="BE7" s="1362" t="str">
        <f>'BS '!BE7</f>
        <v>F2Q19E</v>
      </c>
      <c r="BF7" s="1362" t="str">
        <f>'BS '!BF7</f>
        <v>F3Q19E</v>
      </c>
      <c r="BG7" s="1363" t="str">
        <f>'BS '!BG7</f>
        <v>F4Q19E</v>
      </c>
      <c r="BH7" s="1361" t="str">
        <f>'BS '!BH7</f>
        <v>F1Q20E</v>
      </c>
      <c r="BI7" s="1362" t="str">
        <f>'BS '!BI7</f>
        <v>F2Q20E</v>
      </c>
      <c r="BJ7" s="1362" t="str">
        <f>'BS '!BJ7</f>
        <v>F3Q20E</v>
      </c>
      <c r="BK7" s="1363" t="str">
        <f>'BS '!BK7</f>
        <v>F4Q20E</v>
      </c>
      <c r="BL7" s="19"/>
      <c r="BM7" s="16" t="str">
        <f>'BS '!BM7</f>
        <v>FY2006</v>
      </c>
      <c r="BN7" s="17" t="str">
        <f>'BS '!BN7</f>
        <v>FY2007</v>
      </c>
      <c r="BO7" s="17" t="str">
        <f>'BS '!BO7</f>
        <v>FY2008</v>
      </c>
      <c r="BP7" s="17" t="str">
        <f>'BS '!BP7</f>
        <v>FY2009</v>
      </c>
      <c r="BQ7" s="17" t="str">
        <f>'BS '!BQ7</f>
        <v>FY2010</v>
      </c>
      <c r="BR7" s="18" t="str">
        <f>'BS '!BR7</f>
        <v>FY2011</v>
      </c>
      <c r="BS7" s="16" t="str">
        <f>'BS '!BS7</f>
        <v>FY2012</v>
      </c>
      <c r="BT7" s="17" t="str">
        <f>'BS '!BT7</f>
        <v>FY2013</v>
      </c>
      <c r="BU7" s="1138" t="str">
        <f>'BS '!BU7</f>
        <v>FY2014A</v>
      </c>
      <c r="BV7" s="1139" t="str">
        <f>'BS '!BV7</f>
        <v>FY2015A</v>
      </c>
      <c r="BW7" s="1139" t="str">
        <f>'BS '!BW7</f>
        <v>FY2016A</v>
      </c>
      <c r="BX7" s="1139" t="str">
        <f>'BS '!BX7</f>
        <v>FY2017A</v>
      </c>
      <c r="BY7" s="1362" t="str">
        <f>'BS '!BY7</f>
        <v>FY2018E</v>
      </c>
      <c r="BZ7" s="1362" t="str">
        <f>'BS '!BZ7</f>
        <v>FY2019E</v>
      </c>
      <c r="CA7" s="1363" t="str">
        <f>'BS '!CA7</f>
        <v>FY2020E</v>
      </c>
      <c r="CB7" s="19"/>
      <c r="CC7" s="16" t="str">
        <f>'BS '!CC7</f>
        <v>CY2006</v>
      </c>
      <c r="CD7" s="17" t="str">
        <f>'BS '!CD7</f>
        <v>CY2007</v>
      </c>
      <c r="CE7" s="17" t="str">
        <f>'BS '!CE7</f>
        <v>CY2008</v>
      </c>
      <c r="CF7" s="17" t="str">
        <f>'BS '!CF7</f>
        <v>CY2009</v>
      </c>
      <c r="CG7" s="17" t="str">
        <f>'BS '!CG7</f>
        <v>CY2010</v>
      </c>
      <c r="CH7" s="17" t="str">
        <f>'BS '!CH7</f>
        <v>CY2011</v>
      </c>
      <c r="CI7" s="17" t="str">
        <f>'BS '!CI7</f>
        <v>CY2012</v>
      </c>
      <c r="CJ7" s="17" t="str">
        <f>'BS '!CJ7</f>
        <v>CY2013</v>
      </c>
      <c r="CK7" s="17" t="str">
        <f>'BS '!CK7</f>
        <v>CY2014A</v>
      </c>
      <c r="CL7" s="17" t="str">
        <f>'BS '!CL7</f>
        <v>CY2015A</v>
      </c>
      <c r="CM7" s="1362" t="str">
        <f>'BS '!CM7</f>
        <v>CY2016A</v>
      </c>
      <c r="CN7" s="1362" t="str">
        <f>'BS '!CN7</f>
        <v>CY2017A</v>
      </c>
      <c r="CO7" s="1362" t="str">
        <f>'BS '!CO7</f>
        <v>CY2018E</v>
      </c>
      <c r="CP7" s="1363" t="str">
        <f>'BS '!CP7</f>
        <v>CY2019E</v>
      </c>
      <c r="CQ7" s="7"/>
    </row>
    <row r="8" spans="1:95" ht="14.25" customHeight="1">
      <c r="A8" s="7"/>
      <c r="B8" s="178" t="str">
        <f t="shared" ref="B8:B25" si="1">B93</f>
        <v>Cash flows provided by (used for) operating activities:</v>
      </c>
      <c r="C8" s="44"/>
      <c r="D8" s="181"/>
      <c r="E8" s="179"/>
      <c r="F8" s="179"/>
      <c r="G8" s="180"/>
      <c r="H8" s="181"/>
      <c r="I8" s="179"/>
      <c r="J8" s="179"/>
      <c r="K8" s="180"/>
      <c r="L8" s="181"/>
      <c r="M8" s="179"/>
      <c r="N8" s="179"/>
      <c r="O8" s="180"/>
      <c r="P8" s="181"/>
      <c r="Q8" s="179"/>
      <c r="R8" s="179"/>
      <c r="S8" s="180"/>
      <c r="T8" s="181"/>
      <c r="U8" s="179"/>
      <c r="V8" s="179"/>
      <c r="W8" s="179"/>
      <c r="X8" s="181"/>
      <c r="Y8" s="179"/>
      <c r="Z8" s="179"/>
      <c r="AA8" s="180"/>
      <c r="AB8" s="181"/>
      <c r="AC8" s="179"/>
      <c r="AD8" s="179"/>
      <c r="AE8" s="180"/>
      <c r="AF8" s="181"/>
      <c r="AG8" s="179"/>
      <c r="AH8" s="179"/>
      <c r="AI8" s="179"/>
      <c r="AJ8" s="181"/>
      <c r="AK8" s="179"/>
      <c r="AL8" s="179"/>
      <c r="AM8" s="179"/>
      <c r="AN8" s="181"/>
      <c r="AO8" s="179"/>
      <c r="AP8" s="179"/>
      <c r="AQ8" s="180"/>
      <c r="AR8" s="181"/>
      <c r="AS8" s="179"/>
      <c r="AT8" s="179"/>
      <c r="AU8" s="180"/>
      <c r="AV8" s="181"/>
      <c r="AW8" s="179"/>
      <c r="AX8" s="179"/>
      <c r="AY8" s="180"/>
      <c r="AZ8" s="181"/>
      <c r="BA8" s="179"/>
      <c r="BB8" s="179"/>
      <c r="BC8" s="180"/>
      <c r="BD8" s="181"/>
      <c r="BE8" s="179"/>
      <c r="BF8" s="179"/>
      <c r="BG8" s="180"/>
      <c r="BH8" s="181"/>
      <c r="BI8" s="179"/>
      <c r="BJ8" s="179"/>
      <c r="BK8" s="180"/>
      <c r="BL8" s="19"/>
      <c r="BM8" s="625"/>
      <c r="BN8" s="182"/>
      <c r="BO8" s="182"/>
      <c r="BP8" s="182"/>
      <c r="BQ8" s="182"/>
      <c r="BR8" s="183"/>
      <c r="BS8" s="625"/>
      <c r="BT8" s="182"/>
      <c r="BU8" s="625"/>
      <c r="BV8" s="182"/>
      <c r="BW8" s="182"/>
      <c r="BX8" s="182"/>
      <c r="BY8" s="182"/>
      <c r="BZ8" s="182"/>
      <c r="CA8" s="183"/>
      <c r="CB8" s="19"/>
      <c r="CC8" s="625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3"/>
      <c r="CQ8" s="7"/>
    </row>
    <row r="9" spans="1:95" ht="14.25" customHeight="1">
      <c r="A9" s="7"/>
      <c r="B9" s="21" t="str">
        <f t="shared" si="1"/>
        <v>Net income</v>
      </c>
      <c r="C9" s="22"/>
      <c r="D9" s="94">
        <f>+'AVGO IS'!D92</f>
        <v>-102</v>
      </c>
      <c r="E9" s="95">
        <f>+'AVGO IS'!E92</f>
        <v>-48</v>
      </c>
      <c r="F9" s="95">
        <f>+'AVGO IS'!F92</f>
        <v>-23</v>
      </c>
      <c r="G9" s="96">
        <f>+'AVGO IS'!G92</f>
        <v>-78</v>
      </c>
      <c r="H9" s="94">
        <f>+'AVGO IS'!H92</f>
        <v>6</v>
      </c>
      <c r="I9" s="95">
        <f>+'AVGO IS'!I92</f>
        <v>4</v>
      </c>
      <c r="J9" s="95">
        <f>+'AVGO IS'!J92</f>
        <v>-167</v>
      </c>
      <c r="K9" s="96">
        <f>+'AVGO IS'!K92</f>
        <v>-2</v>
      </c>
      <c r="L9" s="94">
        <f>+'AVGO IS'!L92</f>
        <v>4</v>
      </c>
      <c r="M9" s="95">
        <f>+'AVGO IS'!M92</f>
        <v>17</v>
      </c>
      <c r="N9" s="95">
        <f>+'AVGO IS'!N92</f>
        <v>44</v>
      </c>
      <c r="O9" s="96">
        <f>+'AVGO IS'!O92</f>
        <v>18</v>
      </c>
      <c r="P9" s="94">
        <f>+'AVGO IS'!P92</f>
        <v>6</v>
      </c>
      <c r="Q9" s="95">
        <f>+'AVGO IS'!Q92</f>
        <v>-31</v>
      </c>
      <c r="R9" s="95">
        <f>+'AVGO IS'!R92</f>
        <v>2</v>
      </c>
      <c r="S9" s="96">
        <f>+'AVGO IS'!S92</f>
        <v>-21</v>
      </c>
      <c r="T9" s="94">
        <f>+'AVGO IS'!T92</f>
        <v>38</v>
      </c>
      <c r="U9" s="95">
        <f>+'AVGO IS'!U92</f>
        <v>90</v>
      </c>
      <c r="V9" s="95">
        <f>+'AVGO IS'!V92</f>
        <v>123</v>
      </c>
      <c r="W9" s="96">
        <f>+'AVGO IS'!W92</f>
        <v>164</v>
      </c>
      <c r="X9" s="191">
        <f>+'AVGO IS'!X92</f>
        <v>119</v>
      </c>
      <c r="Y9" s="95">
        <f>+'AVGO IS'!Y92</f>
        <v>135</v>
      </c>
      <c r="Z9" s="95">
        <f>+'AVGO IS'!Z92</f>
        <v>144</v>
      </c>
      <c r="AA9" s="96">
        <f>+'AVGO IS'!AA92</f>
        <v>154</v>
      </c>
      <c r="AB9" s="191">
        <f>+'AVGO IS'!AB92</f>
        <v>125</v>
      </c>
      <c r="AC9" s="95">
        <f>+'AVGO IS'!AC92</f>
        <v>134</v>
      </c>
      <c r="AD9" s="95">
        <f>+'AVGO IS'!AD92</f>
        <v>145</v>
      </c>
      <c r="AE9" s="96">
        <f>+'AVGO IS'!AE92</f>
        <v>159</v>
      </c>
      <c r="AF9" s="191">
        <f>+'AVGO IS'!AF92</f>
        <v>125</v>
      </c>
      <c r="AG9" s="95">
        <f>+'AVGO IS'!AG92</f>
        <v>113</v>
      </c>
      <c r="AH9" s="95">
        <f>+'AVGO IS'!AH92</f>
        <v>142</v>
      </c>
      <c r="AI9" s="95">
        <f>+'AVGO IS'!AI92</f>
        <v>172</v>
      </c>
      <c r="AJ9" s="94">
        <f>+'AVGO IS'!AJ92</f>
        <v>134</v>
      </c>
      <c r="AK9" s="95">
        <f>+'AVGO IS'!AK92</f>
        <v>158</v>
      </c>
      <c r="AL9" s="95">
        <f>+'AVGO IS'!AL92</f>
        <v>-164</v>
      </c>
      <c r="AM9" s="95">
        <f>+'AVGO IS'!AM92</f>
        <v>135</v>
      </c>
      <c r="AN9" s="94">
        <f>+'AVGO IS'!AN92</f>
        <v>351</v>
      </c>
      <c r="AO9" s="95">
        <f>+'AVGO IS'!AO92</f>
        <v>344</v>
      </c>
      <c r="AP9" s="95">
        <f>+'AVGO IS'!AP92</f>
        <v>240</v>
      </c>
      <c r="AQ9" s="96">
        <f>+'AVGO IS'!AQ92</f>
        <v>429</v>
      </c>
      <c r="AR9" s="94">
        <f>+'AVGO IS'!AR92</f>
        <v>377</v>
      </c>
      <c r="AS9" s="95">
        <f>+'AVGO IS'!AS92</f>
        <v>-1255</v>
      </c>
      <c r="AT9" s="95">
        <f>+'AVGO IS'!AT92</f>
        <v>-315</v>
      </c>
      <c r="AU9" s="96">
        <f>+'AVGO IS'!AU92</f>
        <v>-668</v>
      </c>
      <c r="AV9" s="94">
        <f>+'AVGO IS'!AV92</f>
        <v>252</v>
      </c>
      <c r="AW9" s="95">
        <f>+'AVGO IS'!AW92</f>
        <v>464</v>
      </c>
      <c r="AX9" s="95">
        <f>+'AVGO IS'!AX92</f>
        <v>507</v>
      </c>
      <c r="AY9" s="96">
        <f>+'AVGO IS'!AY92</f>
        <v>671</v>
      </c>
      <c r="AZ9" s="94">
        <f>+'AVGO IS'!AZ92</f>
        <v>6566</v>
      </c>
      <c r="BA9" s="95">
        <f>+'AVGO IS'!BA92</f>
        <v>1896.6153533135807</v>
      </c>
      <c r="BB9" s="95">
        <f>+'AVGO IS'!BB92</f>
        <v>1848.1184917577787</v>
      </c>
      <c r="BC9" s="96">
        <f>+'AVGO IS'!BC92</f>
        <v>2021.786526640991</v>
      </c>
      <c r="BD9" s="94">
        <f>+'AVGO IS'!BD92</f>
        <v>1913.4942838625732</v>
      </c>
      <c r="BE9" s="95">
        <f>+'AVGO IS'!BE92</f>
        <v>1850.6045130446073</v>
      </c>
      <c r="BF9" s="95">
        <f>+'AVGO IS'!BF92</f>
        <v>2015.1851842406372</v>
      </c>
      <c r="BG9" s="96">
        <f>+'AVGO IS'!BG92</f>
        <v>2285.2553740406579</v>
      </c>
      <c r="BH9" s="94">
        <f>+'AVGO IS'!BH92</f>
        <v>2167.5588625385913</v>
      </c>
      <c r="BI9" s="95">
        <f>+'AVGO IS'!BI92</f>
        <v>2023.3260857020966</v>
      </c>
      <c r="BJ9" s="95">
        <f>+'AVGO IS'!BJ92</f>
        <v>2135.0214538037349</v>
      </c>
      <c r="BK9" s="96">
        <f>+'AVGO IS'!BK92</f>
        <v>2304.1772716854175</v>
      </c>
      <c r="BL9" s="895"/>
      <c r="BM9" s="94">
        <f>SUM(D9:G9)</f>
        <v>-251</v>
      </c>
      <c r="BN9" s="95">
        <f>SUM(H9:K9)</f>
        <v>-159</v>
      </c>
      <c r="BO9" s="95">
        <f>SUM(L9:O9)</f>
        <v>83</v>
      </c>
      <c r="BP9" s="95">
        <f>SUM(P9:S9)</f>
        <v>-44</v>
      </c>
      <c r="BQ9" s="95">
        <f>SUM(T9:W9)</f>
        <v>415</v>
      </c>
      <c r="BR9" s="96">
        <f>SUM(X9:AA9)</f>
        <v>552</v>
      </c>
      <c r="BS9" s="94">
        <f>SUM(AB9:AE9)</f>
        <v>563</v>
      </c>
      <c r="BT9" s="95">
        <f>SUM(AF9:AI9)</f>
        <v>552</v>
      </c>
      <c r="BU9" s="94">
        <f>SUM(AJ9:AM9)</f>
        <v>263</v>
      </c>
      <c r="BV9" s="95">
        <f>SUM(AN9:AQ9)</f>
        <v>1364</v>
      </c>
      <c r="BW9" s="95">
        <f>SUM(AR9:AU9)</f>
        <v>-1861</v>
      </c>
      <c r="BX9" s="95">
        <f>SUM(AV9:AY9)</f>
        <v>1894</v>
      </c>
      <c r="BY9" s="95">
        <f>SUM(AZ9:BC9)</f>
        <v>12332.520371712351</v>
      </c>
      <c r="BZ9" s="95">
        <f>SUM(BD9:BG9)</f>
        <v>8064.5393551884754</v>
      </c>
      <c r="CA9" s="96">
        <f>SUM(BH9:BK9)</f>
        <v>8630.0836737298396</v>
      </c>
      <c r="CB9" s="19"/>
      <c r="CC9" s="94">
        <f>SUM(E9:H9)</f>
        <v>-143</v>
      </c>
      <c r="CD9" s="95">
        <f>SUM(I9:L9)</f>
        <v>-161</v>
      </c>
      <c r="CE9" s="95">
        <f>SUM(M9:P9)</f>
        <v>85</v>
      </c>
      <c r="CF9" s="95">
        <f>SUM(Q9:T9)</f>
        <v>-12</v>
      </c>
      <c r="CG9" s="95">
        <f>SUM(U9:X9)</f>
        <v>496</v>
      </c>
      <c r="CH9" s="95">
        <f>SUM(Y9:AB9)</f>
        <v>558</v>
      </c>
      <c r="CI9" s="95">
        <f>SUM(AC9:AF9)</f>
        <v>563</v>
      </c>
      <c r="CJ9" s="95">
        <f>SUM(AG9:AJ9)</f>
        <v>561</v>
      </c>
      <c r="CK9" s="95">
        <f>SUM(AK9:AN9)</f>
        <v>480</v>
      </c>
      <c r="CL9" s="95">
        <f>SUM(AO9:AR9)</f>
        <v>1390</v>
      </c>
      <c r="CM9" s="95">
        <f>SUM(AS9:AV9)</f>
        <v>-1986</v>
      </c>
      <c r="CN9" s="95">
        <f>SUM(AW9:AZ9)</f>
        <v>8208</v>
      </c>
      <c r="CO9" s="95">
        <f>SUM(BA9:BD9)</f>
        <v>7680.0146555749234</v>
      </c>
      <c r="CP9" s="96">
        <f>SUM(BE9:BH9)</f>
        <v>8318.6039338644932</v>
      </c>
      <c r="CQ9" s="7"/>
    </row>
    <row r="10" spans="1:95" ht="14.25" customHeight="1">
      <c r="A10" s="7"/>
      <c r="B10" s="184" t="str">
        <f t="shared" si="1"/>
        <v>Adjustments to reconcile net income to net cash provided by operating activities:</v>
      </c>
      <c r="C10" s="185"/>
      <c r="D10" s="188"/>
      <c r="E10" s="186"/>
      <c r="F10" s="186"/>
      <c r="G10" s="187"/>
      <c r="H10" s="188"/>
      <c r="I10" s="186"/>
      <c r="J10" s="186"/>
      <c r="K10" s="187"/>
      <c r="L10" s="188"/>
      <c r="M10" s="186"/>
      <c r="N10" s="186"/>
      <c r="O10" s="187"/>
      <c r="P10" s="188"/>
      <c r="Q10" s="186"/>
      <c r="R10" s="186"/>
      <c r="S10" s="187"/>
      <c r="T10" s="188"/>
      <c r="U10" s="186"/>
      <c r="V10" s="186"/>
      <c r="W10" s="187"/>
      <c r="X10" s="299"/>
      <c r="Y10" s="186"/>
      <c r="Z10" s="186"/>
      <c r="AA10" s="187"/>
      <c r="AB10" s="299"/>
      <c r="AC10" s="186"/>
      <c r="AD10" s="186"/>
      <c r="AE10" s="187"/>
      <c r="AF10" s="299"/>
      <c r="AG10" s="186"/>
      <c r="AH10" s="186"/>
      <c r="AI10" s="186"/>
      <c r="AJ10" s="188"/>
      <c r="AK10" s="186"/>
      <c r="AL10" s="186"/>
      <c r="AM10" s="186"/>
      <c r="AN10" s="188"/>
      <c r="AO10" s="186"/>
      <c r="AP10" s="186"/>
      <c r="AQ10" s="187"/>
      <c r="AR10" s="188"/>
      <c r="AS10" s="186"/>
      <c r="AT10" s="186"/>
      <c r="AU10" s="187"/>
      <c r="AV10" s="188"/>
      <c r="AW10" s="186"/>
      <c r="AX10" s="186"/>
      <c r="AY10" s="187"/>
      <c r="AZ10" s="188"/>
      <c r="BA10" s="186"/>
      <c r="BB10" s="186"/>
      <c r="BC10" s="187"/>
      <c r="BD10" s="188"/>
      <c r="BE10" s="186"/>
      <c r="BF10" s="186"/>
      <c r="BG10" s="187"/>
      <c r="BH10" s="188"/>
      <c r="BI10" s="186"/>
      <c r="BJ10" s="186"/>
      <c r="BK10" s="187"/>
      <c r="BL10" s="895"/>
      <c r="BM10" s="188"/>
      <c r="BN10" s="186"/>
      <c r="BO10" s="186"/>
      <c r="BP10" s="186"/>
      <c r="BQ10" s="186"/>
      <c r="BR10" s="187"/>
      <c r="BS10" s="188"/>
      <c r="BT10" s="186"/>
      <c r="BU10" s="188"/>
      <c r="BV10" s="186"/>
      <c r="BW10" s="186"/>
      <c r="BX10" s="186"/>
      <c r="BY10" s="186"/>
      <c r="BZ10" s="186"/>
      <c r="CA10" s="187"/>
      <c r="CB10" s="19"/>
      <c r="CC10" s="188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7"/>
      <c r="CQ10" s="7"/>
    </row>
    <row r="11" spans="1:95" ht="14.25" customHeight="1">
      <c r="A11" s="7"/>
      <c r="B11" s="48" t="str">
        <f t="shared" si="1"/>
        <v>Depreciation and amortization</v>
      </c>
      <c r="C11" s="49"/>
      <c r="D11" s="194">
        <v>52</v>
      </c>
      <c r="E11" s="192">
        <v>61</v>
      </c>
      <c r="F11" s="192">
        <v>52</v>
      </c>
      <c r="G11" s="193">
        <v>51</v>
      </c>
      <c r="H11" s="194">
        <v>45</v>
      </c>
      <c r="I11" s="192">
        <v>44</v>
      </c>
      <c r="J11" s="192">
        <v>45</v>
      </c>
      <c r="K11" s="193">
        <v>42</v>
      </c>
      <c r="L11" s="194">
        <v>39</v>
      </c>
      <c r="M11" s="192">
        <v>38</v>
      </c>
      <c r="N11" s="192">
        <v>40</v>
      </c>
      <c r="O11" s="193">
        <v>42</v>
      </c>
      <c r="P11" s="194">
        <v>41</v>
      </c>
      <c r="Q11" s="192">
        <v>39</v>
      </c>
      <c r="R11" s="192">
        <v>40</v>
      </c>
      <c r="S11" s="193">
        <v>40</v>
      </c>
      <c r="T11" s="194">
        <v>39</v>
      </c>
      <c r="U11" s="192">
        <f>20+20</f>
        <v>40</v>
      </c>
      <c r="V11" s="192">
        <f>20+20</f>
        <v>40</v>
      </c>
      <c r="W11" s="193">
        <f>21+19</f>
        <v>40</v>
      </c>
      <c r="X11" s="194">
        <f>21+20</f>
        <v>41</v>
      </c>
      <c r="Y11" s="192">
        <v>38</v>
      </c>
      <c r="Z11" s="192">
        <v>39</v>
      </c>
      <c r="AA11" s="193">
        <v>39</v>
      </c>
      <c r="AB11" s="194">
        <v>37</v>
      </c>
      <c r="AC11" s="192">
        <v>38</v>
      </c>
      <c r="AD11" s="192">
        <v>40</v>
      </c>
      <c r="AE11" s="193">
        <v>40</v>
      </c>
      <c r="AF11" s="194">
        <v>41</v>
      </c>
      <c r="AG11" s="192">
        <v>42</v>
      </c>
      <c r="AH11" s="192">
        <v>46</v>
      </c>
      <c r="AI11" s="192">
        <v>58</v>
      </c>
      <c r="AJ11" s="194">
        <v>57</v>
      </c>
      <c r="AK11" s="192">
        <v>61</v>
      </c>
      <c r="AL11" s="192">
        <v>257</v>
      </c>
      <c r="AM11" s="192">
        <v>250</v>
      </c>
      <c r="AN11" s="194">
        <v>226</v>
      </c>
      <c r="AO11" s="192">
        <v>230</v>
      </c>
      <c r="AP11" s="192">
        <v>256</v>
      </c>
      <c r="AQ11" s="193">
        <v>250</v>
      </c>
      <c r="AR11" s="194">
        <v>244</v>
      </c>
      <c r="AS11" s="192">
        <v>1040</v>
      </c>
      <c r="AT11" s="192">
        <v>1058</v>
      </c>
      <c r="AU11" s="193">
        <v>700</v>
      </c>
      <c r="AV11" s="194">
        <v>1114</v>
      </c>
      <c r="AW11" s="192">
        <v>1193</v>
      </c>
      <c r="AX11" s="192">
        <v>1211</v>
      </c>
      <c r="AY11" s="193">
        <v>1219</v>
      </c>
      <c r="AZ11" s="194">
        <v>1184</v>
      </c>
      <c r="BA11" s="189">
        <f t="shared" ref="BA11:BC11" si="2">BA80</f>
        <v>121.91968320000001</v>
      </c>
      <c r="BB11" s="189">
        <f t="shared" si="2"/>
        <v>127.39256491500001</v>
      </c>
      <c r="BC11" s="190">
        <f t="shared" si="2"/>
        <v>133.25446689397501</v>
      </c>
      <c r="BD11" s="191">
        <f t="shared" ref="BD11:BG11" si="3">BD80</f>
        <v>138.85225855540202</v>
      </c>
      <c r="BE11" s="189">
        <f t="shared" si="3"/>
        <v>144.2893979001712</v>
      </c>
      <c r="BF11" s="189">
        <f t="shared" si="3"/>
        <v>141.53604247984435</v>
      </c>
      <c r="BG11" s="190">
        <f t="shared" si="3"/>
        <v>147.6519126074966</v>
      </c>
      <c r="BH11" s="191">
        <f t="shared" ref="BH11:BK11" si="4">BH80</f>
        <v>139.54110491786474</v>
      </c>
      <c r="BI11" s="189">
        <f t="shared" si="4"/>
        <v>144.56893450197029</v>
      </c>
      <c r="BJ11" s="189">
        <f t="shared" si="4"/>
        <v>149.80087763487424</v>
      </c>
      <c r="BK11" s="190">
        <f t="shared" si="4"/>
        <v>155.36496122354515</v>
      </c>
      <c r="BL11" s="895"/>
      <c r="BM11" s="191">
        <f t="shared" ref="BM11:BM17" si="5">SUM(D11:G11)</f>
        <v>216</v>
      </c>
      <c r="BN11" s="189">
        <f t="shared" ref="BN11:BN17" si="6">SUM(H11:K11)</f>
        <v>176</v>
      </c>
      <c r="BO11" s="189">
        <f t="shared" ref="BO11:BO17" si="7">SUM(L11:O11)</f>
        <v>159</v>
      </c>
      <c r="BP11" s="189">
        <f t="shared" ref="BP11:BP17" si="8">SUM(P11:S11)</f>
        <v>160</v>
      </c>
      <c r="BQ11" s="189">
        <f t="shared" ref="BQ11:BQ17" si="9">SUM(T11:W11)</f>
        <v>159</v>
      </c>
      <c r="BR11" s="190">
        <f t="shared" ref="BR11:BR17" si="10">SUM(X11:AA11)</f>
        <v>157</v>
      </c>
      <c r="BS11" s="191">
        <f t="shared" ref="BS11:BS17" si="11">SUM(AB11:AE11)</f>
        <v>155</v>
      </c>
      <c r="BT11" s="189">
        <f t="shared" ref="BT11:BT17" si="12">SUM(AF11:AI11)</f>
        <v>187</v>
      </c>
      <c r="BU11" s="191">
        <f t="shared" ref="BU11:BU17" si="13">SUM(AJ11:AM11)</f>
        <v>625</v>
      </c>
      <c r="BV11" s="189">
        <f t="shared" ref="BV11:BV17" si="14">SUM(AN11:AQ11)</f>
        <v>962</v>
      </c>
      <c r="BW11" s="189">
        <f t="shared" ref="BW11:BW24" si="15">SUM(AR11:AU11)</f>
        <v>3042</v>
      </c>
      <c r="BX11" s="189">
        <f t="shared" ref="BX11:BX24" si="16">SUM(AV11:AY11)</f>
        <v>4737</v>
      </c>
      <c r="BY11" s="189">
        <f t="shared" ref="BY11:BY24" si="17">SUM(AZ11:BC11)</f>
        <v>1566.5667150089751</v>
      </c>
      <c r="BZ11" s="189">
        <f t="shared" ref="BZ11:BZ24" si="18">SUM(BD11:BG11)</f>
        <v>572.32961154291411</v>
      </c>
      <c r="CA11" s="190">
        <f t="shared" ref="CA11:CA24" si="19">SUM(BH11:BK11)</f>
        <v>589.27587827825448</v>
      </c>
      <c r="CB11" s="19"/>
      <c r="CC11" s="191">
        <f t="shared" ref="CC11:CC17" si="20">SUM(E11:H11)</f>
        <v>209</v>
      </c>
      <c r="CD11" s="189">
        <f t="shared" ref="CD11:CD17" si="21">SUM(I11:L11)</f>
        <v>170</v>
      </c>
      <c r="CE11" s="189">
        <f t="shared" ref="CE11:CE17" si="22">SUM(M11:P11)</f>
        <v>161</v>
      </c>
      <c r="CF11" s="189">
        <f t="shared" ref="CF11:CF17" si="23">SUM(Q11:T11)</f>
        <v>158</v>
      </c>
      <c r="CG11" s="189">
        <f t="shared" ref="CG11:CG17" si="24">SUM(U11:X11)</f>
        <v>161</v>
      </c>
      <c r="CH11" s="189">
        <f t="shared" ref="CH11:CH17" si="25">SUM(Y11:AB11)</f>
        <v>153</v>
      </c>
      <c r="CI11" s="189">
        <f t="shared" ref="CI11:CI17" si="26">SUM(AC11:AF11)</f>
        <v>159</v>
      </c>
      <c r="CJ11" s="189">
        <f t="shared" ref="CJ11:CJ17" si="27">SUM(AG11:AJ11)</f>
        <v>203</v>
      </c>
      <c r="CK11" s="189">
        <f t="shared" ref="CK11:CK17" si="28">SUM(AK11:AN11)</f>
        <v>794</v>
      </c>
      <c r="CL11" s="189">
        <f t="shared" ref="CL11:CL17" si="29">SUM(AO11:AR11)</f>
        <v>980</v>
      </c>
      <c r="CM11" s="189">
        <f t="shared" ref="CM11:CM17" si="30">SUM(AS11:AV11)</f>
        <v>3912</v>
      </c>
      <c r="CN11" s="189">
        <f t="shared" ref="CN11:CN17" si="31">SUM(AW11:AZ11)</f>
        <v>4807</v>
      </c>
      <c r="CO11" s="189">
        <f t="shared" ref="CO11:CO17" si="32">SUM(BA11:BD11)</f>
        <v>521.4189735643771</v>
      </c>
      <c r="CP11" s="190">
        <f t="shared" ref="CP11:CP24" si="33">SUM(BE11:BH11)</f>
        <v>573.01845790537686</v>
      </c>
      <c r="CQ11" s="7"/>
    </row>
    <row r="12" spans="1:95" ht="14.25" customHeight="1">
      <c r="A12" s="7"/>
      <c r="B12" s="48" t="str">
        <f t="shared" si="1"/>
        <v>Amortization of debt issuance costs</v>
      </c>
      <c r="C12" s="49"/>
      <c r="D12" s="194">
        <v>8</v>
      </c>
      <c r="E12" s="192">
        <v>6</v>
      </c>
      <c r="F12" s="192">
        <v>7</v>
      </c>
      <c r="G12" s="193">
        <v>1</v>
      </c>
      <c r="H12" s="194">
        <v>1</v>
      </c>
      <c r="I12" s="192">
        <v>1</v>
      </c>
      <c r="J12" s="192">
        <v>1</v>
      </c>
      <c r="K12" s="193">
        <v>1</v>
      </c>
      <c r="L12" s="194">
        <v>1</v>
      </c>
      <c r="M12" s="192">
        <v>1</v>
      </c>
      <c r="N12" s="192">
        <v>1</v>
      </c>
      <c r="O12" s="193">
        <v>1</v>
      </c>
      <c r="P12" s="194">
        <v>1</v>
      </c>
      <c r="Q12" s="192">
        <v>1</v>
      </c>
      <c r="R12" s="192">
        <v>1</v>
      </c>
      <c r="S12" s="193">
        <v>1</v>
      </c>
      <c r="T12" s="194">
        <v>1</v>
      </c>
      <c r="U12" s="192">
        <v>0</v>
      </c>
      <c r="V12" s="192">
        <v>0</v>
      </c>
      <c r="W12" s="193">
        <v>0</v>
      </c>
      <c r="X12" s="192">
        <v>0</v>
      </c>
      <c r="Y12" s="192">
        <v>0</v>
      </c>
      <c r="Z12" s="192">
        <v>1</v>
      </c>
      <c r="AA12" s="193">
        <v>0</v>
      </c>
      <c r="AB12" s="192">
        <v>0</v>
      </c>
      <c r="AC12" s="192">
        <v>0</v>
      </c>
      <c r="AD12" s="192">
        <v>0</v>
      </c>
      <c r="AE12" s="193">
        <v>0</v>
      </c>
      <c r="AF12" s="192">
        <v>0</v>
      </c>
      <c r="AG12" s="192">
        <v>0</v>
      </c>
      <c r="AH12" s="192">
        <v>0</v>
      </c>
      <c r="AI12" s="192">
        <v>1</v>
      </c>
      <c r="AJ12" s="194">
        <v>0</v>
      </c>
      <c r="AK12" s="192">
        <v>0</v>
      </c>
      <c r="AL12" s="192">
        <v>7</v>
      </c>
      <c r="AM12" s="192">
        <v>7</v>
      </c>
      <c r="AN12" s="194">
        <v>7</v>
      </c>
      <c r="AO12" s="192">
        <v>7</v>
      </c>
      <c r="AP12" s="192">
        <v>4</v>
      </c>
      <c r="AQ12" s="193">
        <v>4</v>
      </c>
      <c r="AR12" s="194">
        <v>4</v>
      </c>
      <c r="AS12" s="192">
        <v>13</v>
      </c>
      <c r="AT12" s="192">
        <v>10</v>
      </c>
      <c r="AU12" s="193">
        <v>9</v>
      </c>
      <c r="AV12" s="194">
        <v>8</v>
      </c>
      <c r="AW12" s="192">
        <v>6</v>
      </c>
      <c r="AX12" s="192">
        <v>5</v>
      </c>
      <c r="AY12" s="193">
        <v>5</v>
      </c>
      <c r="AZ12" s="194">
        <v>6</v>
      </c>
      <c r="BA12" s="925">
        <v>0</v>
      </c>
      <c r="BB12" s="925">
        <v>0</v>
      </c>
      <c r="BC12" s="926">
        <v>0</v>
      </c>
      <c r="BD12" s="1183">
        <v>0</v>
      </c>
      <c r="BE12" s="925">
        <v>0</v>
      </c>
      <c r="BF12" s="925">
        <v>0</v>
      </c>
      <c r="BG12" s="926">
        <v>0</v>
      </c>
      <c r="BH12" s="1183">
        <v>0</v>
      </c>
      <c r="BI12" s="925">
        <v>0</v>
      </c>
      <c r="BJ12" s="925">
        <v>0</v>
      </c>
      <c r="BK12" s="926">
        <v>0</v>
      </c>
      <c r="BL12" s="895"/>
      <c r="BM12" s="191">
        <f>SUM(D12:G12)</f>
        <v>22</v>
      </c>
      <c r="BN12" s="189">
        <f>SUM(H12:K12)</f>
        <v>4</v>
      </c>
      <c r="BO12" s="189">
        <f>SUM(L12:O12)</f>
        <v>4</v>
      </c>
      <c r="BP12" s="189">
        <f>SUM(P12:S12)</f>
        <v>4</v>
      </c>
      <c r="BQ12" s="189">
        <f t="shared" si="9"/>
        <v>1</v>
      </c>
      <c r="BR12" s="190">
        <f t="shared" si="10"/>
        <v>1</v>
      </c>
      <c r="BS12" s="191">
        <f>SUM(AB12:AE12)</f>
        <v>0</v>
      </c>
      <c r="BT12" s="189">
        <f>SUM(AF12:AI12)</f>
        <v>1</v>
      </c>
      <c r="BU12" s="191">
        <f t="shared" si="13"/>
        <v>14</v>
      </c>
      <c r="BV12" s="189">
        <f t="shared" si="14"/>
        <v>22</v>
      </c>
      <c r="BW12" s="189">
        <f t="shared" si="15"/>
        <v>36</v>
      </c>
      <c r="BX12" s="189">
        <f t="shared" si="16"/>
        <v>24</v>
      </c>
      <c r="BY12" s="189">
        <f t="shared" si="17"/>
        <v>6</v>
      </c>
      <c r="BZ12" s="189">
        <f t="shared" si="18"/>
        <v>0</v>
      </c>
      <c r="CA12" s="190">
        <f t="shared" si="19"/>
        <v>0</v>
      </c>
      <c r="CB12" s="19"/>
      <c r="CC12" s="191">
        <f t="shared" si="20"/>
        <v>15</v>
      </c>
      <c r="CD12" s="189">
        <f t="shared" si="21"/>
        <v>4</v>
      </c>
      <c r="CE12" s="189">
        <f t="shared" si="22"/>
        <v>4</v>
      </c>
      <c r="CF12" s="189">
        <f t="shared" si="23"/>
        <v>4</v>
      </c>
      <c r="CG12" s="189">
        <f t="shared" si="24"/>
        <v>0</v>
      </c>
      <c r="CH12" s="189">
        <f t="shared" si="25"/>
        <v>1</v>
      </c>
      <c r="CI12" s="189">
        <f t="shared" si="26"/>
        <v>0</v>
      </c>
      <c r="CJ12" s="189">
        <f t="shared" si="27"/>
        <v>1</v>
      </c>
      <c r="CK12" s="189">
        <f t="shared" si="28"/>
        <v>21</v>
      </c>
      <c r="CL12" s="189">
        <f t="shared" si="29"/>
        <v>19</v>
      </c>
      <c r="CM12" s="189">
        <f t="shared" si="30"/>
        <v>40</v>
      </c>
      <c r="CN12" s="189">
        <f t="shared" si="31"/>
        <v>22</v>
      </c>
      <c r="CO12" s="189">
        <f t="shared" si="32"/>
        <v>0</v>
      </c>
      <c r="CP12" s="190">
        <f t="shared" si="33"/>
        <v>0</v>
      </c>
      <c r="CQ12" s="7"/>
    </row>
    <row r="13" spans="1:95" ht="14.25" customHeight="1">
      <c r="A13" s="7"/>
      <c r="B13" s="48" t="str">
        <f t="shared" si="1"/>
        <v>Loss on extinguishment of debt</v>
      </c>
      <c r="C13" s="49"/>
      <c r="D13" s="194">
        <v>0</v>
      </c>
      <c r="E13" s="192">
        <v>0</v>
      </c>
      <c r="F13" s="192">
        <v>0</v>
      </c>
      <c r="G13" s="193">
        <v>0</v>
      </c>
      <c r="H13" s="194">
        <v>0</v>
      </c>
      <c r="I13" s="192">
        <v>10</v>
      </c>
      <c r="J13" s="192">
        <v>1</v>
      </c>
      <c r="K13" s="193">
        <v>1</v>
      </c>
      <c r="L13" s="194">
        <v>5</v>
      </c>
      <c r="M13" s="192">
        <v>0</v>
      </c>
      <c r="N13" s="192">
        <v>0</v>
      </c>
      <c r="O13" s="193">
        <v>0</v>
      </c>
      <c r="P13" s="194">
        <v>-1</v>
      </c>
      <c r="Q13" s="192">
        <v>0</v>
      </c>
      <c r="R13" s="192">
        <v>0</v>
      </c>
      <c r="S13" s="193">
        <v>9</v>
      </c>
      <c r="T13" s="194">
        <v>8</v>
      </c>
      <c r="U13" s="192">
        <v>0</v>
      </c>
      <c r="V13" s="192">
        <v>0</v>
      </c>
      <c r="W13" s="193">
        <v>0</v>
      </c>
      <c r="X13" s="192">
        <v>5</v>
      </c>
      <c r="Y13" s="192">
        <v>1</v>
      </c>
      <c r="Z13" s="192">
        <v>0</v>
      </c>
      <c r="AA13" s="193">
        <v>0</v>
      </c>
      <c r="AB13" s="192">
        <v>0</v>
      </c>
      <c r="AC13" s="192">
        <v>0</v>
      </c>
      <c r="AD13" s="192">
        <v>0</v>
      </c>
      <c r="AE13" s="193">
        <v>0</v>
      </c>
      <c r="AF13" s="192">
        <v>0</v>
      </c>
      <c r="AG13" s="192">
        <v>0</v>
      </c>
      <c r="AH13" s="192">
        <v>0</v>
      </c>
      <c r="AI13" s="192">
        <v>1</v>
      </c>
      <c r="AJ13" s="194">
        <v>0</v>
      </c>
      <c r="AK13" s="192">
        <v>0</v>
      </c>
      <c r="AL13" s="192">
        <v>0</v>
      </c>
      <c r="AM13" s="192"/>
      <c r="AN13" s="194">
        <v>0</v>
      </c>
      <c r="AO13" s="192">
        <v>0</v>
      </c>
      <c r="AP13" s="192">
        <v>0</v>
      </c>
      <c r="AQ13" s="193"/>
      <c r="AR13" s="194">
        <v>0</v>
      </c>
      <c r="AS13" s="192">
        <v>0</v>
      </c>
      <c r="AT13" s="192">
        <v>0</v>
      </c>
      <c r="AU13" s="193"/>
      <c r="AV13" s="194">
        <v>0</v>
      </c>
      <c r="AW13" s="192">
        <v>0</v>
      </c>
      <c r="AX13" s="192">
        <v>0</v>
      </c>
      <c r="AY13" s="193">
        <v>7</v>
      </c>
      <c r="AZ13" s="194">
        <v>0</v>
      </c>
      <c r="BA13" s="925">
        <v>0</v>
      </c>
      <c r="BB13" s="925">
        <v>0</v>
      </c>
      <c r="BC13" s="926">
        <v>0</v>
      </c>
      <c r="BD13" s="1183">
        <v>0</v>
      </c>
      <c r="BE13" s="925">
        <v>0</v>
      </c>
      <c r="BF13" s="925">
        <v>0</v>
      </c>
      <c r="BG13" s="926">
        <v>0</v>
      </c>
      <c r="BH13" s="1183">
        <v>0</v>
      </c>
      <c r="BI13" s="925">
        <v>0</v>
      </c>
      <c r="BJ13" s="925">
        <v>0</v>
      </c>
      <c r="BK13" s="926">
        <v>0</v>
      </c>
      <c r="BL13" s="895"/>
      <c r="BM13" s="191">
        <f>SUM(D13:G13)</f>
        <v>0</v>
      </c>
      <c r="BN13" s="189">
        <f>SUM(H13:K13)</f>
        <v>12</v>
      </c>
      <c r="BO13" s="189">
        <f>SUM(L13:O13)</f>
        <v>5</v>
      </c>
      <c r="BP13" s="189">
        <f>SUM(P13:S13)</f>
        <v>8</v>
      </c>
      <c r="BQ13" s="189">
        <f t="shared" si="9"/>
        <v>8</v>
      </c>
      <c r="BR13" s="190">
        <f t="shared" si="10"/>
        <v>6</v>
      </c>
      <c r="BS13" s="191">
        <f>SUM(AB13:AE13)</f>
        <v>0</v>
      </c>
      <c r="BT13" s="189">
        <f>SUM(AF13:AI13)</f>
        <v>1</v>
      </c>
      <c r="BU13" s="191">
        <f t="shared" si="13"/>
        <v>0</v>
      </c>
      <c r="BV13" s="189">
        <f t="shared" si="14"/>
        <v>0</v>
      </c>
      <c r="BW13" s="189">
        <f t="shared" si="15"/>
        <v>0</v>
      </c>
      <c r="BX13" s="189">
        <f t="shared" si="16"/>
        <v>7</v>
      </c>
      <c r="BY13" s="189">
        <f t="shared" si="17"/>
        <v>0</v>
      </c>
      <c r="BZ13" s="189">
        <f t="shared" si="18"/>
        <v>0</v>
      </c>
      <c r="CA13" s="190">
        <f t="shared" si="19"/>
        <v>0</v>
      </c>
      <c r="CB13" s="19"/>
      <c r="CC13" s="191">
        <f t="shared" si="20"/>
        <v>0</v>
      </c>
      <c r="CD13" s="189">
        <f t="shared" si="21"/>
        <v>17</v>
      </c>
      <c r="CE13" s="189">
        <f t="shared" si="22"/>
        <v>-1</v>
      </c>
      <c r="CF13" s="189">
        <f t="shared" si="23"/>
        <v>17</v>
      </c>
      <c r="CG13" s="189">
        <f t="shared" si="24"/>
        <v>5</v>
      </c>
      <c r="CH13" s="189">
        <f t="shared" si="25"/>
        <v>1</v>
      </c>
      <c r="CI13" s="189">
        <f t="shared" si="26"/>
        <v>0</v>
      </c>
      <c r="CJ13" s="189">
        <f t="shared" si="27"/>
        <v>1</v>
      </c>
      <c r="CK13" s="189">
        <f t="shared" si="28"/>
        <v>0</v>
      </c>
      <c r="CL13" s="189">
        <f t="shared" si="29"/>
        <v>0</v>
      </c>
      <c r="CM13" s="189">
        <f t="shared" si="30"/>
        <v>0</v>
      </c>
      <c r="CN13" s="189">
        <f t="shared" si="31"/>
        <v>7</v>
      </c>
      <c r="CO13" s="189">
        <f t="shared" si="32"/>
        <v>0</v>
      </c>
      <c r="CP13" s="190">
        <f t="shared" si="33"/>
        <v>0</v>
      </c>
      <c r="CQ13" s="7"/>
    </row>
    <row r="14" spans="1:95" ht="14.25" customHeight="1">
      <c r="A14" s="7"/>
      <c r="B14" s="48" t="str">
        <f t="shared" si="1"/>
        <v>Gain/Loss on disposal of PP&amp;E</v>
      </c>
      <c r="C14" s="49"/>
      <c r="D14" s="194">
        <v>0</v>
      </c>
      <c r="E14" s="192">
        <v>1</v>
      </c>
      <c r="F14" s="192">
        <v>0</v>
      </c>
      <c r="G14" s="193">
        <v>4</v>
      </c>
      <c r="H14" s="194">
        <v>0</v>
      </c>
      <c r="I14" s="192">
        <v>2</v>
      </c>
      <c r="J14" s="192">
        <v>0</v>
      </c>
      <c r="K14" s="193">
        <v>0</v>
      </c>
      <c r="L14" s="194">
        <v>0</v>
      </c>
      <c r="M14" s="192">
        <v>0</v>
      </c>
      <c r="N14" s="192">
        <v>1</v>
      </c>
      <c r="O14" s="193">
        <v>1</v>
      </c>
      <c r="P14" s="194">
        <v>0</v>
      </c>
      <c r="Q14" s="192">
        <v>0</v>
      </c>
      <c r="R14" s="192">
        <v>1</v>
      </c>
      <c r="S14" s="193">
        <v>1</v>
      </c>
      <c r="T14" s="194">
        <v>1</v>
      </c>
      <c r="U14" s="192">
        <v>0</v>
      </c>
      <c r="V14" s="192">
        <v>0</v>
      </c>
      <c r="W14" s="193">
        <v>1</v>
      </c>
      <c r="X14" s="192">
        <v>0</v>
      </c>
      <c r="Y14" s="192">
        <v>1</v>
      </c>
      <c r="Z14" s="192">
        <v>0</v>
      </c>
      <c r="AA14" s="193">
        <v>0</v>
      </c>
      <c r="AB14" s="192">
        <v>0</v>
      </c>
      <c r="AC14" s="192">
        <v>1</v>
      </c>
      <c r="AD14" s="192">
        <v>2</v>
      </c>
      <c r="AE14" s="193">
        <v>0</v>
      </c>
      <c r="AF14" s="192">
        <v>0</v>
      </c>
      <c r="AG14" s="192">
        <v>1</v>
      </c>
      <c r="AH14" s="192">
        <v>-1</v>
      </c>
      <c r="AI14" s="192">
        <v>0</v>
      </c>
      <c r="AJ14" s="194">
        <v>0</v>
      </c>
      <c r="AK14" s="192">
        <v>0</v>
      </c>
      <c r="AL14" s="192">
        <v>0</v>
      </c>
      <c r="AM14" s="192">
        <v>0</v>
      </c>
      <c r="AN14" s="194">
        <v>0</v>
      </c>
      <c r="AO14" s="192">
        <v>0</v>
      </c>
      <c r="AP14" s="192">
        <v>0</v>
      </c>
      <c r="AQ14" s="193">
        <v>0</v>
      </c>
      <c r="AR14" s="194">
        <v>0</v>
      </c>
      <c r="AS14" s="192">
        <v>0</v>
      </c>
      <c r="AT14" s="192">
        <v>0</v>
      </c>
      <c r="AU14" s="193">
        <v>0</v>
      </c>
      <c r="AV14" s="194">
        <v>0</v>
      </c>
      <c r="AW14" s="192">
        <v>0</v>
      </c>
      <c r="AX14" s="192">
        <v>0</v>
      </c>
      <c r="AY14" s="193">
        <v>0</v>
      </c>
      <c r="AZ14" s="194">
        <v>0</v>
      </c>
      <c r="BA14" s="925">
        <v>0</v>
      </c>
      <c r="BB14" s="925">
        <v>0</v>
      </c>
      <c r="BC14" s="926">
        <v>0</v>
      </c>
      <c r="BD14" s="1183">
        <v>0</v>
      </c>
      <c r="BE14" s="925">
        <v>0</v>
      </c>
      <c r="BF14" s="925">
        <v>0</v>
      </c>
      <c r="BG14" s="926">
        <v>0</v>
      </c>
      <c r="BH14" s="1183">
        <v>0</v>
      </c>
      <c r="BI14" s="925">
        <v>0</v>
      </c>
      <c r="BJ14" s="925">
        <v>0</v>
      </c>
      <c r="BK14" s="926">
        <v>0</v>
      </c>
      <c r="BL14" s="895"/>
      <c r="BM14" s="191">
        <f t="shared" si="5"/>
        <v>5</v>
      </c>
      <c r="BN14" s="189">
        <f t="shared" si="6"/>
        <v>2</v>
      </c>
      <c r="BO14" s="189">
        <f t="shared" si="7"/>
        <v>2</v>
      </c>
      <c r="BP14" s="189">
        <f t="shared" si="8"/>
        <v>2</v>
      </c>
      <c r="BQ14" s="189">
        <f t="shared" si="9"/>
        <v>2</v>
      </c>
      <c r="BR14" s="190">
        <f t="shared" si="10"/>
        <v>1</v>
      </c>
      <c r="BS14" s="191">
        <f t="shared" si="11"/>
        <v>3</v>
      </c>
      <c r="BT14" s="189">
        <f t="shared" si="12"/>
        <v>0</v>
      </c>
      <c r="BU14" s="191">
        <f t="shared" si="13"/>
        <v>0</v>
      </c>
      <c r="BV14" s="189">
        <f t="shared" si="14"/>
        <v>0</v>
      </c>
      <c r="BW14" s="189">
        <f t="shared" si="15"/>
        <v>0</v>
      </c>
      <c r="BX14" s="189">
        <f t="shared" si="16"/>
        <v>0</v>
      </c>
      <c r="BY14" s="189">
        <f t="shared" si="17"/>
        <v>0</v>
      </c>
      <c r="BZ14" s="189">
        <f t="shared" si="18"/>
        <v>0</v>
      </c>
      <c r="CA14" s="190">
        <f t="shared" si="19"/>
        <v>0</v>
      </c>
      <c r="CB14" s="19"/>
      <c r="CC14" s="191">
        <f t="shared" si="20"/>
        <v>5</v>
      </c>
      <c r="CD14" s="189">
        <f t="shared" si="21"/>
        <v>2</v>
      </c>
      <c r="CE14" s="189">
        <f t="shared" si="22"/>
        <v>2</v>
      </c>
      <c r="CF14" s="189">
        <f t="shared" si="23"/>
        <v>3</v>
      </c>
      <c r="CG14" s="189">
        <f t="shared" si="24"/>
        <v>1</v>
      </c>
      <c r="CH14" s="189">
        <f t="shared" si="25"/>
        <v>1</v>
      </c>
      <c r="CI14" s="189">
        <f t="shared" si="26"/>
        <v>3</v>
      </c>
      <c r="CJ14" s="189">
        <f t="shared" si="27"/>
        <v>0</v>
      </c>
      <c r="CK14" s="189">
        <f t="shared" si="28"/>
        <v>0</v>
      </c>
      <c r="CL14" s="189">
        <f t="shared" si="29"/>
        <v>0</v>
      </c>
      <c r="CM14" s="189">
        <f t="shared" si="30"/>
        <v>0</v>
      </c>
      <c r="CN14" s="189">
        <f t="shared" si="31"/>
        <v>0</v>
      </c>
      <c r="CO14" s="189">
        <f t="shared" si="32"/>
        <v>0</v>
      </c>
      <c r="CP14" s="190">
        <f t="shared" si="33"/>
        <v>0</v>
      </c>
      <c r="CQ14" s="7"/>
    </row>
    <row r="15" spans="1:95" ht="14.25" customHeight="1">
      <c r="A15" s="7"/>
      <c r="B15" s="48" t="str">
        <f t="shared" si="1"/>
        <v>Stock-based compensation expense</v>
      </c>
      <c r="C15" s="49"/>
      <c r="D15" s="194">
        <v>5</v>
      </c>
      <c r="E15" s="192">
        <v>0</v>
      </c>
      <c r="F15" s="192">
        <v>1</v>
      </c>
      <c r="G15" s="193">
        <v>1</v>
      </c>
      <c r="H15" s="194">
        <v>10</v>
      </c>
      <c r="I15" s="192">
        <v>3</v>
      </c>
      <c r="J15" s="192">
        <v>0</v>
      </c>
      <c r="K15" s="193">
        <v>-1</v>
      </c>
      <c r="L15" s="194">
        <v>7</v>
      </c>
      <c r="M15" s="192">
        <v>2</v>
      </c>
      <c r="N15" s="192">
        <v>3</v>
      </c>
      <c r="O15" s="193">
        <v>3</v>
      </c>
      <c r="P15" s="194">
        <v>0</v>
      </c>
      <c r="Q15" s="192">
        <v>4</v>
      </c>
      <c r="R15" s="192">
        <v>3</v>
      </c>
      <c r="S15" s="193">
        <v>5</v>
      </c>
      <c r="T15" s="194">
        <v>5</v>
      </c>
      <c r="U15" s="192">
        <v>6</v>
      </c>
      <c r="V15" s="192">
        <v>7</v>
      </c>
      <c r="W15" s="193">
        <v>7</v>
      </c>
      <c r="X15" s="192">
        <v>7</v>
      </c>
      <c r="Y15" s="192">
        <v>9</v>
      </c>
      <c r="Z15" s="192">
        <v>11</v>
      </c>
      <c r="AA15" s="193">
        <v>11</v>
      </c>
      <c r="AB15" s="192">
        <v>11</v>
      </c>
      <c r="AC15" s="192">
        <v>13</v>
      </c>
      <c r="AD15" s="192">
        <v>15</v>
      </c>
      <c r="AE15" s="193">
        <v>14</v>
      </c>
      <c r="AF15" s="192">
        <v>17</v>
      </c>
      <c r="AG15" s="192">
        <v>18</v>
      </c>
      <c r="AH15" s="192">
        <v>20</v>
      </c>
      <c r="AI15" s="192">
        <v>22</v>
      </c>
      <c r="AJ15" s="194">
        <v>24</v>
      </c>
      <c r="AK15" s="192">
        <v>30</v>
      </c>
      <c r="AL15" s="192">
        <v>55</v>
      </c>
      <c r="AM15" s="192">
        <v>54</v>
      </c>
      <c r="AN15" s="194">
        <v>49</v>
      </c>
      <c r="AO15" s="192">
        <v>57</v>
      </c>
      <c r="AP15" s="192">
        <v>63</v>
      </c>
      <c r="AQ15" s="193">
        <v>63</v>
      </c>
      <c r="AR15" s="194">
        <v>57</v>
      </c>
      <c r="AS15" s="192">
        <v>198</v>
      </c>
      <c r="AT15" s="192">
        <v>219</v>
      </c>
      <c r="AU15" s="193">
        <v>205</v>
      </c>
      <c r="AV15" s="194">
        <v>202</v>
      </c>
      <c r="AW15" s="192">
        <v>216</v>
      </c>
      <c r="AX15" s="192">
        <v>251</v>
      </c>
      <c r="AY15" s="193">
        <v>252</v>
      </c>
      <c r="AZ15" s="194">
        <v>299</v>
      </c>
      <c r="BA15" s="925">
        <f>+'AVGO IS'!BA101+'AVGO IS'!BA129</f>
        <v>305</v>
      </c>
      <c r="BB15" s="925">
        <f>+'AVGO IS'!BB101+'AVGO IS'!BB129</f>
        <v>310</v>
      </c>
      <c r="BC15" s="926">
        <f>+'AVGO IS'!BC101+'AVGO IS'!BC129</f>
        <v>315</v>
      </c>
      <c r="BD15" s="1183">
        <f>+'AVGO IS'!BD101+'AVGO IS'!BD129</f>
        <v>317.75</v>
      </c>
      <c r="BE15" s="925">
        <f>+'AVGO IS'!BE101+'AVGO IS'!BE129</f>
        <v>321.25</v>
      </c>
      <c r="BF15" s="925">
        <f>+'AVGO IS'!BF101+'AVGO IS'!BF129</f>
        <v>324.75</v>
      </c>
      <c r="BG15" s="926">
        <f>+'AVGO IS'!BG101+'AVGO IS'!BG129</f>
        <v>328.25</v>
      </c>
      <c r="BH15" s="1183">
        <f>+'AVGO IS'!BH101+'AVGO IS'!BH129</f>
        <v>331</v>
      </c>
      <c r="BI15" s="925">
        <f>+'AVGO IS'!BI101+'AVGO IS'!BI129</f>
        <v>334.5</v>
      </c>
      <c r="BJ15" s="925">
        <f>+'AVGO IS'!BJ101+'AVGO IS'!BJ129</f>
        <v>338</v>
      </c>
      <c r="BK15" s="926">
        <f>+'AVGO IS'!BK101+'AVGO IS'!BK129</f>
        <v>341.5</v>
      </c>
      <c r="BL15" s="895"/>
      <c r="BM15" s="191">
        <f>SUM(D15:G15)</f>
        <v>7</v>
      </c>
      <c r="BN15" s="189">
        <f>SUM(H15:K15)</f>
        <v>12</v>
      </c>
      <c r="BO15" s="189">
        <f>SUM(L15:O15)</f>
        <v>15</v>
      </c>
      <c r="BP15" s="189">
        <f>SUM(P15:S15)</f>
        <v>12</v>
      </c>
      <c r="BQ15" s="189">
        <f t="shared" si="9"/>
        <v>25</v>
      </c>
      <c r="BR15" s="190">
        <f t="shared" si="10"/>
        <v>38</v>
      </c>
      <c r="BS15" s="191">
        <f>SUM(AB15:AE15)</f>
        <v>53</v>
      </c>
      <c r="BT15" s="189">
        <f>SUM(AF15:AI15)</f>
        <v>77</v>
      </c>
      <c r="BU15" s="191">
        <f t="shared" si="13"/>
        <v>163</v>
      </c>
      <c r="BV15" s="189">
        <f t="shared" si="14"/>
        <v>232</v>
      </c>
      <c r="BW15" s="189">
        <f t="shared" si="15"/>
        <v>679</v>
      </c>
      <c r="BX15" s="189">
        <f t="shared" si="16"/>
        <v>921</v>
      </c>
      <c r="BY15" s="189">
        <f t="shared" si="17"/>
        <v>1229</v>
      </c>
      <c r="BZ15" s="189">
        <f t="shared" si="18"/>
        <v>1292</v>
      </c>
      <c r="CA15" s="190">
        <f t="shared" si="19"/>
        <v>1345</v>
      </c>
      <c r="CB15" s="19"/>
      <c r="CC15" s="191">
        <f t="shared" si="20"/>
        <v>12</v>
      </c>
      <c r="CD15" s="189">
        <f t="shared" si="21"/>
        <v>9</v>
      </c>
      <c r="CE15" s="189">
        <f t="shared" si="22"/>
        <v>8</v>
      </c>
      <c r="CF15" s="189">
        <f t="shared" si="23"/>
        <v>17</v>
      </c>
      <c r="CG15" s="189">
        <f t="shared" si="24"/>
        <v>27</v>
      </c>
      <c r="CH15" s="189">
        <f t="shared" si="25"/>
        <v>42</v>
      </c>
      <c r="CI15" s="189">
        <f t="shared" si="26"/>
        <v>59</v>
      </c>
      <c r="CJ15" s="189">
        <f t="shared" si="27"/>
        <v>84</v>
      </c>
      <c r="CK15" s="189">
        <f t="shared" si="28"/>
        <v>188</v>
      </c>
      <c r="CL15" s="189">
        <f t="shared" si="29"/>
        <v>240</v>
      </c>
      <c r="CM15" s="189">
        <f t="shared" si="30"/>
        <v>824</v>
      </c>
      <c r="CN15" s="189">
        <f t="shared" si="31"/>
        <v>1018</v>
      </c>
      <c r="CO15" s="189">
        <f t="shared" si="32"/>
        <v>1247.75</v>
      </c>
      <c r="CP15" s="190">
        <f t="shared" si="33"/>
        <v>1305.25</v>
      </c>
      <c r="CQ15" s="7"/>
    </row>
    <row r="16" spans="1:95" ht="14.25" customHeight="1">
      <c r="A16" s="7"/>
      <c r="B16" s="48" t="str">
        <f t="shared" si="1"/>
        <v>Excess tax benefit on stock-based compensation</v>
      </c>
      <c r="C16" s="49"/>
      <c r="D16" s="194">
        <v>0</v>
      </c>
      <c r="E16" s="192">
        <v>0</v>
      </c>
      <c r="F16" s="192">
        <v>0</v>
      </c>
      <c r="G16" s="193">
        <v>0</v>
      </c>
      <c r="H16" s="194">
        <v>0</v>
      </c>
      <c r="I16" s="192">
        <v>0</v>
      </c>
      <c r="J16" s="192">
        <v>0</v>
      </c>
      <c r="K16" s="193">
        <v>0</v>
      </c>
      <c r="L16" s="194">
        <v>0</v>
      </c>
      <c r="M16" s="192">
        <v>0</v>
      </c>
      <c r="N16" s="192">
        <v>0</v>
      </c>
      <c r="O16" s="193">
        <v>0</v>
      </c>
      <c r="P16" s="194">
        <v>0</v>
      </c>
      <c r="Q16" s="192">
        <v>0</v>
      </c>
      <c r="R16" s="192">
        <v>0</v>
      </c>
      <c r="S16" s="193">
        <v>0</v>
      </c>
      <c r="T16" s="194">
        <v>0</v>
      </c>
      <c r="U16" s="192">
        <v>0</v>
      </c>
      <c r="V16" s="192">
        <v>0</v>
      </c>
      <c r="W16" s="193">
        <v>0</v>
      </c>
      <c r="X16" s="192">
        <v>0</v>
      </c>
      <c r="Y16" s="192">
        <v>0</v>
      </c>
      <c r="Z16" s="192">
        <v>0</v>
      </c>
      <c r="AA16" s="193">
        <v>0</v>
      </c>
      <c r="AB16" s="192">
        <v>0</v>
      </c>
      <c r="AC16" s="192">
        <f>2-1</f>
        <v>1</v>
      </c>
      <c r="AD16" s="192">
        <f>8-5</f>
        <v>3</v>
      </c>
      <c r="AE16" s="193">
        <f>3-3</f>
        <v>0</v>
      </c>
      <c r="AF16" s="192">
        <v>0</v>
      </c>
      <c r="AG16" s="192">
        <v>0</v>
      </c>
      <c r="AH16" s="192">
        <f>6-3</f>
        <v>3</v>
      </c>
      <c r="AI16" s="192">
        <v>-14</v>
      </c>
      <c r="AJ16" s="194">
        <v>-3</v>
      </c>
      <c r="AK16" s="192">
        <v>0</v>
      </c>
      <c r="AL16" s="192">
        <f>11-12</f>
        <v>-1</v>
      </c>
      <c r="AM16" s="192">
        <f>42-39</f>
        <v>3</v>
      </c>
      <c r="AN16" s="194">
        <f>21-20</f>
        <v>1</v>
      </c>
      <c r="AO16" s="192">
        <v>-50</v>
      </c>
      <c r="AP16" s="192">
        <f>32-32</f>
        <v>0</v>
      </c>
      <c r="AQ16" s="193">
        <f>25-23</f>
        <v>2</v>
      </c>
      <c r="AR16" s="194">
        <v>-23</v>
      </c>
      <c r="AS16" s="192">
        <v>-35</v>
      </c>
      <c r="AT16" s="192">
        <v>-10</v>
      </c>
      <c r="AU16" s="193">
        <v>-21</v>
      </c>
      <c r="AV16" s="194">
        <v>0</v>
      </c>
      <c r="AW16" s="192">
        <v>0</v>
      </c>
      <c r="AX16" s="192">
        <v>0</v>
      </c>
      <c r="AY16" s="193">
        <v>0</v>
      </c>
      <c r="AZ16" s="194">
        <v>0</v>
      </c>
      <c r="BA16" s="925">
        <v>0</v>
      </c>
      <c r="BB16" s="925">
        <v>0</v>
      </c>
      <c r="BC16" s="926">
        <v>0</v>
      </c>
      <c r="BD16" s="1183">
        <v>0</v>
      </c>
      <c r="BE16" s="925">
        <v>0</v>
      </c>
      <c r="BF16" s="925">
        <v>0</v>
      </c>
      <c r="BG16" s="926">
        <v>0</v>
      </c>
      <c r="BH16" s="1183">
        <v>0</v>
      </c>
      <c r="BI16" s="925">
        <v>0</v>
      </c>
      <c r="BJ16" s="925">
        <v>0</v>
      </c>
      <c r="BK16" s="926">
        <v>0</v>
      </c>
      <c r="BL16" s="895"/>
      <c r="BM16" s="191">
        <f t="shared" si="5"/>
        <v>0</v>
      </c>
      <c r="BN16" s="189">
        <f t="shared" si="6"/>
        <v>0</v>
      </c>
      <c r="BO16" s="189">
        <f t="shared" si="7"/>
        <v>0</v>
      </c>
      <c r="BP16" s="189">
        <f t="shared" si="8"/>
        <v>0</v>
      </c>
      <c r="BQ16" s="189">
        <f t="shared" si="9"/>
        <v>0</v>
      </c>
      <c r="BR16" s="190">
        <f t="shared" si="10"/>
        <v>0</v>
      </c>
      <c r="BS16" s="191">
        <f t="shared" si="11"/>
        <v>4</v>
      </c>
      <c r="BT16" s="189">
        <f t="shared" si="12"/>
        <v>-11</v>
      </c>
      <c r="BU16" s="191">
        <f t="shared" si="13"/>
        <v>-1</v>
      </c>
      <c r="BV16" s="189">
        <f t="shared" si="14"/>
        <v>-47</v>
      </c>
      <c r="BW16" s="189">
        <f t="shared" si="15"/>
        <v>-89</v>
      </c>
      <c r="BX16" s="189">
        <f t="shared" si="16"/>
        <v>0</v>
      </c>
      <c r="BY16" s="189">
        <f t="shared" si="17"/>
        <v>0</v>
      </c>
      <c r="BZ16" s="189">
        <f t="shared" si="18"/>
        <v>0</v>
      </c>
      <c r="CA16" s="190">
        <f t="shared" si="19"/>
        <v>0</v>
      </c>
      <c r="CB16" s="19"/>
      <c r="CC16" s="191">
        <f t="shared" si="20"/>
        <v>0</v>
      </c>
      <c r="CD16" s="189">
        <f t="shared" si="21"/>
        <v>0</v>
      </c>
      <c r="CE16" s="189">
        <f t="shared" si="22"/>
        <v>0</v>
      </c>
      <c r="CF16" s="189">
        <f t="shared" si="23"/>
        <v>0</v>
      </c>
      <c r="CG16" s="189">
        <f t="shared" si="24"/>
        <v>0</v>
      </c>
      <c r="CH16" s="189">
        <f t="shared" si="25"/>
        <v>0</v>
      </c>
      <c r="CI16" s="189">
        <f t="shared" si="26"/>
        <v>4</v>
      </c>
      <c r="CJ16" s="189">
        <f t="shared" si="27"/>
        <v>-14</v>
      </c>
      <c r="CK16" s="189">
        <f t="shared" si="28"/>
        <v>3</v>
      </c>
      <c r="CL16" s="189">
        <f t="shared" si="29"/>
        <v>-71</v>
      </c>
      <c r="CM16" s="189">
        <f t="shared" si="30"/>
        <v>-66</v>
      </c>
      <c r="CN16" s="189">
        <f t="shared" si="31"/>
        <v>0</v>
      </c>
      <c r="CO16" s="189">
        <f t="shared" si="32"/>
        <v>0</v>
      </c>
      <c r="CP16" s="190">
        <f t="shared" si="33"/>
        <v>0</v>
      </c>
      <c r="CQ16" s="7"/>
    </row>
    <row r="17" spans="1:95" ht="14.25" customHeight="1">
      <c r="A17" s="7"/>
      <c r="B17" s="48" t="str">
        <f t="shared" si="1"/>
        <v>Other operating activities</v>
      </c>
      <c r="C17" s="49"/>
      <c r="D17" s="194">
        <v>2</v>
      </c>
      <c r="E17" s="192">
        <v>0</v>
      </c>
      <c r="F17" s="192">
        <v>0</v>
      </c>
      <c r="G17" s="193">
        <v>0</v>
      </c>
      <c r="H17" s="194">
        <v>-48</v>
      </c>
      <c r="I17" s="192">
        <v>-10</v>
      </c>
      <c r="J17" s="192">
        <f>1+1+158</f>
        <v>160</v>
      </c>
      <c r="K17" s="193">
        <f>3-3</f>
        <v>0</v>
      </c>
      <c r="L17" s="194">
        <v>-9</v>
      </c>
      <c r="M17" s="192">
        <v>0</v>
      </c>
      <c r="N17" s="192">
        <v>-25</v>
      </c>
      <c r="O17" s="193">
        <v>7</v>
      </c>
      <c r="P17" s="194">
        <v>0</v>
      </c>
      <c r="Q17" s="192">
        <f>2+1</f>
        <v>3</v>
      </c>
      <c r="R17" s="192">
        <v>0</v>
      </c>
      <c r="S17" s="193">
        <f>1-1</f>
        <v>0</v>
      </c>
      <c r="T17" s="194">
        <v>0</v>
      </c>
      <c r="U17" s="192">
        <v>-1</v>
      </c>
      <c r="V17" s="192">
        <v>0</v>
      </c>
      <c r="W17" s="193">
        <v>0</v>
      </c>
      <c r="X17" s="192">
        <f>8-2</f>
        <v>6</v>
      </c>
      <c r="Y17" s="192">
        <v>0</v>
      </c>
      <c r="Z17" s="192">
        <v>0</v>
      </c>
      <c r="AA17" s="193">
        <v>0</v>
      </c>
      <c r="AB17" s="192">
        <v>2</v>
      </c>
      <c r="AC17" s="192">
        <v>0</v>
      </c>
      <c r="AD17" s="192">
        <v>0</v>
      </c>
      <c r="AE17" s="193">
        <v>0</v>
      </c>
      <c r="AF17" s="192">
        <v>-2</v>
      </c>
      <c r="AG17" s="192">
        <v>1</v>
      </c>
      <c r="AH17" s="192">
        <v>0</v>
      </c>
      <c r="AI17" s="192">
        <f>19-10-2</f>
        <v>7</v>
      </c>
      <c r="AJ17" s="194">
        <f>4-3</f>
        <v>1</v>
      </c>
      <c r="AK17" s="192">
        <f>8-8</f>
        <v>0</v>
      </c>
      <c r="AL17" s="192">
        <v>10</v>
      </c>
      <c r="AM17" s="192">
        <f>-18+1</f>
        <v>-17</v>
      </c>
      <c r="AN17" s="194">
        <f>-14+11-6</f>
        <v>-9</v>
      </c>
      <c r="AO17" s="192">
        <f>52+4+13</f>
        <v>69</v>
      </c>
      <c r="AP17" s="192">
        <f>-33+1+70</f>
        <v>38</v>
      </c>
      <c r="AQ17" s="193">
        <f>-185+28+2+8</f>
        <v>-147</v>
      </c>
      <c r="AR17" s="194">
        <f>4-8+22</f>
        <v>18</v>
      </c>
      <c r="AS17" s="192">
        <f>22-164+22+30</f>
        <v>-90</v>
      </c>
      <c r="AT17" s="192">
        <f>-181+224-9-27+21</f>
        <v>28</v>
      </c>
      <c r="AU17" s="193">
        <f>718+394+4+49</f>
        <v>1165</v>
      </c>
      <c r="AV17" s="194">
        <f>159-25-23+17+5</f>
        <v>133</v>
      </c>
      <c r="AW17" s="192">
        <f>-86+3+23</f>
        <v>-60</v>
      </c>
      <c r="AX17" s="192">
        <f>12+13+14</f>
        <v>39</v>
      </c>
      <c r="AY17" s="193">
        <f>-74+9+17</f>
        <v>-48</v>
      </c>
      <c r="AZ17" s="194">
        <f>-5832+3+5</f>
        <v>-5824</v>
      </c>
      <c r="BA17" s="925">
        <v>0</v>
      </c>
      <c r="BB17" s="925">
        <v>0</v>
      </c>
      <c r="BC17" s="926">
        <v>0</v>
      </c>
      <c r="BD17" s="1183">
        <v>0</v>
      </c>
      <c r="BE17" s="925">
        <v>0</v>
      </c>
      <c r="BF17" s="925">
        <v>0</v>
      </c>
      <c r="BG17" s="926">
        <v>0</v>
      </c>
      <c r="BH17" s="1183">
        <v>0</v>
      </c>
      <c r="BI17" s="925">
        <v>0</v>
      </c>
      <c r="BJ17" s="925">
        <v>0</v>
      </c>
      <c r="BK17" s="926">
        <v>0</v>
      </c>
      <c r="BL17" s="895"/>
      <c r="BM17" s="191">
        <f t="shared" si="5"/>
        <v>2</v>
      </c>
      <c r="BN17" s="189">
        <f t="shared" si="6"/>
        <v>102</v>
      </c>
      <c r="BO17" s="189">
        <f t="shared" si="7"/>
        <v>-27</v>
      </c>
      <c r="BP17" s="189">
        <f t="shared" si="8"/>
        <v>3</v>
      </c>
      <c r="BQ17" s="189">
        <f t="shared" si="9"/>
        <v>-1</v>
      </c>
      <c r="BR17" s="190">
        <f t="shared" si="10"/>
        <v>6</v>
      </c>
      <c r="BS17" s="191">
        <f t="shared" si="11"/>
        <v>2</v>
      </c>
      <c r="BT17" s="189">
        <f t="shared" si="12"/>
        <v>6</v>
      </c>
      <c r="BU17" s="191">
        <f t="shared" si="13"/>
        <v>-6</v>
      </c>
      <c r="BV17" s="189">
        <f t="shared" si="14"/>
        <v>-49</v>
      </c>
      <c r="BW17" s="189">
        <f t="shared" si="15"/>
        <v>1121</v>
      </c>
      <c r="BX17" s="189">
        <f t="shared" si="16"/>
        <v>64</v>
      </c>
      <c r="BY17" s="189">
        <f t="shared" si="17"/>
        <v>-5824</v>
      </c>
      <c r="BZ17" s="189">
        <f t="shared" si="18"/>
        <v>0</v>
      </c>
      <c r="CA17" s="190">
        <f t="shared" si="19"/>
        <v>0</v>
      </c>
      <c r="CB17" s="19"/>
      <c r="CC17" s="191">
        <f t="shared" si="20"/>
        <v>-48</v>
      </c>
      <c r="CD17" s="189">
        <f t="shared" si="21"/>
        <v>141</v>
      </c>
      <c r="CE17" s="189">
        <f t="shared" si="22"/>
        <v>-18</v>
      </c>
      <c r="CF17" s="189">
        <f t="shared" si="23"/>
        <v>3</v>
      </c>
      <c r="CG17" s="189">
        <f t="shared" si="24"/>
        <v>5</v>
      </c>
      <c r="CH17" s="189">
        <f t="shared" si="25"/>
        <v>2</v>
      </c>
      <c r="CI17" s="189">
        <f t="shared" si="26"/>
        <v>-2</v>
      </c>
      <c r="CJ17" s="189">
        <f t="shared" si="27"/>
        <v>9</v>
      </c>
      <c r="CK17" s="189">
        <f t="shared" si="28"/>
        <v>-16</v>
      </c>
      <c r="CL17" s="189">
        <f t="shared" si="29"/>
        <v>-22</v>
      </c>
      <c r="CM17" s="189">
        <f t="shared" si="30"/>
        <v>1236</v>
      </c>
      <c r="CN17" s="189">
        <f t="shared" si="31"/>
        <v>-5893</v>
      </c>
      <c r="CO17" s="189">
        <f t="shared" si="32"/>
        <v>0</v>
      </c>
      <c r="CP17" s="190">
        <f t="shared" si="33"/>
        <v>0</v>
      </c>
      <c r="CQ17" s="7"/>
    </row>
    <row r="18" spans="1:95" ht="14.25" customHeight="1">
      <c r="A18" s="7"/>
      <c r="B18" s="27" t="str">
        <f t="shared" si="1"/>
        <v>Changes in current assets and liabilities:</v>
      </c>
      <c r="C18" s="28"/>
      <c r="D18" s="194"/>
      <c r="E18" s="192"/>
      <c r="F18" s="192"/>
      <c r="G18" s="193"/>
      <c r="H18" s="194"/>
      <c r="I18" s="192"/>
      <c r="J18" s="192"/>
      <c r="K18" s="193"/>
      <c r="L18" s="194"/>
      <c r="M18" s="192"/>
      <c r="N18" s="192"/>
      <c r="O18" s="193"/>
      <c r="P18" s="194"/>
      <c r="Q18" s="192"/>
      <c r="R18" s="192"/>
      <c r="S18" s="193"/>
      <c r="T18" s="194"/>
      <c r="U18" s="192"/>
      <c r="V18" s="192"/>
      <c r="W18" s="193"/>
      <c r="X18" s="192"/>
      <c r="Y18" s="192"/>
      <c r="Z18" s="192"/>
      <c r="AA18" s="193"/>
      <c r="AB18" s="192"/>
      <c r="AC18" s="192"/>
      <c r="AD18" s="192"/>
      <c r="AE18" s="193"/>
      <c r="AF18" s="192"/>
      <c r="AG18" s="192"/>
      <c r="AH18" s="192"/>
      <c r="AI18" s="192"/>
      <c r="AJ18" s="194"/>
      <c r="AK18" s="192"/>
      <c r="AL18" s="192"/>
      <c r="AM18" s="192"/>
      <c r="AN18" s="194"/>
      <c r="AO18" s="192"/>
      <c r="AP18" s="192"/>
      <c r="AQ18" s="193"/>
      <c r="AR18" s="194"/>
      <c r="AS18" s="192"/>
      <c r="AT18" s="192"/>
      <c r="AU18" s="193"/>
      <c r="AV18" s="194"/>
      <c r="AW18" s="192"/>
      <c r="AX18" s="192"/>
      <c r="AY18" s="193"/>
      <c r="AZ18" s="194"/>
      <c r="BA18" s="192"/>
      <c r="BB18" s="192"/>
      <c r="BC18" s="193"/>
      <c r="BD18" s="194"/>
      <c r="BE18" s="192"/>
      <c r="BF18" s="192"/>
      <c r="BG18" s="193"/>
      <c r="BH18" s="194"/>
      <c r="BI18" s="192"/>
      <c r="BJ18" s="192"/>
      <c r="BK18" s="193"/>
      <c r="BL18" s="895"/>
      <c r="BM18" s="191"/>
      <c r="BN18" s="189"/>
      <c r="BO18" s="189"/>
      <c r="BP18" s="189"/>
      <c r="BQ18" s="189"/>
      <c r="BR18" s="190"/>
      <c r="BS18" s="191"/>
      <c r="BT18" s="189"/>
      <c r="BU18" s="191"/>
      <c r="BV18" s="189"/>
      <c r="BW18" s="189">
        <f t="shared" si="15"/>
        <v>0</v>
      </c>
      <c r="BX18" s="189">
        <f t="shared" si="16"/>
        <v>0</v>
      </c>
      <c r="BY18" s="189">
        <f t="shared" si="17"/>
        <v>0</v>
      </c>
      <c r="BZ18" s="189">
        <f t="shared" si="18"/>
        <v>0</v>
      </c>
      <c r="CA18" s="190">
        <f t="shared" si="19"/>
        <v>0</v>
      </c>
      <c r="CB18" s="19"/>
      <c r="CC18" s="191"/>
      <c r="CD18" s="189"/>
      <c r="CE18" s="189"/>
      <c r="CF18" s="189"/>
      <c r="CG18" s="189"/>
      <c r="CH18" s="189"/>
      <c r="CI18" s="189"/>
      <c r="CJ18" s="189"/>
      <c r="CK18" s="189"/>
      <c r="CL18" s="189"/>
      <c r="CM18" s="189"/>
      <c r="CN18" s="189"/>
      <c r="CO18" s="189"/>
      <c r="CP18" s="190">
        <f t="shared" si="33"/>
        <v>0</v>
      </c>
      <c r="CQ18" s="7"/>
    </row>
    <row r="19" spans="1:95" ht="14.25" customHeight="1">
      <c r="A19" s="7"/>
      <c r="B19" s="48" t="str">
        <f t="shared" si="1"/>
        <v>Accounts receivable</v>
      </c>
      <c r="C19" s="49"/>
      <c r="D19" s="194">
        <v>50</v>
      </c>
      <c r="E19" s="192">
        <v>53</v>
      </c>
      <c r="F19" s="192">
        <v>26</v>
      </c>
      <c r="G19" s="193">
        <v>8</v>
      </c>
      <c r="H19" s="194">
        <v>11</v>
      </c>
      <c r="I19" s="192">
        <v>-30</v>
      </c>
      <c r="J19" s="192">
        <v>-13</v>
      </c>
      <c r="K19" s="193">
        <v>1</v>
      </c>
      <c r="L19" s="194">
        <v>-13</v>
      </c>
      <c r="M19" s="192">
        <v>22</v>
      </c>
      <c r="N19" s="192">
        <v>0</v>
      </c>
      <c r="O19" s="193">
        <v>29</v>
      </c>
      <c r="P19" s="194">
        <v>0</v>
      </c>
      <c r="Q19" s="192">
        <v>1</v>
      </c>
      <c r="R19" s="192">
        <v>7</v>
      </c>
      <c r="S19" s="193">
        <v>-8</v>
      </c>
      <c r="T19" s="194">
        <v>-17</v>
      </c>
      <c r="U19" s="192">
        <v>-46</v>
      </c>
      <c r="V19" s="192">
        <v>-27</v>
      </c>
      <c r="W19" s="193">
        <v>-6</v>
      </c>
      <c r="X19" s="192">
        <v>-5</v>
      </c>
      <c r="Y19" s="192">
        <v>2</v>
      </c>
      <c r="Z19" s="192">
        <v>4</v>
      </c>
      <c r="AA19" s="193">
        <v>-43</v>
      </c>
      <c r="AB19" s="192">
        <v>20</v>
      </c>
      <c r="AC19" s="192">
        <v>34</v>
      </c>
      <c r="AD19" s="192">
        <v>-56</v>
      </c>
      <c r="AE19" s="193">
        <v>-11</v>
      </c>
      <c r="AF19" s="192">
        <v>75</v>
      </c>
      <c r="AG19" s="192">
        <v>-5</v>
      </c>
      <c r="AH19" s="192">
        <v>-43</v>
      </c>
      <c r="AI19" s="192">
        <v>-53</v>
      </c>
      <c r="AJ19" s="194">
        <v>95</v>
      </c>
      <c r="AK19" s="192">
        <v>4</v>
      </c>
      <c r="AL19" s="192">
        <v>11</v>
      </c>
      <c r="AM19" s="192">
        <v>-180</v>
      </c>
      <c r="AN19" s="194">
        <v>64</v>
      </c>
      <c r="AO19" s="192">
        <v>-40</v>
      </c>
      <c r="AP19" s="192">
        <v>-2</v>
      </c>
      <c r="AQ19" s="193">
        <v>-209</v>
      </c>
      <c r="AR19" s="194">
        <v>-41</v>
      </c>
      <c r="AS19" s="192">
        <v>-128</v>
      </c>
      <c r="AT19" s="192">
        <v>-322</v>
      </c>
      <c r="AU19" s="193">
        <v>0</v>
      </c>
      <c r="AV19" s="194">
        <v>234</v>
      </c>
      <c r="AW19" s="192">
        <v>-126</v>
      </c>
      <c r="AX19" s="192">
        <v>-344</v>
      </c>
      <c r="AY19" s="193">
        <v>-31</v>
      </c>
      <c r="AZ19" s="194">
        <v>199</v>
      </c>
      <c r="BA19" s="925">
        <f>'BS '!AZ11-'BS '!BA11</f>
        <v>9.1582222222218661</v>
      </c>
      <c r="BB19" s="925">
        <f>'BS '!BA11-'BS '!BB11</f>
        <v>17.44990444444511</v>
      </c>
      <c r="BC19" s="926">
        <f>'BS '!BB11-'BS '!BC11</f>
        <v>-48.836477555555575</v>
      </c>
      <c r="BD19" s="1183">
        <f>'BS '!BC11-'BS '!BD11</f>
        <v>111.79272700444426</v>
      </c>
      <c r="BE19" s="925">
        <f>'BS '!BD11-'BS '!BE11</f>
        <v>68.000980595911642</v>
      </c>
      <c r="BF19" s="925">
        <f>'BS '!BE11-'BS '!BF11</f>
        <v>-163.99881624526961</v>
      </c>
      <c r="BG19" s="926">
        <f>'BS '!BF11-'BS '!BG11</f>
        <v>-280.18724872757912</v>
      </c>
      <c r="BH19" s="1183">
        <f>'BS '!BG11-'BS '!BH11</f>
        <v>122.36468035806865</v>
      </c>
      <c r="BI19" s="925">
        <f>'BS '!BH11-'BS '!BI11</f>
        <v>140.37722093761022</v>
      </c>
      <c r="BJ19" s="925">
        <f>'BS '!BI11-'BS '!BJ11</f>
        <v>-100.79681422142903</v>
      </c>
      <c r="BK19" s="926">
        <f>'BS '!BJ11-'BS '!BK11</f>
        <v>-164.01997815653704</v>
      </c>
      <c r="BL19" s="895"/>
      <c r="BM19" s="191">
        <f t="shared" ref="BM19:BM24" si="34">SUM(D19:G19)</f>
        <v>137</v>
      </c>
      <c r="BN19" s="189">
        <f t="shared" ref="BN19:BN24" si="35">SUM(H19:K19)</f>
        <v>-31</v>
      </c>
      <c r="BO19" s="189">
        <f t="shared" ref="BO19:BO24" si="36">SUM(L19:O19)</f>
        <v>38</v>
      </c>
      <c r="BP19" s="189">
        <f t="shared" ref="BP19:BP24" si="37">SUM(P19:S19)</f>
        <v>0</v>
      </c>
      <c r="BQ19" s="189">
        <f t="shared" ref="BQ19:BQ24" si="38">SUM(T19:W19)</f>
        <v>-96</v>
      </c>
      <c r="BR19" s="190">
        <f t="shared" ref="BR19:BR24" si="39">SUM(X19:AA19)</f>
        <v>-42</v>
      </c>
      <c r="BS19" s="191">
        <f t="shared" ref="BS19:BS24" si="40">SUM(AB19:AE19)</f>
        <v>-13</v>
      </c>
      <c r="BT19" s="189">
        <f t="shared" ref="BT19:BT24" si="41">SUM(AF19:AI19)</f>
        <v>-26</v>
      </c>
      <c r="BU19" s="191">
        <f t="shared" ref="BU19:BU24" si="42">SUM(AJ19:AM19)</f>
        <v>-70</v>
      </c>
      <c r="BV19" s="189">
        <f t="shared" ref="BV19:BV24" si="43">SUM(AN19:AQ19)</f>
        <v>-187</v>
      </c>
      <c r="BW19" s="189">
        <f t="shared" si="15"/>
        <v>-491</v>
      </c>
      <c r="BX19" s="189">
        <f t="shared" si="16"/>
        <v>-267</v>
      </c>
      <c r="BY19" s="189">
        <f t="shared" si="17"/>
        <v>176.7716491111114</v>
      </c>
      <c r="BZ19" s="189">
        <f t="shared" si="18"/>
        <v>-264.39235737249282</v>
      </c>
      <c r="CA19" s="190">
        <f t="shared" si="19"/>
        <v>-2.0748910822871949</v>
      </c>
      <c r="CB19" s="19"/>
      <c r="CC19" s="191">
        <f t="shared" ref="CC19:CC24" si="44">SUM(E19:H19)</f>
        <v>98</v>
      </c>
      <c r="CD19" s="189">
        <f t="shared" ref="CD19:CD24" si="45">SUM(I19:L19)</f>
        <v>-55</v>
      </c>
      <c r="CE19" s="189">
        <f t="shared" ref="CE19:CE24" si="46">SUM(M19:P19)</f>
        <v>51</v>
      </c>
      <c r="CF19" s="189">
        <f t="shared" ref="CF19:CF24" si="47">SUM(Q19:T19)</f>
        <v>-17</v>
      </c>
      <c r="CG19" s="189">
        <f t="shared" ref="CG19:CG24" si="48">SUM(U19:X19)</f>
        <v>-84</v>
      </c>
      <c r="CH19" s="189">
        <f t="shared" ref="CH19:CH24" si="49">SUM(Y19:AB19)</f>
        <v>-17</v>
      </c>
      <c r="CI19" s="189">
        <f t="shared" ref="CI19:CI24" si="50">SUM(AC19:AF19)</f>
        <v>42</v>
      </c>
      <c r="CJ19" s="189">
        <f t="shared" ref="CJ19:CJ24" si="51">SUM(AG19:AJ19)</f>
        <v>-6</v>
      </c>
      <c r="CK19" s="189">
        <f t="shared" ref="CK19:CK24" si="52">SUM(AK19:AN19)</f>
        <v>-101</v>
      </c>
      <c r="CL19" s="189">
        <f t="shared" ref="CL19:CL24" si="53">SUM(AO19:AR19)</f>
        <v>-292</v>
      </c>
      <c r="CM19" s="189">
        <f t="shared" ref="CM19:CM24" si="54">SUM(AS19:AV19)</f>
        <v>-216</v>
      </c>
      <c r="CN19" s="189">
        <f t="shared" ref="CN19:CN24" si="55">SUM(AW19:AZ19)</f>
        <v>-302</v>
      </c>
      <c r="CO19" s="189">
        <f t="shared" ref="CO19:CO24" si="56">SUM(BA19:BD19)</f>
        <v>89.56437611555566</v>
      </c>
      <c r="CP19" s="190">
        <f t="shared" si="33"/>
        <v>-253.82040401886843</v>
      </c>
      <c r="CQ19" s="7"/>
    </row>
    <row r="20" spans="1:95" ht="14.25" customHeight="1">
      <c r="A20" s="7"/>
      <c r="B20" s="48" t="str">
        <f t="shared" si="1"/>
        <v>Inventory</v>
      </c>
      <c r="C20" s="49"/>
      <c r="D20" s="194">
        <v>32</v>
      </c>
      <c r="E20" s="192">
        <v>-8</v>
      </c>
      <c r="F20" s="192">
        <v>-8</v>
      </c>
      <c r="G20" s="193">
        <v>9</v>
      </c>
      <c r="H20" s="194">
        <v>3</v>
      </c>
      <c r="I20" s="192">
        <v>23</v>
      </c>
      <c r="J20" s="192">
        <v>4</v>
      </c>
      <c r="K20" s="193">
        <v>-2</v>
      </c>
      <c r="L20" s="194">
        <v>-12</v>
      </c>
      <c r="M20" s="192">
        <v>-13</v>
      </c>
      <c r="N20" s="192">
        <v>-27</v>
      </c>
      <c r="O20" s="193">
        <v>7</v>
      </c>
      <c r="P20" s="194">
        <v>10</v>
      </c>
      <c r="Q20" s="192">
        <v>28</v>
      </c>
      <c r="R20" s="192">
        <v>-2</v>
      </c>
      <c r="S20" s="193">
        <v>-9</v>
      </c>
      <c r="T20" s="194">
        <v>-4</v>
      </c>
      <c r="U20" s="192">
        <v>-12</v>
      </c>
      <c r="V20" s="192">
        <v>-6</v>
      </c>
      <c r="W20" s="193">
        <v>-4</v>
      </c>
      <c r="X20" s="192">
        <v>-14</v>
      </c>
      <c r="Y20" s="192">
        <v>9</v>
      </c>
      <c r="Z20" s="192">
        <v>-6</v>
      </c>
      <c r="AA20" s="193">
        <v>6</v>
      </c>
      <c r="AB20" s="192">
        <v>1</v>
      </c>
      <c r="AC20" s="192">
        <v>-25</v>
      </c>
      <c r="AD20" s="192">
        <v>2</v>
      </c>
      <c r="AE20" s="193">
        <v>22</v>
      </c>
      <c r="AF20" s="192">
        <v>-14</v>
      </c>
      <c r="AG20" s="192">
        <v>-20</v>
      </c>
      <c r="AH20" s="192">
        <v>-20</v>
      </c>
      <c r="AI20" s="192">
        <v>-1</v>
      </c>
      <c r="AJ20" s="194">
        <v>-1</v>
      </c>
      <c r="AK20" s="192">
        <v>-15</v>
      </c>
      <c r="AL20" s="192">
        <v>215</v>
      </c>
      <c r="AM20" s="192">
        <v>-6</v>
      </c>
      <c r="AN20" s="194">
        <v>33</v>
      </c>
      <c r="AO20" s="192">
        <v>10</v>
      </c>
      <c r="AP20" s="192">
        <v>20</v>
      </c>
      <c r="AQ20" s="193">
        <v>-1</v>
      </c>
      <c r="AR20" s="194">
        <v>34</v>
      </c>
      <c r="AS20" s="192">
        <v>886</v>
      </c>
      <c r="AT20" s="192">
        <v>168</v>
      </c>
      <c r="AU20" s="193">
        <v>-92</v>
      </c>
      <c r="AV20" s="194">
        <v>65</v>
      </c>
      <c r="AW20" s="192">
        <v>31</v>
      </c>
      <c r="AX20" s="192">
        <v>-119</v>
      </c>
      <c r="AY20" s="193">
        <v>-16</v>
      </c>
      <c r="AZ20" s="194">
        <v>250</v>
      </c>
      <c r="BA20" s="925">
        <f>'BS '!AZ12-'BS '!BA12</f>
        <v>104.19814244444387</v>
      </c>
      <c r="BB20" s="925">
        <f>'BS '!BA12-'BS '!BB12</f>
        <v>-80.962560499999199</v>
      </c>
      <c r="BC20" s="926">
        <f>'BS '!BB12-'BS '!BC12</f>
        <v>-113.84171508242207</v>
      </c>
      <c r="BD20" s="1183">
        <f>'BS '!BC12-'BS '!BD12</f>
        <v>-193.0152960439641</v>
      </c>
      <c r="BE20" s="925">
        <f>'BS '!BD12-'BS '!BE12</f>
        <v>81.072644902807951</v>
      </c>
      <c r="BF20" s="925">
        <f>'BS '!BE12-'BS '!BF12</f>
        <v>-86.210615791848795</v>
      </c>
      <c r="BG20" s="926">
        <f>'BS '!BF12-'BS '!BG12</f>
        <v>-168.85842943419584</v>
      </c>
      <c r="BH20" s="1183">
        <f>'BS '!BG12-'BS '!BH12</f>
        <v>133.24441154260307</v>
      </c>
      <c r="BI20" s="925">
        <f>'BS '!BH12-'BS '!BI12</f>
        <v>88.559247596639352</v>
      </c>
      <c r="BJ20" s="925">
        <f>'BS '!BI12-'BS '!BJ12</f>
        <v>-57.866674986954649</v>
      </c>
      <c r="BK20" s="926">
        <f>'BS '!BJ12-'BS '!BK12</f>
        <v>-105.16860253605682</v>
      </c>
      <c r="BL20" s="895"/>
      <c r="BM20" s="191">
        <f t="shared" si="34"/>
        <v>25</v>
      </c>
      <c r="BN20" s="189">
        <f t="shared" si="35"/>
        <v>28</v>
      </c>
      <c r="BO20" s="189">
        <f t="shared" si="36"/>
        <v>-45</v>
      </c>
      <c r="BP20" s="189">
        <f t="shared" si="37"/>
        <v>27</v>
      </c>
      <c r="BQ20" s="189">
        <f t="shared" si="38"/>
        <v>-26</v>
      </c>
      <c r="BR20" s="190">
        <f t="shared" si="39"/>
        <v>-5</v>
      </c>
      <c r="BS20" s="191">
        <f t="shared" si="40"/>
        <v>0</v>
      </c>
      <c r="BT20" s="189">
        <f t="shared" si="41"/>
        <v>-55</v>
      </c>
      <c r="BU20" s="191">
        <f t="shared" si="42"/>
        <v>193</v>
      </c>
      <c r="BV20" s="189">
        <f t="shared" si="43"/>
        <v>62</v>
      </c>
      <c r="BW20" s="189">
        <f t="shared" si="15"/>
        <v>996</v>
      </c>
      <c r="BX20" s="189">
        <f t="shared" si="16"/>
        <v>-39</v>
      </c>
      <c r="BY20" s="189">
        <f t="shared" si="17"/>
        <v>159.39386686202261</v>
      </c>
      <c r="BZ20" s="189">
        <f t="shared" si="18"/>
        <v>-367.01169636720078</v>
      </c>
      <c r="CA20" s="190">
        <f t="shared" si="19"/>
        <v>58.768381616230954</v>
      </c>
      <c r="CB20" s="19"/>
      <c r="CC20" s="191">
        <f t="shared" si="44"/>
        <v>-4</v>
      </c>
      <c r="CD20" s="189">
        <f t="shared" si="45"/>
        <v>13</v>
      </c>
      <c r="CE20" s="189">
        <f t="shared" si="46"/>
        <v>-23</v>
      </c>
      <c r="CF20" s="189">
        <f t="shared" si="47"/>
        <v>13</v>
      </c>
      <c r="CG20" s="189">
        <f t="shared" si="48"/>
        <v>-36</v>
      </c>
      <c r="CH20" s="189">
        <f t="shared" si="49"/>
        <v>10</v>
      </c>
      <c r="CI20" s="189">
        <f t="shared" si="50"/>
        <v>-15</v>
      </c>
      <c r="CJ20" s="189">
        <f t="shared" si="51"/>
        <v>-42</v>
      </c>
      <c r="CK20" s="189">
        <f t="shared" si="52"/>
        <v>227</v>
      </c>
      <c r="CL20" s="189">
        <f t="shared" si="53"/>
        <v>63</v>
      </c>
      <c r="CM20" s="189">
        <f t="shared" si="54"/>
        <v>1027</v>
      </c>
      <c r="CN20" s="189">
        <f t="shared" si="55"/>
        <v>146</v>
      </c>
      <c r="CO20" s="189">
        <f t="shared" si="56"/>
        <v>-283.62142918194149</v>
      </c>
      <c r="CP20" s="190">
        <f t="shared" si="33"/>
        <v>-40.75198878063361</v>
      </c>
      <c r="CQ20" s="7"/>
    </row>
    <row r="21" spans="1:95" ht="14.25" customHeight="1">
      <c r="A21" s="7"/>
      <c r="B21" s="48" t="str">
        <f t="shared" si="1"/>
        <v>Accounts payable</v>
      </c>
      <c r="C21" s="49"/>
      <c r="D21" s="194">
        <v>47</v>
      </c>
      <c r="E21" s="192">
        <v>7</v>
      </c>
      <c r="F21" s="192">
        <v>-31</v>
      </c>
      <c r="G21" s="193">
        <v>3</v>
      </c>
      <c r="H21" s="194">
        <v>-29</v>
      </c>
      <c r="I21" s="192">
        <v>-10</v>
      </c>
      <c r="J21" s="192">
        <v>39</v>
      </c>
      <c r="K21" s="193">
        <v>29</v>
      </c>
      <c r="L21" s="194">
        <v>6</v>
      </c>
      <c r="M21" s="192">
        <v>-47</v>
      </c>
      <c r="N21" s="192">
        <v>12</v>
      </c>
      <c r="O21" s="193">
        <v>0</v>
      </c>
      <c r="P21" s="194">
        <v>-5</v>
      </c>
      <c r="Q21" s="192">
        <v>1</v>
      </c>
      <c r="R21" s="192">
        <v>-21</v>
      </c>
      <c r="S21" s="193">
        <v>9</v>
      </c>
      <c r="T21" s="194">
        <v>5</v>
      </c>
      <c r="U21" s="192">
        <v>2</v>
      </c>
      <c r="V21" s="192">
        <v>-3</v>
      </c>
      <c r="W21" s="193">
        <v>19</v>
      </c>
      <c r="X21" s="192">
        <v>-30</v>
      </c>
      <c r="Y21" s="192">
        <v>45</v>
      </c>
      <c r="Z21" s="192">
        <v>-13</v>
      </c>
      <c r="AA21" s="193">
        <v>23</v>
      </c>
      <c r="AB21" s="192">
        <v>-8</v>
      </c>
      <c r="AC21" s="192">
        <v>21</v>
      </c>
      <c r="AD21" s="192">
        <v>-27</v>
      </c>
      <c r="AE21" s="193">
        <v>12</v>
      </c>
      <c r="AF21" s="192">
        <v>-34</v>
      </c>
      <c r="AG21" s="192">
        <v>36</v>
      </c>
      <c r="AH21" s="192">
        <v>11</v>
      </c>
      <c r="AI21" s="192">
        <v>9</v>
      </c>
      <c r="AJ21" s="194">
        <v>-24</v>
      </c>
      <c r="AK21" s="192">
        <v>8</v>
      </c>
      <c r="AL21" s="192">
        <v>-23</v>
      </c>
      <c r="AM21" s="192">
        <v>52</v>
      </c>
      <c r="AN21" s="194">
        <v>-78</v>
      </c>
      <c r="AO21" s="192">
        <v>55</v>
      </c>
      <c r="AP21" s="192">
        <v>-29</v>
      </c>
      <c r="AQ21" s="193">
        <v>81</v>
      </c>
      <c r="AR21" s="194">
        <v>-68</v>
      </c>
      <c r="AS21" s="192">
        <v>-149</v>
      </c>
      <c r="AT21" s="192">
        <v>156</v>
      </c>
      <c r="AU21" s="193">
        <v>94</v>
      </c>
      <c r="AV21" s="194">
        <v>-137</v>
      </c>
      <c r="AW21" s="192">
        <v>-114</v>
      </c>
      <c r="AX21" s="192">
        <v>217</v>
      </c>
      <c r="AY21" s="193">
        <v>-63</v>
      </c>
      <c r="AZ21" s="194">
        <v>-403</v>
      </c>
      <c r="BA21" s="925">
        <f>'BS '!BA23-'BS '!AZ23</f>
        <v>-50.321382222221814</v>
      </c>
      <c r="BB21" s="925">
        <f>'BS '!BB23-'BS '!BA23</f>
        <v>52.233909999999355</v>
      </c>
      <c r="BC21" s="926">
        <f>'BS '!BC23-'BS '!BB23</f>
        <v>73.446267795110998</v>
      </c>
      <c r="BD21" s="1183">
        <f>'BS '!BD23-'BS '!BC23</f>
        <v>368.33834777266452</v>
      </c>
      <c r="BE21" s="925">
        <f>'BS '!BE23-'BS '!BD23</f>
        <v>-48.711642578688043</v>
      </c>
      <c r="BF21" s="925">
        <f>'BS '!BF23-'BS '!BE23</f>
        <v>87.446882853120542</v>
      </c>
      <c r="BG21" s="926">
        <f>'BS '!BG23-'BS '!BF23</f>
        <v>158.7491409676627</v>
      </c>
      <c r="BH21" s="1183">
        <f>'BS '!BH23-'BS '!BG23</f>
        <v>-72.57573776258414</v>
      </c>
      <c r="BI21" s="925">
        <f>'BS '!BI23-'BS '!BH23</f>
        <v>-75.907926511405094</v>
      </c>
      <c r="BJ21" s="925">
        <f>'BS '!BJ23-'BS '!BI23</f>
        <v>49.600007131675511</v>
      </c>
      <c r="BK21" s="926">
        <f>'BS '!BK23-'BS '!BJ23</f>
        <v>90.144516459477245</v>
      </c>
      <c r="BL21" s="895"/>
      <c r="BM21" s="191">
        <f>SUM(D21:G21)</f>
        <v>26</v>
      </c>
      <c r="BN21" s="189">
        <f>SUM(H21:K21)</f>
        <v>29</v>
      </c>
      <c r="BO21" s="189">
        <f>SUM(L21:O21)</f>
        <v>-29</v>
      </c>
      <c r="BP21" s="189">
        <f>SUM(P21:S21)</f>
        <v>-16</v>
      </c>
      <c r="BQ21" s="189">
        <f t="shared" si="38"/>
        <v>23</v>
      </c>
      <c r="BR21" s="190">
        <f t="shared" si="39"/>
        <v>25</v>
      </c>
      <c r="BS21" s="191">
        <f>SUM(AB21:AE21)</f>
        <v>-2</v>
      </c>
      <c r="BT21" s="189">
        <f>SUM(AF21:AI21)</f>
        <v>22</v>
      </c>
      <c r="BU21" s="191">
        <f t="shared" si="42"/>
        <v>13</v>
      </c>
      <c r="BV21" s="189">
        <f t="shared" si="43"/>
        <v>29</v>
      </c>
      <c r="BW21" s="189">
        <f t="shared" si="15"/>
        <v>33</v>
      </c>
      <c r="BX21" s="189">
        <f t="shared" si="16"/>
        <v>-97</v>
      </c>
      <c r="BY21" s="189">
        <f t="shared" si="17"/>
        <v>-327.64120442711146</v>
      </c>
      <c r="BZ21" s="189">
        <f t="shared" si="18"/>
        <v>565.82272901475972</v>
      </c>
      <c r="CA21" s="190">
        <f t="shared" si="19"/>
        <v>-8.7391406828364779</v>
      </c>
      <c r="CB21" s="19"/>
      <c r="CC21" s="191">
        <f t="shared" si="44"/>
        <v>-50</v>
      </c>
      <c r="CD21" s="189">
        <f t="shared" si="45"/>
        <v>64</v>
      </c>
      <c r="CE21" s="189">
        <f t="shared" si="46"/>
        <v>-40</v>
      </c>
      <c r="CF21" s="189">
        <f t="shared" si="47"/>
        <v>-6</v>
      </c>
      <c r="CG21" s="189">
        <f t="shared" si="48"/>
        <v>-12</v>
      </c>
      <c r="CH21" s="189">
        <f t="shared" si="49"/>
        <v>47</v>
      </c>
      <c r="CI21" s="189">
        <f t="shared" si="50"/>
        <v>-28</v>
      </c>
      <c r="CJ21" s="189">
        <f t="shared" si="51"/>
        <v>32</v>
      </c>
      <c r="CK21" s="189">
        <f t="shared" si="52"/>
        <v>-41</v>
      </c>
      <c r="CL21" s="189">
        <f t="shared" si="53"/>
        <v>39</v>
      </c>
      <c r="CM21" s="189">
        <f t="shared" si="54"/>
        <v>-36</v>
      </c>
      <c r="CN21" s="189">
        <f t="shared" si="55"/>
        <v>-363</v>
      </c>
      <c r="CO21" s="189">
        <f t="shared" si="56"/>
        <v>443.69714334555306</v>
      </c>
      <c r="CP21" s="190">
        <f t="shared" si="33"/>
        <v>124.90864347951106</v>
      </c>
      <c r="CQ21" s="7"/>
    </row>
    <row r="22" spans="1:95" ht="14.25" customHeight="1">
      <c r="A22" s="7"/>
      <c r="B22" s="48" t="str">
        <f t="shared" si="1"/>
        <v>Employee compensation and benefits</v>
      </c>
      <c r="C22" s="49"/>
      <c r="D22" s="194">
        <v>17</v>
      </c>
      <c r="E22" s="192">
        <v>19</v>
      </c>
      <c r="F22" s="192">
        <v>13</v>
      </c>
      <c r="G22" s="193">
        <v>4</v>
      </c>
      <c r="H22" s="194">
        <v>-25</v>
      </c>
      <c r="I22" s="192">
        <v>4</v>
      </c>
      <c r="J22" s="192">
        <v>3</v>
      </c>
      <c r="K22" s="193">
        <v>6</v>
      </c>
      <c r="L22" s="194">
        <v>-16</v>
      </c>
      <c r="M22" s="192">
        <v>14</v>
      </c>
      <c r="N22" s="192">
        <v>16</v>
      </c>
      <c r="O22" s="193">
        <v>4</v>
      </c>
      <c r="P22" s="194">
        <v>-31</v>
      </c>
      <c r="Q22" s="192">
        <v>-3</v>
      </c>
      <c r="R22" s="192">
        <v>7</v>
      </c>
      <c r="S22" s="193">
        <v>8</v>
      </c>
      <c r="T22" s="194">
        <v>-9</v>
      </c>
      <c r="U22" s="192">
        <v>13</v>
      </c>
      <c r="V22" s="192">
        <v>10</v>
      </c>
      <c r="W22" s="193">
        <v>13</v>
      </c>
      <c r="X22" s="192">
        <v>-31</v>
      </c>
      <c r="Y22" s="192">
        <v>11</v>
      </c>
      <c r="Z22" s="192">
        <v>26</v>
      </c>
      <c r="AA22" s="193">
        <v>1</v>
      </c>
      <c r="AB22" s="192">
        <v>-38</v>
      </c>
      <c r="AC22" s="192">
        <v>6</v>
      </c>
      <c r="AD22" s="192">
        <v>12</v>
      </c>
      <c r="AE22" s="193">
        <v>-8</v>
      </c>
      <c r="AF22" s="192">
        <v>-13</v>
      </c>
      <c r="AG22" s="192">
        <v>11</v>
      </c>
      <c r="AH22" s="192">
        <v>16</v>
      </c>
      <c r="AI22" s="192">
        <v>18</v>
      </c>
      <c r="AJ22" s="194">
        <v>-39</v>
      </c>
      <c r="AK22" s="192">
        <v>27</v>
      </c>
      <c r="AL22" s="192">
        <v>30</v>
      </c>
      <c r="AM22" s="193">
        <v>15</v>
      </c>
      <c r="AN22" s="194">
        <v>-90</v>
      </c>
      <c r="AO22" s="192">
        <v>49</v>
      </c>
      <c r="AP22" s="192">
        <v>29</v>
      </c>
      <c r="AQ22" s="193">
        <v>20</v>
      </c>
      <c r="AR22" s="194">
        <v>-149</v>
      </c>
      <c r="AS22" s="192">
        <v>98</v>
      </c>
      <c r="AT22" s="192">
        <v>121</v>
      </c>
      <c r="AU22" s="193">
        <v>93</v>
      </c>
      <c r="AV22" s="194">
        <v>-181</v>
      </c>
      <c r="AW22" s="192">
        <v>128</v>
      </c>
      <c r="AX22" s="192">
        <v>82</v>
      </c>
      <c r="AY22" s="193">
        <v>80</v>
      </c>
      <c r="AZ22" s="194">
        <v>-376</v>
      </c>
      <c r="BA22" s="925">
        <f>'BS '!BA24-'BS '!AZ24</f>
        <v>0</v>
      </c>
      <c r="BB22" s="925">
        <f>'BS '!BB24-'BS '!BA24</f>
        <v>0</v>
      </c>
      <c r="BC22" s="926">
        <f>'BS '!BC24-'BS '!BB24</f>
        <v>0</v>
      </c>
      <c r="BD22" s="1183">
        <f>'BS '!BD24-'BS '!BC24</f>
        <v>0</v>
      </c>
      <c r="BE22" s="925">
        <f>'BS '!BE24-'BS '!BD24</f>
        <v>0</v>
      </c>
      <c r="BF22" s="925">
        <f>'BS '!BF24-'BS '!BE24</f>
        <v>0</v>
      </c>
      <c r="BG22" s="926">
        <f>'BS '!BG24-'BS '!BF24</f>
        <v>0</v>
      </c>
      <c r="BH22" s="1183">
        <f>'BS '!BH24-'BS '!BG24</f>
        <v>0</v>
      </c>
      <c r="BI22" s="925">
        <f>'BS '!BI24-'BS '!BH24</f>
        <v>0</v>
      </c>
      <c r="BJ22" s="925">
        <f>'BS '!BJ24-'BS '!BI24</f>
        <v>0</v>
      </c>
      <c r="BK22" s="926">
        <f>'BS '!BK24-'BS '!BJ24</f>
        <v>0</v>
      </c>
      <c r="BL22" s="895"/>
      <c r="BM22" s="191">
        <f>SUM(D22:G22)</f>
        <v>53</v>
      </c>
      <c r="BN22" s="189">
        <f>SUM(H22:K22)</f>
        <v>-12</v>
      </c>
      <c r="BO22" s="189">
        <f>SUM(L22:O22)</f>
        <v>18</v>
      </c>
      <c r="BP22" s="189">
        <f>SUM(P22:S22)</f>
        <v>-19</v>
      </c>
      <c r="BQ22" s="189">
        <f t="shared" si="38"/>
        <v>27</v>
      </c>
      <c r="BR22" s="190">
        <f t="shared" si="39"/>
        <v>7</v>
      </c>
      <c r="BS22" s="191">
        <f>SUM(AB22:AE22)</f>
        <v>-28</v>
      </c>
      <c r="BT22" s="189">
        <f>SUM(AF22:AI22)</f>
        <v>32</v>
      </c>
      <c r="BU22" s="191">
        <f t="shared" si="42"/>
        <v>33</v>
      </c>
      <c r="BV22" s="189">
        <f t="shared" si="43"/>
        <v>8</v>
      </c>
      <c r="BW22" s="189">
        <f t="shared" si="15"/>
        <v>163</v>
      </c>
      <c r="BX22" s="189">
        <f t="shared" si="16"/>
        <v>109</v>
      </c>
      <c r="BY22" s="189">
        <f t="shared" si="17"/>
        <v>-376</v>
      </c>
      <c r="BZ22" s="189">
        <f t="shared" si="18"/>
        <v>0</v>
      </c>
      <c r="CA22" s="190">
        <f t="shared" si="19"/>
        <v>0</v>
      </c>
      <c r="CB22" s="19"/>
      <c r="CC22" s="191">
        <f t="shared" si="44"/>
        <v>11</v>
      </c>
      <c r="CD22" s="189">
        <f t="shared" si="45"/>
        <v>-3</v>
      </c>
      <c r="CE22" s="189">
        <f t="shared" si="46"/>
        <v>3</v>
      </c>
      <c r="CF22" s="189">
        <f t="shared" si="47"/>
        <v>3</v>
      </c>
      <c r="CG22" s="189">
        <f t="shared" si="48"/>
        <v>5</v>
      </c>
      <c r="CH22" s="189">
        <f t="shared" si="49"/>
        <v>0</v>
      </c>
      <c r="CI22" s="189">
        <f t="shared" si="50"/>
        <v>-3</v>
      </c>
      <c r="CJ22" s="189">
        <f t="shared" si="51"/>
        <v>6</v>
      </c>
      <c r="CK22" s="189">
        <f t="shared" si="52"/>
        <v>-18</v>
      </c>
      <c r="CL22" s="189">
        <f t="shared" si="53"/>
        <v>-51</v>
      </c>
      <c r="CM22" s="189">
        <f t="shared" si="54"/>
        <v>131</v>
      </c>
      <c r="CN22" s="189">
        <f t="shared" si="55"/>
        <v>-86</v>
      </c>
      <c r="CO22" s="189">
        <f t="shared" si="56"/>
        <v>0</v>
      </c>
      <c r="CP22" s="190">
        <f t="shared" si="33"/>
        <v>0</v>
      </c>
      <c r="CQ22" s="7"/>
    </row>
    <row r="23" spans="1:95" ht="14.25" customHeight="1">
      <c r="A23" s="7"/>
      <c r="B23" s="48" t="str">
        <f t="shared" si="1"/>
        <v>Other current assets and current liabilities</v>
      </c>
      <c r="C23" s="49"/>
      <c r="D23" s="194">
        <v>5</v>
      </c>
      <c r="E23" s="192">
        <v>13</v>
      </c>
      <c r="F23" s="192">
        <v>-22</v>
      </c>
      <c r="G23" s="193">
        <v>80</v>
      </c>
      <c r="H23" s="194">
        <v>-56</v>
      </c>
      <c r="I23" s="192">
        <v>0</v>
      </c>
      <c r="J23" s="192">
        <v>-20</v>
      </c>
      <c r="K23" s="193">
        <v>48</v>
      </c>
      <c r="L23" s="194">
        <v>-39</v>
      </c>
      <c r="M23" s="192">
        <v>7</v>
      </c>
      <c r="N23" s="192">
        <v>-8</v>
      </c>
      <c r="O23" s="193">
        <v>21</v>
      </c>
      <c r="P23" s="194">
        <v>-24</v>
      </c>
      <c r="Q23" s="192">
        <v>15</v>
      </c>
      <c r="R23" s="192">
        <v>-17</v>
      </c>
      <c r="S23" s="193">
        <v>-13</v>
      </c>
      <c r="T23" s="194">
        <v>-28</v>
      </c>
      <c r="U23" s="192">
        <v>14</v>
      </c>
      <c r="V23" s="192">
        <v>-8</v>
      </c>
      <c r="W23" s="193">
        <v>6</v>
      </c>
      <c r="X23" s="192">
        <v>-31</v>
      </c>
      <c r="Y23" s="192">
        <v>1</v>
      </c>
      <c r="Z23" s="192">
        <v>5</v>
      </c>
      <c r="AA23" s="193">
        <v>12</v>
      </c>
      <c r="AB23" s="192">
        <v>-10</v>
      </c>
      <c r="AC23" s="192">
        <v>-8</v>
      </c>
      <c r="AD23" s="192">
        <v>-7</v>
      </c>
      <c r="AE23" s="193">
        <v>-7</v>
      </c>
      <c r="AF23" s="192">
        <v>-11</v>
      </c>
      <c r="AG23" s="192">
        <v>-7</v>
      </c>
      <c r="AH23" s="192">
        <v>-33</v>
      </c>
      <c r="AI23" s="192">
        <v>-4</v>
      </c>
      <c r="AJ23" s="194">
        <f>-13-3</f>
        <v>-16</v>
      </c>
      <c r="AK23" s="192">
        <f>19-7</f>
        <v>12</v>
      </c>
      <c r="AL23" s="192">
        <v>43</v>
      </c>
      <c r="AM23" s="193">
        <v>2</v>
      </c>
      <c r="AN23" s="194">
        <v>-66</v>
      </c>
      <c r="AO23" s="192">
        <v>-25</v>
      </c>
      <c r="AP23" s="192">
        <v>-39</v>
      </c>
      <c r="AQ23" s="193">
        <v>12</v>
      </c>
      <c r="AR23" s="194">
        <v>16</v>
      </c>
      <c r="AS23" s="192">
        <v>70</v>
      </c>
      <c r="AT23" s="192">
        <v>-124</v>
      </c>
      <c r="AU23" s="193">
        <v>-60</v>
      </c>
      <c r="AV23" s="194">
        <v>-237</v>
      </c>
      <c r="AW23" s="192">
        <v>-154</v>
      </c>
      <c r="AX23" s="192">
        <v>-179</v>
      </c>
      <c r="AY23" s="193">
        <v>29</v>
      </c>
      <c r="AZ23" s="194">
        <v>-129</v>
      </c>
      <c r="BA23" s="925">
        <f>'BS '!BA27-'BS '!AZ27+'BS '!AZ13-'BS '!BA13+'BS '!BA25-'BS '!AZ25</f>
        <v>0</v>
      </c>
      <c r="BB23" s="925">
        <f>'BS '!BB27-'BS '!BA27+'BS '!BA13-'BS '!BB13+'BS '!BB25-'BS '!BA25</f>
        <v>0</v>
      </c>
      <c r="BC23" s="926">
        <f>'BS '!BC27-'BS '!BB27+'BS '!BB13-'BS '!BC13+'BS '!BC25-'BS '!BB25</f>
        <v>0</v>
      </c>
      <c r="BD23" s="1183">
        <f>'BS '!BD27-'BS '!BC27+'BS '!BC13-'BS '!BD13+'BS '!BD25-'BS '!BC25</f>
        <v>0</v>
      </c>
      <c r="BE23" s="925">
        <f>'BS '!BE27-'BS '!BD27+'BS '!BD13-'BS '!BE13+'BS '!BE25-'BS '!BD25</f>
        <v>0</v>
      </c>
      <c r="BF23" s="925">
        <f>'BS '!BF27-'BS '!BE27+'BS '!BE13-'BS '!BF13+'BS '!BF25-'BS '!BE25</f>
        <v>0</v>
      </c>
      <c r="BG23" s="926">
        <f>'BS '!BG27-'BS '!BF27+'BS '!BF13-'BS '!BG13+'BS '!BG25-'BS '!BF25</f>
        <v>0</v>
      </c>
      <c r="BH23" s="1183">
        <f>'BS '!BH27-'BS '!BG27+'BS '!BG13-'BS '!BH13+'BS '!BH25-'BS '!BG25</f>
        <v>0</v>
      </c>
      <c r="BI23" s="925">
        <f>'BS '!BI27-'BS '!BH27+'BS '!BH13-'BS '!BI13+'BS '!BI25-'BS '!BH25</f>
        <v>0</v>
      </c>
      <c r="BJ23" s="925">
        <f>'BS '!BJ27-'BS '!BI27+'BS '!BI13-'BS '!BJ13+'BS '!BJ25-'BS '!BI25</f>
        <v>0</v>
      </c>
      <c r="BK23" s="926">
        <f>'BS '!BK27-'BS '!BJ27+'BS '!BJ13-'BS '!BK13+'BS '!BK25-'BS '!BJ25</f>
        <v>0</v>
      </c>
      <c r="BL23" s="895"/>
      <c r="BM23" s="191">
        <f t="shared" si="34"/>
        <v>76</v>
      </c>
      <c r="BN23" s="189">
        <f t="shared" si="35"/>
        <v>-28</v>
      </c>
      <c r="BO23" s="189">
        <f t="shared" si="36"/>
        <v>-19</v>
      </c>
      <c r="BP23" s="189">
        <f>SUM(P23:S23)</f>
        <v>-39</v>
      </c>
      <c r="BQ23" s="189">
        <f t="shared" si="38"/>
        <v>-16</v>
      </c>
      <c r="BR23" s="190">
        <f t="shared" si="39"/>
        <v>-13</v>
      </c>
      <c r="BS23" s="191">
        <f>SUM(AB23:AE23)</f>
        <v>-32</v>
      </c>
      <c r="BT23" s="189">
        <f>SUM(AF23:AI23)</f>
        <v>-55</v>
      </c>
      <c r="BU23" s="191">
        <f t="shared" si="42"/>
        <v>41</v>
      </c>
      <c r="BV23" s="189">
        <f t="shared" si="43"/>
        <v>-118</v>
      </c>
      <c r="BW23" s="189">
        <f t="shared" si="15"/>
        <v>-98</v>
      </c>
      <c r="BX23" s="189">
        <f t="shared" si="16"/>
        <v>-541</v>
      </c>
      <c r="BY23" s="189">
        <f t="shared" si="17"/>
        <v>-129</v>
      </c>
      <c r="BZ23" s="189">
        <f t="shared" si="18"/>
        <v>0</v>
      </c>
      <c r="CA23" s="190">
        <f t="shared" si="19"/>
        <v>0</v>
      </c>
      <c r="CB23" s="19"/>
      <c r="CC23" s="191">
        <f t="shared" si="44"/>
        <v>15</v>
      </c>
      <c r="CD23" s="189">
        <f t="shared" si="45"/>
        <v>-11</v>
      </c>
      <c r="CE23" s="189">
        <f t="shared" si="46"/>
        <v>-4</v>
      </c>
      <c r="CF23" s="189">
        <f t="shared" si="47"/>
        <v>-43</v>
      </c>
      <c r="CG23" s="189">
        <f t="shared" si="48"/>
        <v>-19</v>
      </c>
      <c r="CH23" s="189">
        <f t="shared" si="49"/>
        <v>8</v>
      </c>
      <c r="CI23" s="189">
        <f t="shared" si="50"/>
        <v>-33</v>
      </c>
      <c r="CJ23" s="189">
        <f t="shared" si="51"/>
        <v>-60</v>
      </c>
      <c r="CK23" s="189">
        <f t="shared" si="52"/>
        <v>-9</v>
      </c>
      <c r="CL23" s="189">
        <f t="shared" si="53"/>
        <v>-36</v>
      </c>
      <c r="CM23" s="189">
        <f t="shared" si="54"/>
        <v>-351</v>
      </c>
      <c r="CN23" s="189">
        <f t="shared" si="55"/>
        <v>-433</v>
      </c>
      <c r="CO23" s="189">
        <f t="shared" si="56"/>
        <v>0</v>
      </c>
      <c r="CP23" s="190">
        <f t="shared" si="33"/>
        <v>0</v>
      </c>
      <c r="CQ23" s="7"/>
    </row>
    <row r="24" spans="1:95" ht="14.25" customHeight="1">
      <c r="A24" s="7"/>
      <c r="B24" s="48" t="str">
        <f t="shared" si="1"/>
        <v>Other long-term assets and long-term liabilities</v>
      </c>
      <c r="C24" s="49"/>
      <c r="D24" s="194">
        <v>17</v>
      </c>
      <c r="E24" s="192">
        <v>5</v>
      </c>
      <c r="F24" s="192">
        <v>0</v>
      </c>
      <c r="G24" s="193">
        <v>2</v>
      </c>
      <c r="H24" s="194">
        <v>6</v>
      </c>
      <c r="I24" s="192">
        <v>3</v>
      </c>
      <c r="J24" s="192">
        <v>3</v>
      </c>
      <c r="K24" s="193">
        <v>-3</v>
      </c>
      <c r="L24" s="194">
        <v>14</v>
      </c>
      <c r="M24" s="192">
        <v>2</v>
      </c>
      <c r="N24" s="192">
        <v>3</v>
      </c>
      <c r="O24" s="193">
        <v>-22</v>
      </c>
      <c r="P24" s="194">
        <v>-1</v>
      </c>
      <c r="Q24" s="192">
        <v>8</v>
      </c>
      <c r="R24" s="192">
        <v>10</v>
      </c>
      <c r="S24" s="193">
        <v>24</v>
      </c>
      <c r="T24" s="194">
        <v>2</v>
      </c>
      <c r="U24" s="192">
        <v>9</v>
      </c>
      <c r="V24" s="192">
        <v>1</v>
      </c>
      <c r="W24" s="193">
        <v>-23</v>
      </c>
      <c r="X24" s="304">
        <v>0</v>
      </c>
      <c r="Y24" s="192">
        <v>1</v>
      </c>
      <c r="Z24" s="192">
        <v>0</v>
      </c>
      <c r="AA24" s="193">
        <v>-8</v>
      </c>
      <c r="AB24" s="192">
        <v>-1</v>
      </c>
      <c r="AC24" s="192">
        <v>-4</v>
      </c>
      <c r="AD24" s="192">
        <v>-1</v>
      </c>
      <c r="AE24" s="193">
        <v>-6</v>
      </c>
      <c r="AF24" s="192">
        <v>1</v>
      </c>
      <c r="AG24" s="192">
        <v>1</v>
      </c>
      <c r="AH24" s="192">
        <v>-4</v>
      </c>
      <c r="AI24" s="192">
        <v>-4</v>
      </c>
      <c r="AJ24" s="194">
        <v>1</v>
      </c>
      <c r="AK24" s="192">
        <v>-34</v>
      </c>
      <c r="AL24" s="192">
        <v>-126</v>
      </c>
      <c r="AM24" s="192">
        <v>66</v>
      </c>
      <c r="AN24" s="194">
        <v>-7</v>
      </c>
      <c r="AO24" s="192">
        <v>-43</v>
      </c>
      <c r="AP24" s="192">
        <v>12</v>
      </c>
      <c r="AQ24" s="193">
        <v>78</v>
      </c>
      <c r="AR24" s="194">
        <v>5</v>
      </c>
      <c r="AS24" s="192">
        <v>-26</v>
      </c>
      <c r="AT24" s="192">
        <v>-26</v>
      </c>
      <c r="AU24" s="193">
        <v>-73</v>
      </c>
      <c r="AV24" s="194">
        <v>-100</v>
      </c>
      <c r="AW24" s="192">
        <v>-1</v>
      </c>
      <c r="AX24" s="192">
        <v>-14</v>
      </c>
      <c r="AY24" s="193">
        <f>-345+199</f>
        <v>-146</v>
      </c>
      <c r="AZ24" s="194">
        <f>284-371</f>
        <v>-87</v>
      </c>
      <c r="BA24" s="925">
        <f>'BS '!AZ19-'BS '!BA19+'BS '!BA34-'BS '!AZ34</f>
        <v>0</v>
      </c>
      <c r="BB24" s="925">
        <f>'BS '!BA19-'BS '!BB19+'BS '!BB34-'BS '!BA34</f>
        <v>0</v>
      </c>
      <c r="BC24" s="926">
        <f>'BS '!BB19-'BS '!BC19+'BS '!BC34-'BS '!BB34</f>
        <v>0</v>
      </c>
      <c r="BD24" s="1183">
        <f>'BS '!BC19-'BS '!BD19+'BS '!BD34-'BS '!BC34</f>
        <v>0</v>
      </c>
      <c r="BE24" s="925">
        <f>'BS '!BD19-'BS '!BE19+'BS '!BE34-'BS '!BD34</f>
        <v>0</v>
      </c>
      <c r="BF24" s="925">
        <f>'BS '!BE19-'BS '!BF19+'BS '!BF34-'BS '!BE34</f>
        <v>0</v>
      </c>
      <c r="BG24" s="926">
        <f>'BS '!BF19-'BS '!BG19+'BS '!BG34-'BS '!BF34</f>
        <v>0</v>
      </c>
      <c r="BH24" s="1183">
        <f>'BS '!BG19-'BS '!BH19+'BS '!BH34-'BS '!BG34</f>
        <v>0</v>
      </c>
      <c r="BI24" s="925">
        <f>'BS '!BH19-'BS '!BI19+'BS '!BI34-'BS '!BH34</f>
        <v>0</v>
      </c>
      <c r="BJ24" s="925">
        <f>'BS '!BI19-'BS '!BJ19+'BS '!BJ34-'BS '!BI34</f>
        <v>0</v>
      </c>
      <c r="BK24" s="926">
        <f>'BS '!BJ19-'BS '!BK19+'BS '!BK34-'BS '!BJ34</f>
        <v>0</v>
      </c>
      <c r="BL24" s="895"/>
      <c r="BM24" s="898">
        <f t="shared" si="34"/>
        <v>24</v>
      </c>
      <c r="BN24" s="896">
        <f t="shared" si="35"/>
        <v>9</v>
      </c>
      <c r="BO24" s="896">
        <f t="shared" si="36"/>
        <v>-3</v>
      </c>
      <c r="BP24" s="896">
        <f t="shared" si="37"/>
        <v>41</v>
      </c>
      <c r="BQ24" s="896">
        <f t="shared" si="38"/>
        <v>-11</v>
      </c>
      <c r="BR24" s="897">
        <f t="shared" si="39"/>
        <v>-7</v>
      </c>
      <c r="BS24" s="191">
        <f t="shared" si="40"/>
        <v>-12</v>
      </c>
      <c r="BT24" s="189">
        <f t="shared" si="41"/>
        <v>-6</v>
      </c>
      <c r="BU24" s="191">
        <f t="shared" si="42"/>
        <v>-93</v>
      </c>
      <c r="BV24" s="189">
        <f t="shared" si="43"/>
        <v>40</v>
      </c>
      <c r="BW24" s="189">
        <f t="shared" si="15"/>
        <v>-120</v>
      </c>
      <c r="BX24" s="189">
        <f t="shared" si="16"/>
        <v>-261</v>
      </c>
      <c r="BY24" s="189">
        <f t="shared" si="17"/>
        <v>-87</v>
      </c>
      <c r="BZ24" s="189">
        <f t="shared" si="18"/>
        <v>0</v>
      </c>
      <c r="CA24" s="190">
        <f t="shared" si="19"/>
        <v>0</v>
      </c>
      <c r="CB24" s="19"/>
      <c r="CC24" s="191">
        <f t="shared" si="44"/>
        <v>13</v>
      </c>
      <c r="CD24" s="189">
        <f t="shared" si="45"/>
        <v>17</v>
      </c>
      <c r="CE24" s="189">
        <f t="shared" si="46"/>
        <v>-18</v>
      </c>
      <c r="CF24" s="189">
        <f t="shared" si="47"/>
        <v>44</v>
      </c>
      <c r="CG24" s="189">
        <f t="shared" si="48"/>
        <v>-13</v>
      </c>
      <c r="CH24" s="189">
        <f t="shared" si="49"/>
        <v>-8</v>
      </c>
      <c r="CI24" s="189">
        <f t="shared" si="50"/>
        <v>-10</v>
      </c>
      <c r="CJ24" s="189">
        <f t="shared" si="51"/>
        <v>-6</v>
      </c>
      <c r="CK24" s="189">
        <f t="shared" si="52"/>
        <v>-101</v>
      </c>
      <c r="CL24" s="189">
        <f t="shared" si="53"/>
        <v>52</v>
      </c>
      <c r="CM24" s="189">
        <f t="shared" si="54"/>
        <v>-225</v>
      </c>
      <c r="CN24" s="189">
        <f t="shared" si="55"/>
        <v>-248</v>
      </c>
      <c r="CO24" s="189">
        <f t="shared" si="56"/>
        <v>0</v>
      </c>
      <c r="CP24" s="190">
        <f t="shared" si="33"/>
        <v>0</v>
      </c>
      <c r="CQ24" s="7"/>
    </row>
    <row r="25" spans="1:95" ht="14.25" customHeight="1" thickBot="1">
      <c r="A25" s="7"/>
      <c r="B25" s="195" t="str">
        <f t="shared" si="1"/>
        <v>Net cash provided by operating activities</v>
      </c>
      <c r="C25" s="196"/>
      <c r="D25" s="198">
        <f t="shared" ref="D25:AK25" si="57">D9+SUM(D11:D17)+SUM(D19:D24)</f>
        <v>133</v>
      </c>
      <c r="E25" s="197">
        <f t="shared" si="57"/>
        <v>109</v>
      </c>
      <c r="F25" s="197">
        <f t="shared" si="57"/>
        <v>15</v>
      </c>
      <c r="G25" s="199">
        <f t="shared" si="57"/>
        <v>85</v>
      </c>
      <c r="H25" s="198">
        <f t="shared" si="57"/>
        <v>-76</v>
      </c>
      <c r="I25" s="197">
        <f t="shared" si="57"/>
        <v>44</v>
      </c>
      <c r="J25" s="197">
        <f t="shared" si="57"/>
        <v>56</v>
      </c>
      <c r="K25" s="199">
        <f t="shared" si="57"/>
        <v>120</v>
      </c>
      <c r="L25" s="198">
        <f t="shared" si="57"/>
        <v>-13</v>
      </c>
      <c r="M25" s="197">
        <f t="shared" si="57"/>
        <v>43</v>
      </c>
      <c r="N25" s="197">
        <f t="shared" si="57"/>
        <v>60</v>
      </c>
      <c r="O25" s="199">
        <f t="shared" si="57"/>
        <v>111</v>
      </c>
      <c r="P25" s="198">
        <f t="shared" si="57"/>
        <v>-4</v>
      </c>
      <c r="Q25" s="197">
        <f t="shared" si="57"/>
        <v>66</v>
      </c>
      <c r="R25" s="197">
        <f t="shared" si="57"/>
        <v>31</v>
      </c>
      <c r="S25" s="199">
        <f t="shared" si="57"/>
        <v>46</v>
      </c>
      <c r="T25" s="198">
        <f t="shared" si="57"/>
        <v>41</v>
      </c>
      <c r="U25" s="197">
        <f t="shared" si="57"/>
        <v>115</v>
      </c>
      <c r="V25" s="197">
        <f t="shared" si="57"/>
        <v>137</v>
      </c>
      <c r="W25" s="199">
        <f t="shared" si="57"/>
        <v>217</v>
      </c>
      <c r="X25" s="197">
        <f t="shared" si="57"/>
        <v>67</v>
      </c>
      <c r="Y25" s="197">
        <f t="shared" si="57"/>
        <v>253</v>
      </c>
      <c r="Z25" s="197">
        <f t="shared" si="57"/>
        <v>211</v>
      </c>
      <c r="AA25" s="199">
        <f t="shared" si="57"/>
        <v>195</v>
      </c>
      <c r="AB25" s="197">
        <f t="shared" si="57"/>
        <v>139</v>
      </c>
      <c r="AC25" s="197">
        <f t="shared" si="57"/>
        <v>211</v>
      </c>
      <c r="AD25" s="197">
        <f t="shared" si="57"/>
        <v>128</v>
      </c>
      <c r="AE25" s="199">
        <f t="shared" si="57"/>
        <v>215</v>
      </c>
      <c r="AF25" s="197">
        <f t="shared" si="57"/>
        <v>185</v>
      </c>
      <c r="AG25" s="197">
        <f t="shared" si="57"/>
        <v>191</v>
      </c>
      <c r="AH25" s="197">
        <f t="shared" si="57"/>
        <v>137</v>
      </c>
      <c r="AI25" s="197">
        <f t="shared" si="57"/>
        <v>212</v>
      </c>
      <c r="AJ25" s="198">
        <f t="shared" si="57"/>
        <v>229</v>
      </c>
      <c r="AK25" s="197">
        <f t="shared" si="57"/>
        <v>251</v>
      </c>
      <c r="AL25" s="197">
        <f>AL9+SUM(AL11:AL17)+SUM(AL19:AL24)</f>
        <v>314</v>
      </c>
      <c r="AM25" s="197">
        <f>AM9+SUM(AM11:AM17)+SUM(AM19:AM24)</f>
        <v>381</v>
      </c>
      <c r="AN25" s="198">
        <f>AN9+SUM(AN11:AN17)+SUM(AN19:AN24)</f>
        <v>481</v>
      </c>
      <c r="AO25" s="197">
        <f t="shared" ref="AO25" si="58">AO9+SUM(AO11:AO17)+SUM(AO19:AO24)</f>
        <v>663</v>
      </c>
      <c r="AP25" s="197">
        <f>AP9+SUM(AP11:AP17)+SUM(AP19:AP24)</f>
        <v>592</v>
      </c>
      <c r="AQ25" s="199">
        <f>AQ9+SUM(AQ11:AQ17)+SUM(AQ19:AQ24)</f>
        <v>582</v>
      </c>
      <c r="AR25" s="198">
        <f>AR9+SUM(AR11:AR17)+SUM(AR19:AR24)</f>
        <v>474</v>
      </c>
      <c r="AS25" s="197">
        <f t="shared" ref="AS25" si="59">AS9+SUM(AS11:AS17)+SUM(AS19:AS24)</f>
        <v>622</v>
      </c>
      <c r="AT25" s="197">
        <f t="shared" ref="AT25:AY25" si="60">AT9+SUM(AT11:AT17)+SUM(AT19:AT24)</f>
        <v>963</v>
      </c>
      <c r="AU25" s="199">
        <f t="shared" si="60"/>
        <v>1352</v>
      </c>
      <c r="AV25" s="198">
        <f t="shared" si="60"/>
        <v>1353</v>
      </c>
      <c r="AW25" s="197">
        <f t="shared" si="60"/>
        <v>1583</v>
      </c>
      <c r="AX25" s="197">
        <f t="shared" si="60"/>
        <v>1656</v>
      </c>
      <c r="AY25" s="199">
        <f t="shared" si="60"/>
        <v>1959</v>
      </c>
      <c r="AZ25" s="198">
        <f t="shared" ref="AZ25" si="61">AZ9+SUM(AZ11:AZ17)+SUM(AZ19:AZ24)</f>
        <v>1685</v>
      </c>
      <c r="BA25" s="197">
        <f t="shared" ref="BA25:BC25" si="62">BA9+SUM(BA11:BA17)+SUM(BA19:BA24)</f>
        <v>2386.5700189580248</v>
      </c>
      <c r="BB25" s="197">
        <f t="shared" si="62"/>
        <v>2274.2323106172239</v>
      </c>
      <c r="BC25" s="199">
        <f t="shared" si="62"/>
        <v>2380.8090686920996</v>
      </c>
      <c r="BD25" s="198">
        <f t="shared" ref="BD25:BG25" si="63">BD9+SUM(BD11:BD17)+SUM(BD19:BD24)</f>
        <v>2657.2123211511198</v>
      </c>
      <c r="BE25" s="197">
        <f t="shared" si="63"/>
        <v>2416.5058938648099</v>
      </c>
      <c r="BF25" s="197">
        <f t="shared" si="63"/>
        <v>2318.7086775364833</v>
      </c>
      <c r="BG25" s="199">
        <f t="shared" si="63"/>
        <v>2470.8607494540424</v>
      </c>
      <c r="BH25" s="198">
        <f t="shared" ref="BH25:BK25" si="64">BH9+SUM(BH11:BH17)+SUM(BH19:BH24)</f>
        <v>2821.1333215945433</v>
      </c>
      <c r="BI25" s="197">
        <f t="shared" si="64"/>
        <v>2655.4235622269116</v>
      </c>
      <c r="BJ25" s="197">
        <f t="shared" si="64"/>
        <v>2513.758849361901</v>
      </c>
      <c r="BK25" s="199">
        <f t="shared" si="64"/>
        <v>2621.9981686758456</v>
      </c>
      <c r="BL25" s="19"/>
      <c r="BM25" s="197">
        <f t="shared" ref="BM25:BW25" si="65">BM9+SUM(BM11:BM17)+SUM(BM19:BM24)</f>
        <v>342</v>
      </c>
      <c r="BN25" s="197">
        <f t="shared" si="65"/>
        <v>144</v>
      </c>
      <c r="BO25" s="197">
        <f t="shared" si="65"/>
        <v>201</v>
      </c>
      <c r="BP25" s="197">
        <f t="shared" si="65"/>
        <v>139</v>
      </c>
      <c r="BQ25" s="197">
        <f t="shared" si="65"/>
        <v>510</v>
      </c>
      <c r="BR25" s="197">
        <f t="shared" si="65"/>
        <v>726</v>
      </c>
      <c r="BS25" s="198">
        <f t="shared" si="65"/>
        <v>693</v>
      </c>
      <c r="BT25" s="197">
        <f t="shared" si="65"/>
        <v>725</v>
      </c>
      <c r="BU25" s="198">
        <f t="shared" si="65"/>
        <v>1175</v>
      </c>
      <c r="BV25" s="197">
        <f t="shared" si="65"/>
        <v>2318</v>
      </c>
      <c r="BW25" s="197">
        <f t="shared" si="65"/>
        <v>3411</v>
      </c>
      <c r="BX25" s="197">
        <f>BX9+SUM(BX11:BX17)+SUM(BX19:BX24)</f>
        <v>6551</v>
      </c>
      <c r="BY25" s="197">
        <f>BY9+SUM(BY11:BY17)+SUM(BY19:BY24)</f>
        <v>8726.6113982673487</v>
      </c>
      <c r="BZ25" s="197">
        <f>BZ9+SUM(BZ11:BZ17)+SUM(BZ19:BZ24)</f>
        <v>9863.2876420064567</v>
      </c>
      <c r="CA25" s="199">
        <f>CA9+SUM(CA11:CA17)+SUM(CA19:CA24)</f>
        <v>10612.313901859201</v>
      </c>
      <c r="CB25" s="19"/>
      <c r="CC25" s="198">
        <f t="shared" ref="CC25:CJ25" si="66">CC9+SUM(CC11:CC17)+SUM(CC19:CC24)</f>
        <v>133</v>
      </c>
      <c r="CD25" s="197">
        <f t="shared" si="66"/>
        <v>207</v>
      </c>
      <c r="CE25" s="197">
        <f t="shared" si="66"/>
        <v>210</v>
      </c>
      <c r="CF25" s="197">
        <f t="shared" si="66"/>
        <v>184</v>
      </c>
      <c r="CG25" s="197">
        <f t="shared" si="66"/>
        <v>536</v>
      </c>
      <c r="CH25" s="197">
        <f t="shared" si="66"/>
        <v>798</v>
      </c>
      <c r="CI25" s="197">
        <f t="shared" si="66"/>
        <v>739</v>
      </c>
      <c r="CJ25" s="197">
        <f t="shared" si="66"/>
        <v>769</v>
      </c>
      <c r="CK25" s="197">
        <f t="shared" ref="CK25:CP25" si="67">CK9+SUM(CK11:CK17)+SUM(CK19:CK24)</f>
        <v>1427</v>
      </c>
      <c r="CL25" s="197">
        <f t="shared" si="67"/>
        <v>2311</v>
      </c>
      <c r="CM25" s="197">
        <f t="shared" si="67"/>
        <v>4290</v>
      </c>
      <c r="CN25" s="197">
        <f t="shared" si="67"/>
        <v>6883</v>
      </c>
      <c r="CO25" s="197">
        <f t="shared" si="67"/>
        <v>9698.8237194184676</v>
      </c>
      <c r="CP25" s="199">
        <f t="shared" si="67"/>
        <v>10027.208642449879</v>
      </c>
      <c r="CQ25" s="7"/>
    </row>
    <row r="26" spans="1:95" ht="14.25" customHeight="1" thickTop="1">
      <c r="A26" s="7"/>
      <c r="B26" s="21"/>
      <c r="C26" s="22"/>
      <c r="D26" s="194"/>
      <c r="E26" s="192"/>
      <c r="F26" s="192"/>
      <c r="G26" s="193"/>
      <c r="H26" s="194"/>
      <c r="I26" s="192"/>
      <c r="J26" s="192"/>
      <c r="K26" s="193"/>
      <c r="L26" s="194"/>
      <c r="M26" s="192"/>
      <c r="N26" s="192"/>
      <c r="O26" s="193"/>
      <c r="P26" s="194"/>
      <c r="Q26" s="192"/>
      <c r="R26" s="192"/>
      <c r="S26" s="193"/>
      <c r="T26" s="194"/>
      <c r="U26" s="192"/>
      <c r="V26" s="192"/>
      <c r="W26" s="193"/>
      <c r="X26" s="189"/>
      <c r="Y26" s="192"/>
      <c r="Z26" s="192"/>
      <c r="AA26" s="193"/>
      <c r="AB26" s="189"/>
      <c r="AC26" s="192"/>
      <c r="AD26" s="192"/>
      <c r="AE26" s="193"/>
      <c r="AF26" s="189"/>
      <c r="AG26" s="192"/>
      <c r="AH26" s="192"/>
      <c r="AI26" s="192"/>
      <c r="AJ26" s="191"/>
      <c r="AK26" s="192"/>
      <c r="AL26" s="192"/>
      <c r="AM26" s="192"/>
      <c r="AN26" s="191"/>
      <c r="AO26" s="192"/>
      <c r="AP26" s="192"/>
      <c r="AQ26" s="966"/>
      <c r="AR26" s="191"/>
      <c r="AS26" s="192"/>
      <c r="AT26" s="192"/>
      <c r="AU26" s="966"/>
      <c r="AV26" s="191"/>
      <c r="AW26" s="192"/>
      <c r="AX26" s="192"/>
      <c r="AY26" s="966"/>
      <c r="AZ26" s="191"/>
      <c r="BA26" s="192"/>
      <c r="BB26" s="192"/>
      <c r="BC26" s="193"/>
      <c r="BD26" s="194"/>
      <c r="BE26" s="192"/>
      <c r="BF26" s="192"/>
      <c r="BG26" s="193"/>
      <c r="BH26" s="194"/>
      <c r="BI26" s="192"/>
      <c r="BJ26" s="192"/>
      <c r="BK26" s="193"/>
      <c r="BL26" s="19"/>
      <c r="BM26" s="192"/>
      <c r="BN26" s="192"/>
      <c r="BO26" s="192"/>
      <c r="BP26" s="192"/>
      <c r="BQ26" s="192"/>
      <c r="BR26" s="192"/>
      <c r="BS26" s="194"/>
      <c r="BT26" s="192"/>
      <c r="BU26" s="194"/>
      <c r="BV26" s="192"/>
      <c r="BW26" s="192"/>
      <c r="BX26" s="192"/>
      <c r="BY26" s="192"/>
      <c r="BZ26" s="192"/>
      <c r="CA26" s="193"/>
      <c r="CB26" s="19"/>
      <c r="CC26" s="194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192"/>
      <c r="CO26" s="192"/>
      <c r="CP26" s="193"/>
      <c r="CQ26" s="7"/>
    </row>
    <row r="27" spans="1:95" ht="14.25" customHeight="1">
      <c r="A27" s="7"/>
      <c r="B27" s="43" t="str">
        <f t="shared" ref="B27:B33" si="68">B112</f>
        <v>Cash flows from investing activities:</v>
      </c>
      <c r="C27" s="44"/>
      <c r="D27" s="194"/>
      <c r="E27" s="192"/>
      <c r="F27" s="192"/>
      <c r="G27" s="193"/>
      <c r="H27" s="194"/>
      <c r="I27" s="192"/>
      <c r="J27" s="192"/>
      <c r="K27" s="193"/>
      <c r="L27" s="194"/>
      <c r="M27" s="192"/>
      <c r="N27" s="192"/>
      <c r="O27" s="193"/>
      <c r="P27" s="194"/>
      <c r="Q27" s="192"/>
      <c r="R27" s="192"/>
      <c r="S27" s="193"/>
      <c r="T27" s="194"/>
      <c r="U27" s="192"/>
      <c r="V27" s="192"/>
      <c r="W27" s="193"/>
      <c r="X27" s="189"/>
      <c r="Y27" s="192"/>
      <c r="Z27" s="192"/>
      <c r="AA27" s="193"/>
      <c r="AB27" s="189"/>
      <c r="AC27" s="192"/>
      <c r="AD27" s="192"/>
      <c r="AE27" s="193"/>
      <c r="AF27" s="189"/>
      <c r="AG27" s="192"/>
      <c r="AH27" s="192"/>
      <c r="AI27" s="192"/>
      <c r="AJ27" s="191"/>
      <c r="AK27" s="192"/>
      <c r="AL27" s="192"/>
      <c r="AM27" s="192"/>
      <c r="AN27" s="191"/>
      <c r="AO27" s="192"/>
      <c r="AP27" s="192"/>
      <c r="AQ27" s="193"/>
      <c r="AR27" s="191"/>
      <c r="AS27" s="192"/>
      <c r="AT27" s="192"/>
      <c r="AU27" s="193"/>
      <c r="AV27" s="191"/>
      <c r="AW27" s="192"/>
      <c r="AX27" s="192"/>
      <c r="AY27" s="193"/>
      <c r="AZ27" s="191"/>
      <c r="BA27" s="192"/>
      <c r="BB27" s="192"/>
      <c r="BC27" s="193"/>
      <c r="BD27" s="194"/>
      <c r="BE27" s="192"/>
      <c r="BF27" s="192"/>
      <c r="BG27" s="193"/>
      <c r="BH27" s="194"/>
      <c r="BI27" s="192"/>
      <c r="BJ27" s="192"/>
      <c r="BK27" s="193"/>
      <c r="BL27" s="19"/>
      <c r="BM27" s="192"/>
      <c r="BN27" s="192"/>
      <c r="BO27" s="192"/>
      <c r="BP27" s="192"/>
      <c r="BQ27" s="192"/>
      <c r="BR27" s="192"/>
      <c r="BS27" s="194"/>
      <c r="BT27" s="192"/>
      <c r="BU27" s="194"/>
      <c r="BV27" s="192"/>
      <c r="BW27" s="192"/>
      <c r="BX27" s="192"/>
      <c r="BY27" s="192"/>
      <c r="BZ27" s="192"/>
      <c r="CA27" s="193"/>
      <c r="CB27" s="19"/>
      <c r="CC27" s="194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192"/>
      <c r="CO27" s="192"/>
      <c r="CP27" s="193"/>
      <c r="CQ27" s="7"/>
    </row>
    <row r="28" spans="1:95" ht="14.25" customHeight="1">
      <c r="A28" s="7"/>
      <c r="B28" s="27" t="str">
        <f t="shared" si="68"/>
        <v>Acquisition of property and equipment</v>
      </c>
      <c r="C28" s="28"/>
      <c r="D28" s="194">
        <f>-2-6</f>
        <v>-8</v>
      </c>
      <c r="E28" s="192">
        <v>-23</v>
      </c>
      <c r="F28" s="192">
        <v>-22</v>
      </c>
      <c r="G28" s="193">
        <v>-12</v>
      </c>
      <c r="H28" s="194">
        <v>-11</v>
      </c>
      <c r="I28" s="192">
        <v>-8</v>
      </c>
      <c r="J28" s="192">
        <v>-8</v>
      </c>
      <c r="K28" s="193">
        <v>-10</v>
      </c>
      <c r="L28" s="194">
        <v>-15</v>
      </c>
      <c r="M28" s="192">
        <v>-13</v>
      </c>
      <c r="N28" s="192">
        <v>-19</v>
      </c>
      <c r="O28" s="193">
        <v>-18</v>
      </c>
      <c r="P28" s="194">
        <v>-12</v>
      </c>
      <c r="Q28" s="192">
        <v>-13</v>
      </c>
      <c r="R28" s="192">
        <v>-12</v>
      </c>
      <c r="S28" s="193">
        <v>-20</v>
      </c>
      <c r="T28" s="194">
        <v>-9</v>
      </c>
      <c r="U28" s="192">
        <v>-18</v>
      </c>
      <c r="V28" s="192">
        <v>-22</v>
      </c>
      <c r="W28" s="193">
        <v>-30</v>
      </c>
      <c r="X28" s="192">
        <v>-32</v>
      </c>
      <c r="Y28" s="192">
        <v>-19</v>
      </c>
      <c r="Z28" s="192">
        <v>-24</v>
      </c>
      <c r="AA28" s="193">
        <v>-37</v>
      </c>
      <c r="AB28" s="192">
        <v>-47</v>
      </c>
      <c r="AC28" s="192">
        <v>-56</v>
      </c>
      <c r="AD28" s="192">
        <v>-65</v>
      </c>
      <c r="AE28" s="193">
        <v>-73</v>
      </c>
      <c r="AF28" s="192">
        <v>-67</v>
      </c>
      <c r="AG28" s="192">
        <v>-47</v>
      </c>
      <c r="AH28" s="192">
        <v>-65</v>
      </c>
      <c r="AI28" s="192">
        <v>-57</v>
      </c>
      <c r="AJ28" s="194">
        <v>-52</v>
      </c>
      <c r="AK28" s="192">
        <v>-73</v>
      </c>
      <c r="AL28" s="192">
        <v>-95</v>
      </c>
      <c r="AM28" s="192">
        <v>-189</v>
      </c>
      <c r="AN28" s="194">
        <v>-162</v>
      </c>
      <c r="AO28" s="192">
        <v>-177</v>
      </c>
      <c r="AP28" s="192">
        <v>-148</v>
      </c>
      <c r="AQ28" s="193">
        <v>-106</v>
      </c>
      <c r="AR28" s="194">
        <v>-140</v>
      </c>
      <c r="AS28" s="192">
        <v>-158</v>
      </c>
      <c r="AT28" s="192">
        <v>-232</v>
      </c>
      <c r="AU28" s="193">
        <v>-193</v>
      </c>
      <c r="AV28" s="194">
        <v>-325</v>
      </c>
      <c r="AW28" s="192">
        <v>-256</v>
      </c>
      <c r="AX28" s="192">
        <v>-255</v>
      </c>
      <c r="AY28" s="193">
        <v>-233</v>
      </c>
      <c r="AZ28" s="194">
        <v>-220</v>
      </c>
      <c r="BA28" s="189">
        <f t="shared" ref="BA28:BC28" si="69">-BA66-BA67</f>
        <v>-190.41952000000003</v>
      </c>
      <c r="BB28" s="189">
        <f t="shared" si="69"/>
        <v>-156.36804899999998</v>
      </c>
      <c r="BC28" s="190">
        <f t="shared" si="69"/>
        <v>-167.482913685</v>
      </c>
      <c r="BD28" s="191">
        <f t="shared" ref="BD28:BG28" si="70">-BD66-BD67</f>
        <v>-159.93690461219998</v>
      </c>
      <c r="BE28" s="189">
        <f t="shared" si="70"/>
        <v>-155.34683842197597</v>
      </c>
      <c r="BF28" s="189">
        <f t="shared" si="70"/>
        <v>-166.41675851853165</v>
      </c>
      <c r="BG28" s="190">
        <f t="shared" si="70"/>
        <v>-185.32939780764326</v>
      </c>
      <c r="BH28" s="191">
        <f t="shared" ref="BH28:BK28" si="71">-BH66-BH67</f>
        <v>-177.06978188347361</v>
      </c>
      <c r="BI28" s="189">
        <f t="shared" si="71"/>
        <v>-167.59431947018493</v>
      </c>
      <c r="BJ28" s="189">
        <f t="shared" si="71"/>
        <v>-174.39810443013138</v>
      </c>
      <c r="BK28" s="190">
        <f t="shared" si="71"/>
        <v>-185.46945295569765</v>
      </c>
      <c r="BL28" s="19"/>
      <c r="BM28" s="189">
        <f>SUM(D28:G28)</f>
        <v>-65</v>
      </c>
      <c r="BN28" s="189">
        <f>SUM(H28:K28)</f>
        <v>-37</v>
      </c>
      <c r="BO28" s="189">
        <f>SUM(L28:O28)</f>
        <v>-65</v>
      </c>
      <c r="BP28" s="189">
        <f>SUM(P28:S28)</f>
        <v>-57</v>
      </c>
      <c r="BQ28" s="189">
        <f>SUM(T28:W28)</f>
        <v>-79</v>
      </c>
      <c r="BR28" s="189">
        <f>SUM(X28:AA28)</f>
        <v>-112</v>
      </c>
      <c r="BS28" s="191">
        <f>SUM(AB28:AE28)</f>
        <v>-241</v>
      </c>
      <c r="BT28" s="189">
        <f>SUM(AF28:AI28)</f>
        <v>-236</v>
      </c>
      <c r="BU28" s="191">
        <f>SUM(AJ28:AM28)</f>
        <v>-409</v>
      </c>
      <c r="BV28" s="189">
        <f>SUM(AN28:AQ28)</f>
        <v>-593</v>
      </c>
      <c r="BW28" s="189">
        <f>SUM(AR28:AU28)</f>
        <v>-723</v>
      </c>
      <c r="BX28" s="189">
        <f>SUM(AV28:AY28)</f>
        <v>-1069</v>
      </c>
      <c r="BY28" s="189">
        <f t="shared" ref="BY28:BY32" si="72">SUM(AZ28:BC28)</f>
        <v>-734.27048268500005</v>
      </c>
      <c r="BZ28" s="189">
        <f>SUM(BD28:BG28)</f>
        <v>-667.02989936035078</v>
      </c>
      <c r="CA28" s="190">
        <f t="shared" ref="CA28:CA32" si="73">SUM(BH28:BK28)</f>
        <v>-704.53165873948763</v>
      </c>
      <c r="CB28" s="19"/>
      <c r="CC28" s="191">
        <f>SUM(E28:H28)</f>
        <v>-68</v>
      </c>
      <c r="CD28" s="189">
        <f>SUM(I28:L28)</f>
        <v>-41</v>
      </c>
      <c r="CE28" s="189">
        <f>SUM(M28:P28)</f>
        <v>-62</v>
      </c>
      <c r="CF28" s="189">
        <f>SUM(Q28:T28)</f>
        <v>-54</v>
      </c>
      <c r="CG28" s="189">
        <f>SUM(U28:X28)</f>
        <v>-102</v>
      </c>
      <c r="CH28" s="189">
        <f>SUM(Y28:AB28)</f>
        <v>-127</v>
      </c>
      <c r="CI28" s="189">
        <f>SUM(AC28:AF28)</f>
        <v>-261</v>
      </c>
      <c r="CJ28" s="189">
        <f>SUM(AG28:AJ28)</f>
        <v>-221</v>
      </c>
      <c r="CK28" s="189">
        <f>SUM(AK28:AN28)</f>
        <v>-519</v>
      </c>
      <c r="CL28" s="189">
        <f>SUM(AO28:AR28)</f>
        <v>-571</v>
      </c>
      <c r="CM28" s="189">
        <f>SUM(AS28:AV28)</f>
        <v>-908</v>
      </c>
      <c r="CN28" s="189">
        <f>SUM(AW28:AZ28)</f>
        <v>-964</v>
      </c>
      <c r="CO28" s="189">
        <f>SUM(BA28:BD28)</f>
        <v>-674.20738729720006</v>
      </c>
      <c r="CP28" s="190">
        <f t="shared" ref="CP28:CP32" si="74">SUM(BE28:BH28)</f>
        <v>-684.16277663162452</v>
      </c>
      <c r="CQ28" s="7"/>
    </row>
    <row r="29" spans="1:95" ht="14.25" customHeight="1">
      <c r="A29" s="7"/>
      <c r="B29" s="27" t="str">
        <f t="shared" si="68"/>
        <v>Acquisitions and investments, net</v>
      </c>
      <c r="C29" s="28"/>
      <c r="D29" s="194">
        <v>-2715</v>
      </c>
      <c r="E29" s="192">
        <v>8</v>
      </c>
      <c r="F29" s="192">
        <v>0</v>
      </c>
      <c r="G29" s="193">
        <v>0</v>
      </c>
      <c r="H29" s="194">
        <v>0</v>
      </c>
      <c r="I29" s="192">
        <v>0</v>
      </c>
      <c r="J29" s="192">
        <v>-27</v>
      </c>
      <c r="K29" s="193">
        <v>0</v>
      </c>
      <c r="L29" s="194">
        <v>-38</v>
      </c>
      <c r="M29" s="192">
        <v>-8</v>
      </c>
      <c r="N29" s="192">
        <v>0</v>
      </c>
      <c r="O29" s="193">
        <v>-32</v>
      </c>
      <c r="P29" s="194">
        <v>0</v>
      </c>
      <c r="Q29" s="192">
        <v>-7</v>
      </c>
      <c r="R29" s="192">
        <v>0</v>
      </c>
      <c r="S29" s="193">
        <v>0</v>
      </c>
      <c r="T29" s="194">
        <v>0</v>
      </c>
      <c r="U29" s="192">
        <v>-1</v>
      </c>
      <c r="V29" s="192">
        <v>-8</v>
      </c>
      <c r="W29" s="193">
        <v>0</v>
      </c>
      <c r="X29" s="192">
        <v>-9</v>
      </c>
      <c r="Y29" s="192">
        <v>0</v>
      </c>
      <c r="Z29" s="192">
        <v>0</v>
      </c>
      <c r="AA29" s="193">
        <v>-1</v>
      </c>
      <c r="AB29" s="192">
        <v>0</v>
      </c>
      <c r="AC29" s="192">
        <v>0</v>
      </c>
      <c r="AD29" s="192">
        <v>-2</v>
      </c>
      <c r="AE29" s="193">
        <f>-2+1</f>
        <v>-1</v>
      </c>
      <c r="AF29" s="192">
        <v>-9</v>
      </c>
      <c r="AG29" s="192">
        <v>-37</v>
      </c>
      <c r="AH29" s="192">
        <v>-373</v>
      </c>
      <c r="AI29" s="192">
        <f>-10+13</f>
        <v>3</v>
      </c>
      <c r="AJ29" s="194">
        <v>0</v>
      </c>
      <c r="AK29" s="192">
        <v>0</v>
      </c>
      <c r="AL29" s="192">
        <v>-5644</v>
      </c>
      <c r="AM29" s="192">
        <v>-317</v>
      </c>
      <c r="AN29" s="194">
        <v>0</v>
      </c>
      <c r="AO29" s="192">
        <v>0</v>
      </c>
      <c r="AP29" s="192">
        <v>-394</v>
      </c>
      <c r="AQ29" s="193">
        <v>0</v>
      </c>
      <c r="AR29" s="194">
        <v>-12</v>
      </c>
      <c r="AS29" s="192">
        <v>-10023</v>
      </c>
      <c r="AT29" s="192">
        <v>-20</v>
      </c>
      <c r="AU29" s="193">
        <f>15+4</f>
        <v>19</v>
      </c>
      <c r="AV29" s="194">
        <v>0</v>
      </c>
      <c r="AW29" s="192">
        <v>-37</v>
      </c>
      <c r="AX29" s="192">
        <v>-3</v>
      </c>
      <c r="AY29" s="193">
        <v>0</v>
      </c>
      <c r="AZ29" s="194">
        <v>-4786</v>
      </c>
      <c r="BA29" s="925">
        <v>0</v>
      </c>
      <c r="BB29" s="925">
        <v>0</v>
      </c>
      <c r="BC29" s="926">
        <v>0</v>
      </c>
      <c r="BD29" s="1183">
        <v>0</v>
      </c>
      <c r="BE29" s="925">
        <v>0</v>
      </c>
      <c r="BF29" s="925">
        <v>0</v>
      </c>
      <c r="BG29" s="926">
        <v>0</v>
      </c>
      <c r="BH29" s="1183">
        <v>0</v>
      </c>
      <c r="BI29" s="925">
        <v>0</v>
      </c>
      <c r="BJ29" s="925">
        <v>0</v>
      </c>
      <c r="BK29" s="926">
        <v>0</v>
      </c>
      <c r="BL29" s="19"/>
      <c r="BM29" s="189">
        <f>SUM(D29:G29)</f>
        <v>-2707</v>
      </c>
      <c r="BN29" s="189">
        <f>SUM(H29:K29)</f>
        <v>-27</v>
      </c>
      <c r="BO29" s="189">
        <f>SUM(L29:O29)</f>
        <v>-78</v>
      </c>
      <c r="BP29" s="189">
        <f>SUM(P29:S29)</f>
        <v>-7</v>
      </c>
      <c r="BQ29" s="189">
        <f>SUM(T29:W29)</f>
        <v>-9</v>
      </c>
      <c r="BR29" s="189">
        <f>SUM(X29:AA29)</f>
        <v>-10</v>
      </c>
      <c r="BS29" s="191">
        <f>SUM(AB29:AE29)</f>
        <v>-3</v>
      </c>
      <c r="BT29" s="189">
        <f>SUM(AF29:AI29)</f>
        <v>-416</v>
      </c>
      <c r="BU29" s="191">
        <f>SUM(AJ29:AM29)</f>
        <v>-5961</v>
      </c>
      <c r="BV29" s="189">
        <f>SUM(AN29:AQ29)</f>
        <v>-394</v>
      </c>
      <c r="BW29" s="189">
        <f>SUM(AR29:AU29)</f>
        <v>-10036</v>
      </c>
      <c r="BX29" s="189">
        <f>SUM(AV29:AY29)</f>
        <v>-40</v>
      </c>
      <c r="BY29" s="189">
        <f t="shared" si="72"/>
        <v>-4786</v>
      </c>
      <c r="BZ29" s="189">
        <f>SUM(BD29:BG29)</f>
        <v>0</v>
      </c>
      <c r="CA29" s="190">
        <f t="shared" si="73"/>
        <v>0</v>
      </c>
      <c r="CB29" s="19"/>
      <c r="CC29" s="191">
        <f>SUM(E29:H29)</f>
        <v>8</v>
      </c>
      <c r="CD29" s="189">
        <f>SUM(I29:L29)</f>
        <v>-65</v>
      </c>
      <c r="CE29" s="189">
        <f>SUM(M29:P29)</f>
        <v>-40</v>
      </c>
      <c r="CF29" s="189">
        <f>SUM(Q29:T29)</f>
        <v>-7</v>
      </c>
      <c r="CG29" s="189">
        <f>SUM(U29:X29)</f>
        <v>-18</v>
      </c>
      <c r="CH29" s="189">
        <f>SUM(Y29:AB29)</f>
        <v>-1</v>
      </c>
      <c r="CI29" s="189">
        <f>SUM(AC29:AF29)</f>
        <v>-12</v>
      </c>
      <c r="CJ29" s="189">
        <f>SUM(AG29:AJ29)</f>
        <v>-407</v>
      </c>
      <c r="CK29" s="189">
        <f>SUM(AK29:AN29)</f>
        <v>-5961</v>
      </c>
      <c r="CL29" s="189">
        <f>SUM(AO29:AR29)</f>
        <v>-406</v>
      </c>
      <c r="CM29" s="189">
        <f>SUM(AS29:AV29)</f>
        <v>-10024</v>
      </c>
      <c r="CN29" s="189">
        <f>SUM(AW29:AZ29)</f>
        <v>-4826</v>
      </c>
      <c r="CO29" s="189">
        <f>SUM(BA29:BD29)</f>
        <v>0</v>
      </c>
      <c r="CP29" s="190">
        <f t="shared" si="74"/>
        <v>0</v>
      </c>
      <c r="CQ29" s="7"/>
    </row>
    <row r="30" spans="1:95" ht="14.25" customHeight="1">
      <c r="A30" s="7"/>
      <c r="B30" s="27" t="str">
        <f t="shared" si="68"/>
        <v>Proceeds from sale of property and equipment</v>
      </c>
      <c r="C30" s="28"/>
      <c r="D30" s="194">
        <v>0</v>
      </c>
      <c r="E30" s="192">
        <v>0</v>
      </c>
      <c r="F30" s="192">
        <v>0</v>
      </c>
      <c r="G30" s="193">
        <v>0</v>
      </c>
      <c r="H30" s="194">
        <v>0</v>
      </c>
      <c r="I30" s="192">
        <v>0</v>
      </c>
      <c r="J30" s="192">
        <v>0</v>
      </c>
      <c r="K30" s="193">
        <v>0</v>
      </c>
      <c r="L30" s="194">
        <v>0</v>
      </c>
      <c r="M30" s="192">
        <v>0</v>
      </c>
      <c r="N30" s="192">
        <v>0</v>
      </c>
      <c r="O30" s="193">
        <v>0</v>
      </c>
      <c r="P30" s="194">
        <v>0</v>
      </c>
      <c r="Q30" s="192">
        <v>0</v>
      </c>
      <c r="R30" s="192">
        <v>0</v>
      </c>
      <c r="S30" s="193">
        <v>0</v>
      </c>
      <c r="T30" s="194">
        <v>0</v>
      </c>
      <c r="U30" s="192">
        <v>0</v>
      </c>
      <c r="V30" s="192">
        <v>0</v>
      </c>
      <c r="W30" s="193">
        <v>0</v>
      </c>
      <c r="X30" s="192">
        <v>0</v>
      </c>
      <c r="Y30" s="192">
        <v>0</v>
      </c>
      <c r="Z30" s="192">
        <v>0</v>
      </c>
      <c r="AA30" s="193">
        <v>0</v>
      </c>
      <c r="AB30" s="192">
        <v>0</v>
      </c>
      <c r="AC30" s="192">
        <v>0</v>
      </c>
      <c r="AD30" s="192">
        <v>0</v>
      </c>
      <c r="AE30" s="193">
        <v>0</v>
      </c>
      <c r="AF30" s="192">
        <v>0</v>
      </c>
      <c r="AG30" s="192">
        <v>0</v>
      </c>
      <c r="AH30" s="192">
        <v>0</v>
      </c>
      <c r="AI30" s="192">
        <v>0</v>
      </c>
      <c r="AJ30" s="194">
        <v>0</v>
      </c>
      <c r="AK30" s="192">
        <v>0</v>
      </c>
      <c r="AL30" s="192">
        <v>0</v>
      </c>
      <c r="AM30" s="192">
        <v>450</v>
      </c>
      <c r="AN30" s="194">
        <v>650</v>
      </c>
      <c r="AO30" s="192">
        <v>37</v>
      </c>
      <c r="AP30" s="192">
        <v>0</v>
      </c>
      <c r="AQ30" s="193">
        <v>47</v>
      </c>
      <c r="AR30" s="194">
        <v>0</v>
      </c>
      <c r="AS30" s="192">
        <v>0</v>
      </c>
      <c r="AT30" s="192">
        <v>5</v>
      </c>
      <c r="AU30" s="193">
        <v>0</v>
      </c>
      <c r="AV30" s="194">
        <v>10</v>
      </c>
      <c r="AW30" s="192">
        <v>0</v>
      </c>
      <c r="AX30" s="192">
        <v>1</v>
      </c>
      <c r="AY30" s="193">
        <v>440</v>
      </c>
      <c r="AZ30" s="194">
        <f>782+237</f>
        <v>1019</v>
      </c>
      <c r="BA30" s="925">
        <v>0</v>
      </c>
      <c r="BB30" s="925">
        <v>0</v>
      </c>
      <c r="BC30" s="926">
        <v>0</v>
      </c>
      <c r="BD30" s="1183">
        <v>0</v>
      </c>
      <c r="BE30" s="925">
        <v>0</v>
      </c>
      <c r="BF30" s="925">
        <v>0</v>
      </c>
      <c r="BG30" s="926">
        <v>0</v>
      </c>
      <c r="BH30" s="1183">
        <v>0</v>
      </c>
      <c r="BI30" s="925">
        <v>0</v>
      </c>
      <c r="BJ30" s="925">
        <v>0</v>
      </c>
      <c r="BK30" s="926">
        <v>0</v>
      </c>
      <c r="BL30" s="19"/>
      <c r="BM30" s="189">
        <f>SUM(D30:G30)</f>
        <v>0</v>
      </c>
      <c r="BN30" s="189">
        <f>SUM(H30:K30)</f>
        <v>0</v>
      </c>
      <c r="BO30" s="189">
        <f>SUM(L30:O30)</f>
        <v>0</v>
      </c>
      <c r="BP30" s="189">
        <f>SUM(P30:S30)</f>
        <v>0</v>
      </c>
      <c r="BQ30" s="189">
        <f>SUM(T30:W30)</f>
        <v>0</v>
      </c>
      <c r="BR30" s="189">
        <f>SUM(X30:AA30)</f>
        <v>0</v>
      </c>
      <c r="BS30" s="191">
        <f>SUM(AB30:AE30)</f>
        <v>0</v>
      </c>
      <c r="BT30" s="189">
        <f>SUM(AF30:AI30)</f>
        <v>0</v>
      </c>
      <c r="BU30" s="191">
        <f>SUM(AJ30:AM30)</f>
        <v>450</v>
      </c>
      <c r="BV30" s="189">
        <f>SUM(AN30:AQ30)</f>
        <v>734</v>
      </c>
      <c r="BW30" s="189">
        <f>SUM(AR30:AU30)</f>
        <v>5</v>
      </c>
      <c r="BX30" s="189">
        <f>SUM(AV30:AY30)</f>
        <v>451</v>
      </c>
      <c r="BY30" s="189">
        <f t="shared" si="72"/>
        <v>1019</v>
      </c>
      <c r="BZ30" s="189">
        <f>SUM(BD30:BG30)</f>
        <v>0</v>
      </c>
      <c r="CA30" s="190">
        <f t="shared" si="73"/>
        <v>0</v>
      </c>
      <c r="CB30" s="19"/>
      <c r="CC30" s="191">
        <f>SUM(E30:H30)</f>
        <v>0</v>
      </c>
      <c r="CD30" s="189">
        <f>SUM(I30:L30)</f>
        <v>0</v>
      </c>
      <c r="CE30" s="189">
        <f>SUM(M30:P30)</f>
        <v>0</v>
      </c>
      <c r="CF30" s="189">
        <f>SUM(Q30:T30)</f>
        <v>0</v>
      </c>
      <c r="CG30" s="189">
        <f>SUM(U30:X30)</f>
        <v>0</v>
      </c>
      <c r="CH30" s="189">
        <f>SUM(Y30:AB30)</f>
        <v>0</v>
      </c>
      <c r="CI30" s="189">
        <f>SUM(AC30:AF30)</f>
        <v>0</v>
      </c>
      <c r="CJ30" s="189">
        <f>SUM(AG30:AJ30)</f>
        <v>0</v>
      </c>
      <c r="CK30" s="189">
        <f>SUM(AK30:AN30)</f>
        <v>1100</v>
      </c>
      <c r="CL30" s="189">
        <f>SUM(AO30:AR30)</f>
        <v>84</v>
      </c>
      <c r="CM30" s="189">
        <f>SUM(AS30:AV30)</f>
        <v>15</v>
      </c>
      <c r="CN30" s="189">
        <f>SUM(AW30:AZ30)</f>
        <v>1460</v>
      </c>
      <c r="CO30" s="189">
        <f>SUM(BA30:BD30)</f>
        <v>0</v>
      </c>
      <c r="CP30" s="190">
        <f t="shared" si="74"/>
        <v>0</v>
      </c>
      <c r="CQ30" s="7"/>
    </row>
    <row r="31" spans="1:95" ht="14.25" customHeight="1">
      <c r="A31" s="7"/>
      <c r="B31" s="27" t="str">
        <f t="shared" si="68"/>
        <v>Acquisition of intangible assets</v>
      </c>
      <c r="C31" s="28"/>
      <c r="D31" s="194">
        <v>0</v>
      </c>
      <c r="E31" s="192">
        <v>0</v>
      </c>
      <c r="F31" s="192">
        <v>0</v>
      </c>
      <c r="G31" s="193">
        <v>0</v>
      </c>
      <c r="H31" s="194">
        <v>0</v>
      </c>
      <c r="I31" s="192">
        <v>0</v>
      </c>
      <c r="J31" s="192">
        <v>0</v>
      </c>
      <c r="K31" s="193">
        <v>0</v>
      </c>
      <c r="L31" s="194">
        <v>-6</v>
      </c>
      <c r="M31" s="192">
        <v>0</v>
      </c>
      <c r="N31" s="192">
        <v>0</v>
      </c>
      <c r="O31" s="193">
        <v>0</v>
      </c>
      <c r="P31" s="194">
        <v>0</v>
      </c>
      <c r="Q31" s="192">
        <v>0</v>
      </c>
      <c r="R31" s="192">
        <v>0</v>
      </c>
      <c r="S31" s="193">
        <v>-1</v>
      </c>
      <c r="T31" s="194">
        <v>0</v>
      </c>
      <c r="U31" s="192">
        <v>0</v>
      </c>
      <c r="V31" s="192">
        <v>0</v>
      </c>
      <c r="W31" s="193">
        <v>0</v>
      </c>
      <c r="X31" s="192">
        <v>0</v>
      </c>
      <c r="Y31" s="192">
        <v>0</v>
      </c>
      <c r="Z31" s="192">
        <v>0</v>
      </c>
      <c r="AA31" s="193">
        <v>0</v>
      </c>
      <c r="AB31" s="192">
        <v>0</v>
      </c>
      <c r="AC31" s="192">
        <v>0</v>
      </c>
      <c r="AD31" s="192">
        <v>0</v>
      </c>
      <c r="AE31" s="193">
        <v>0</v>
      </c>
      <c r="AF31" s="192">
        <v>0</v>
      </c>
      <c r="AG31" s="192">
        <v>0</v>
      </c>
      <c r="AH31" s="192">
        <v>0</v>
      </c>
      <c r="AI31" s="192">
        <v>0</v>
      </c>
      <c r="AJ31" s="194">
        <v>0</v>
      </c>
      <c r="AK31" s="192">
        <v>0</v>
      </c>
      <c r="AL31" s="192">
        <v>0</v>
      </c>
      <c r="AM31" s="192">
        <v>0</v>
      </c>
      <c r="AN31" s="194">
        <v>0</v>
      </c>
      <c r="AO31" s="192">
        <v>0</v>
      </c>
      <c r="AP31" s="192">
        <v>0</v>
      </c>
      <c r="AQ31" s="193">
        <v>0</v>
      </c>
      <c r="AR31" s="194">
        <v>0</v>
      </c>
      <c r="AS31" s="192">
        <v>0</v>
      </c>
      <c r="AT31" s="192">
        <v>0</v>
      </c>
      <c r="AU31" s="193">
        <v>0</v>
      </c>
      <c r="AV31" s="194">
        <v>0</v>
      </c>
      <c r="AW31" s="192">
        <v>0</v>
      </c>
      <c r="AX31" s="192">
        <v>0</v>
      </c>
      <c r="AY31" s="193">
        <v>0</v>
      </c>
      <c r="AZ31" s="194">
        <v>0</v>
      </c>
      <c r="BA31" s="925">
        <f t="shared" ref="BA31:BC31" si="75">+AZ31</f>
        <v>0</v>
      </c>
      <c r="BB31" s="925">
        <f t="shared" si="75"/>
        <v>0</v>
      </c>
      <c r="BC31" s="926">
        <f t="shared" si="75"/>
        <v>0</v>
      </c>
      <c r="BD31" s="1183">
        <f t="shared" ref="BD31" si="76">+BC31</f>
        <v>0</v>
      </c>
      <c r="BE31" s="925">
        <f t="shared" ref="BE31" si="77">+BD31</f>
        <v>0</v>
      </c>
      <c r="BF31" s="925">
        <f t="shared" ref="BF31" si="78">+BE31</f>
        <v>0</v>
      </c>
      <c r="BG31" s="926">
        <f t="shared" ref="BG31" si="79">+BF31</f>
        <v>0</v>
      </c>
      <c r="BH31" s="1183">
        <f t="shared" ref="BH31" si="80">+BG31</f>
        <v>0</v>
      </c>
      <c r="BI31" s="925">
        <f t="shared" ref="BI31" si="81">+BH31</f>
        <v>0</v>
      </c>
      <c r="BJ31" s="925">
        <f t="shared" ref="BJ31" si="82">+BI31</f>
        <v>0</v>
      </c>
      <c r="BK31" s="926">
        <f t="shared" ref="BK31" si="83">+BJ31</f>
        <v>0</v>
      </c>
      <c r="BL31" s="232"/>
      <c r="BM31" s="189">
        <f>SUM(D31:G31)</f>
        <v>0</v>
      </c>
      <c r="BN31" s="189">
        <f>SUM(H31:K31)</f>
        <v>0</v>
      </c>
      <c r="BO31" s="189">
        <f>SUM(L31:O31)</f>
        <v>-6</v>
      </c>
      <c r="BP31" s="189">
        <f>SUM(P31:S31)</f>
        <v>-1</v>
      </c>
      <c r="BQ31" s="189">
        <f>SUM(T31:W31)</f>
        <v>0</v>
      </c>
      <c r="BR31" s="189">
        <f>SUM(X31:AA31)</f>
        <v>0</v>
      </c>
      <c r="BS31" s="191">
        <f>SUM(AB31:AE31)</f>
        <v>0</v>
      </c>
      <c r="BT31" s="189">
        <f>SUM(AF31:AI31)</f>
        <v>0</v>
      </c>
      <c r="BU31" s="191">
        <f>SUM(AJ31:AM31)</f>
        <v>0</v>
      </c>
      <c r="BV31" s="189">
        <f>SUM(AN31:AQ31)</f>
        <v>0</v>
      </c>
      <c r="BW31" s="189">
        <f>SUM(AR31:AU31)</f>
        <v>0</v>
      </c>
      <c r="BX31" s="189">
        <f>SUM(AV31:AY31)</f>
        <v>0</v>
      </c>
      <c r="BY31" s="189">
        <f t="shared" si="72"/>
        <v>0</v>
      </c>
      <c r="BZ31" s="189">
        <f>SUM(BD31:BG31)</f>
        <v>0</v>
      </c>
      <c r="CA31" s="190">
        <f t="shared" si="73"/>
        <v>0</v>
      </c>
      <c r="CB31" s="19"/>
      <c r="CC31" s="191">
        <f>SUM(E31:H31)</f>
        <v>0</v>
      </c>
      <c r="CD31" s="189">
        <f>SUM(I31:L31)</f>
        <v>-6</v>
      </c>
      <c r="CE31" s="189">
        <f>SUM(M31:P31)</f>
        <v>0</v>
      </c>
      <c r="CF31" s="189">
        <f>SUM(Q31:T31)</f>
        <v>-1</v>
      </c>
      <c r="CG31" s="189">
        <f>SUM(U31:X31)</f>
        <v>0</v>
      </c>
      <c r="CH31" s="189">
        <f>SUM(Y31:AB31)</f>
        <v>0</v>
      </c>
      <c r="CI31" s="189">
        <f>SUM(AC31:AF31)</f>
        <v>0</v>
      </c>
      <c r="CJ31" s="189">
        <f>SUM(AG31:AJ31)</f>
        <v>0</v>
      </c>
      <c r="CK31" s="189">
        <f>SUM(AK31:AN31)</f>
        <v>0</v>
      </c>
      <c r="CL31" s="189">
        <f>SUM(AO31:AR31)</f>
        <v>0</v>
      </c>
      <c r="CM31" s="189">
        <f>SUM(AS31:AV31)</f>
        <v>0</v>
      </c>
      <c r="CN31" s="189">
        <f>SUM(AW31:AZ31)</f>
        <v>0</v>
      </c>
      <c r="CO31" s="189">
        <f>SUM(BA31:BD31)</f>
        <v>0</v>
      </c>
      <c r="CP31" s="190">
        <f t="shared" si="74"/>
        <v>0</v>
      </c>
      <c r="CQ31" s="7"/>
    </row>
    <row r="32" spans="1:95" ht="14.25" customHeight="1">
      <c r="A32" s="10"/>
      <c r="B32" s="27" t="str">
        <f t="shared" si="68"/>
        <v>Other investing activities</v>
      </c>
      <c r="C32" s="28"/>
      <c r="D32" s="194">
        <v>0</v>
      </c>
      <c r="E32" s="192">
        <v>420</v>
      </c>
      <c r="F32" s="192">
        <f>245+1</f>
        <v>246</v>
      </c>
      <c r="G32" s="193">
        <v>0</v>
      </c>
      <c r="H32" s="194">
        <v>55</v>
      </c>
      <c r="I32" s="192">
        <v>10</v>
      </c>
      <c r="J32" s="192">
        <v>0</v>
      </c>
      <c r="K32" s="193">
        <v>4</v>
      </c>
      <c r="L32" s="194">
        <v>25</v>
      </c>
      <c r="M32" s="192">
        <v>0</v>
      </c>
      <c r="N32" s="192">
        <v>25</v>
      </c>
      <c r="O32" s="193">
        <v>5</v>
      </c>
      <c r="P32" s="194">
        <v>0</v>
      </c>
      <c r="Q32" s="192">
        <v>2</v>
      </c>
      <c r="R32" s="192">
        <v>0</v>
      </c>
      <c r="S32" s="193">
        <v>0</v>
      </c>
      <c r="T32" s="194">
        <v>0</v>
      </c>
      <c r="U32" s="192">
        <v>1</v>
      </c>
      <c r="V32" s="192">
        <v>1</v>
      </c>
      <c r="W32" s="193">
        <v>0</v>
      </c>
      <c r="X32" s="192">
        <v>0</v>
      </c>
      <c r="Y32" s="192">
        <v>0</v>
      </c>
      <c r="Z32" s="192">
        <v>0</v>
      </c>
      <c r="AA32" s="193">
        <v>0</v>
      </c>
      <c r="AB32" s="192">
        <v>0</v>
      </c>
      <c r="AC32" s="192">
        <v>0</v>
      </c>
      <c r="AD32" s="192">
        <v>0</v>
      </c>
      <c r="AE32" s="193">
        <v>0</v>
      </c>
      <c r="AF32" s="192">
        <v>0</v>
      </c>
      <c r="AG32" s="192">
        <v>0</v>
      </c>
      <c r="AH32" s="192">
        <v>0</v>
      </c>
      <c r="AI32" s="192">
        <v>0</v>
      </c>
      <c r="AJ32" s="194">
        <v>0</v>
      </c>
      <c r="AK32" s="192">
        <v>14</v>
      </c>
      <c r="AL32" s="192">
        <v>0</v>
      </c>
      <c r="AM32" s="192">
        <v>21</v>
      </c>
      <c r="AN32" s="194">
        <v>26</v>
      </c>
      <c r="AO32" s="192">
        <v>-9</v>
      </c>
      <c r="AP32" s="192">
        <v>0</v>
      </c>
      <c r="AQ32" s="193">
        <v>-5</v>
      </c>
      <c r="AR32" s="194">
        <f>-1+68</f>
        <v>67</v>
      </c>
      <c r="AS32" s="192">
        <f>-58+32</f>
        <v>-26</v>
      </c>
      <c r="AT32" s="192">
        <f>57+630-14</f>
        <v>673</v>
      </c>
      <c r="AU32" s="193">
        <v>200</v>
      </c>
      <c r="AV32" s="194">
        <v>-4</v>
      </c>
      <c r="AW32" s="192">
        <v>-200</v>
      </c>
      <c r="AX32" s="192">
        <v>-1</v>
      </c>
      <c r="AY32" s="193">
        <f>-4-7+200</f>
        <v>189</v>
      </c>
      <c r="AZ32" s="194">
        <f>4-244</f>
        <v>-240</v>
      </c>
      <c r="BA32" s="925">
        <f>+'AVGO IS'!BA57</f>
        <v>0</v>
      </c>
      <c r="BB32" s="925">
        <f>+'AVGO IS'!BB57</f>
        <v>0</v>
      </c>
      <c r="BC32" s="926">
        <f>+'AVGO IS'!BC57</f>
        <v>0</v>
      </c>
      <c r="BD32" s="1183">
        <f>+'AVGO IS'!BD57</f>
        <v>0</v>
      </c>
      <c r="BE32" s="925">
        <f>+'AVGO IS'!BE57</f>
        <v>0</v>
      </c>
      <c r="BF32" s="925">
        <f>+'AVGO IS'!BF57</f>
        <v>0</v>
      </c>
      <c r="BG32" s="926">
        <f>+'AVGO IS'!BG57</f>
        <v>0</v>
      </c>
      <c r="BH32" s="1183">
        <f>+'AVGO IS'!BH57</f>
        <v>0</v>
      </c>
      <c r="BI32" s="925">
        <f>+'AVGO IS'!BI57</f>
        <v>0</v>
      </c>
      <c r="BJ32" s="925">
        <f>+'AVGO IS'!BJ57</f>
        <v>0</v>
      </c>
      <c r="BK32" s="926">
        <f>+'AVGO IS'!BK57</f>
        <v>0</v>
      </c>
      <c r="BL32" s="22"/>
      <c r="BM32" s="189">
        <f>SUM(D32:G32)</f>
        <v>666</v>
      </c>
      <c r="BN32" s="189">
        <f>SUM(H32:K32)</f>
        <v>69</v>
      </c>
      <c r="BO32" s="189">
        <f>SUM(L32:O32)</f>
        <v>55</v>
      </c>
      <c r="BP32" s="189">
        <f>SUM(P32:S32)</f>
        <v>2</v>
      </c>
      <c r="BQ32" s="189">
        <f>SUM(T32:W32)</f>
        <v>2</v>
      </c>
      <c r="BR32" s="189">
        <f>SUM(X32:AA32)</f>
        <v>0</v>
      </c>
      <c r="BS32" s="191">
        <f>SUM(AB32:AE32)</f>
        <v>0</v>
      </c>
      <c r="BT32" s="189">
        <f>SUM(AF32:AI32)</f>
        <v>0</v>
      </c>
      <c r="BU32" s="191">
        <f>SUM(AJ32:AM32)</f>
        <v>35</v>
      </c>
      <c r="BV32" s="189">
        <f>SUM(AN32:AQ32)</f>
        <v>12</v>
      </c>
      <c r="BW32" s="189">
        <f>SUM(AR32:AU32)</f>
        <v>914</v>
      </c>
      <c r="BX32" s="189">
        <f>SUM(AV32:AY32)</f>
        <v>-16</v>
      </c>
      <c r="BY32" s="189">
        <f t="shared" si="72"/>
        <v>-240</v>
      </c>
      <c r="BZ32" s="189">
        <f>SUM(BD32:BG32)</f>
        <v>0</v>
      </c>
      <c r="CA32" s="190">
        <f t="shared" si="73"/>
        <v>0</v>
      </c>
      <c r="CB32" s="166"/>
      <c r="CC32" s="191">
        <f>SUM(E32:H32)</f>
        <v>721</v>
      </c>
      <c r="CD32" s="189">
        <f>SUM(I32:L32)</f>
        <v>39</v>
      </c>
      <c r="CE32" s="189">
        <f>SUM(M32:P32)</f>
        <v>30</v>
      </c>
      <c r="CF32" s="189">
        <f>SUM(Q32:T32)</f>
        <v>2</v>
      </c>
      <c r="CG32" s="189">
        <f>SUM(U32:X32)</f>
        <v>2</v>
      </c>
      <c r="CH32" s="189">
        <f>SUM(Y32:AB32)</f>
        <v>0</v>
      </c>
      <c r="CI32" s="189">
        <f>SUM(AC32:AF32)</f>
        <v>0</v>
      </c>
      <c r="CJ32" s="189">
        <f>SUM(AG32:AJ32)</f>
        <v>0</v>
      </c>
      <c r="CK32" s="189">
        <f>SUM(AK32:AN32)</f>
        <v>61</v>
      </c>
      <c r="CL32" s="189">
        <f>SUM(AO32:AR32)</f>
        <v>53</v>
      </c>
      <c r="CM32" s="189">
        <f>SUM(AS32:AV32)</f>
        <v>843</v>
      </c>
      <c r="CN32" s="189">
        <f>SUM(AW32:AZ32)</f>
        <v>-252</v>
      </c>
      <c r="CO32" s="189">
        <f>SUM(BA32:BD32)</f>
        <v>0</v>
      </c>
      <c r="CP32" s="190">
        <f t="shared" si="74"/>
        <v>0</v>
      </c>
      <c r="CQ32" s="10"/>
    </row>
    <row r="33" spans="1:95" ht="14.25" customHeight="1" thickBot="1">
      <c r="A33" s="7"/>
      <c r="B33" s="195" t="str">
        <f t="shared" si="68"/>
        <v>Net cash used for investing activities</v>
      </c>
      <c r="C33" s="196"/>
      <c r="D33" s="198">
        <f t="shared" ref="D33:AK33" si="84">SUM(D28:D32)</f>
        <v>-2723</v>
      </c>
      <c r="E33" s="197">
        <f t="shared" si="84"/>
        <v>405</v>
      </c>
      <c r="F33" s="197">
        <f t="shared" si="84"/>
        <v>224</v>
      </c>
      <c r="G33" s="199">
        <f t="shared" si="84"/>
        <v>-12</v>
      </c>
      <c r="H33" s="198">
        <f t="shared" si="84"/>
        <v>44</v>
      </c>
      <c r="I33" s="197">
        <f t="shared" si="84"/>
        <v>2</v>
      </c>
      <c r="J33" s="197">
        <f t="shared" si="84"/>
        <v>-35</v>
      </c>
      <c r="K33" s="199">
        <f t="shared" si="84"/>
        <v>-6</v>
      </c>
      <c r="L33" s="198">
        <f t="shared" si="84"/>
        <v>-34</v>
      </c>
      <c r="M33" s="197">
        <f t="shared" si="84"/>
        <v>-21</v>
      </c>
      <c r="N33" s="197">
        <f t="shared" si="84"/>
        <v>6</v>
      </c>
      <c r="O33" s="199">
        <f t="shared" si="84"/>
        <v>-45</v>
      </c>
      <c r="P33" s="198">
        <f t="shared" si="84"/>
        <v>-12</v>
      </c>
      <c r="Q33" s="197">
        <f t="shared" si="84"/>
        <v>-18</v>
      </c>
      <c r="R33" s="197">
        <f t="shared" si="84"/>
        <v>-12</v>
      </c>
      <c r="S33" s="199">
        <f t="shared" si="84"/>
        <v>-21</v>
      </c>
      <c r="T33" s="198">
        <f t="shared" si="84"/>
        <v>-9</v>
      </c>
      <c r="U33" s="197">
        <f t="shared" si="84"/>
        <v>-18</v>
      </c>
      <c r="V33" s="197">
        <f t="shared" si="84"/>
        <v>-29</v>
      </c>
      <c r="W33" s="199">
        <f t="shared" si="84"/>
        <v>-30</v>
      </c>
      <c r="X33" s="197">
        <f t="shared" si="84"/>
        <v>-41</v>
      </c>
      <c r="Y33" s="197">
        <f t="shared" si="84"/>
        <v>-19</v>
      </c>
      <c r="Z33" s="197">
        <f t="shared" si="84"/>
        <v>-24</v>
      </c>
      <c r="AA33" s="199">
        <f t="shared" si="84"/>
        <v>-38</v>
      </c>
      <c r="AB33" s="197">
        <f t="shared" si="84"/>
        <v>-47</v>
      </c>
      <c r="AC33" s="197">
        <f t="shared" si="84"/>
        <v>-56</v>
      </c>
      <c r="AD33" s="197">
        <f t="shared" si="84"/>
        <v>-67</v>
      </c>
      <c r="AE33" s="199">
        <f t="shared" si="84"/>
        <v>-74</v>
      </c>
      <c r="AF33" s="197">
        <f t="shared" si="84"/>
        <v>-76</v>
      </c>
      <c r="AG33" s="197">
        <f t="shared" si="84"/>
        <v>-84</v>
      </c>
      <c r="AH33" s="197">
        <f t="shared" si="84"/>
        <v>-438</v>
      </c>
      <c r="AI33" s="197">
        <f t="shared" si="84"/>
        <v>-54</v>
      </c>
      <c r="AJ33" s="198">
        <f t="shared" si="84"/>
        <v>-52</v>
      </c>
      <c r="AK33" s="197">
        <f t="shared" si="84"/>
        <v>-59</v>
      </c>
      <c r="AL33" s="197">
        <f>SUM(AL28:AL32)</f>
        <v>-5739</v>
      </c>
      <c r="AM33" s="197">
        <f>SUM(AM28:AM32)</f>
        <v>-35</v>
      </c>
      <c r="AN33" s="198">
        <f>SUM(AN28:AN32)</f>
        <v>514</v>
      </c>
      <c r="AO33" s="197">
        <f t="shared" ref="AO33" si="85">SUM(AO28:AO32)</f>
        <v>-149</v>
      </c>
      <c r="AP33" s="197">
        <f>SUM(AP28:AP32)</f>
        <v>-542</v>
      </c>
      <c r="AQ33" s="199">
        <f>SUM(AQ28:AQ32)</f>
        <v>-64</v>
      </c>
      <c r="AR33" s="198">
        <f>SUM(AR28:AR32)</f>
        <v>-85</v>
      </c>
      <c r="AS33" s="197">
        <f t="shared" ref="AS33" si="86">SUM(AS28:AS32)</f>
        <v>-10207</v>
      </c>
      <c r="AT33" s="197">
        <f t="shared" ref="AT33:AY33" si="87">SUM(AT28:AT32)</f>
        <v>426</v>
      </c>
      <c r="AU33" s="199">
        <f t="shared" si="87"/>
        <v>26</v>
      </c>
      <c r="AV33" s="198">
        <f t="shared" si="87"/>
        <v>-319</v>
      </c>
      <c r="AW33" s="197">
        <f t="shared" si="87"/>
        <v>-493</v>
      </c>
      <c r="AX33" s="197">
        <f t="shared" si="87"/>
        <v>-258</v>
      </c>
      <c r="AY33" s="199">
        <f t="shared" si="87"/>
        <v>396</v>
      </c>
      <c r="AZ33" s="198">
        <f t="shared" ref="AZ33" si="88">SUM(AZ28:AZ32)</f>
        <v>-4227</v>
      </c>
      <c r="BA33" s="197">
        <f t="shared" ref="BA33:BG33" si="89">SUM(BA28:BA32)</f>
        <v>-190.41952000000003</v>
      </c>
      <c r="BB33" s="197">
        <f t="shared" si="89"/>
        <v>-156.36804899999998</v>
      </c>
      <c r="BC33" s="199">
        <f t="shared" si="89"/>
        <v>-167.482913685</v>
      </c>
      <c r="BD33" s="198">
        <f t="shared" si="89"/>
        <v>-159.93690461219998</v>
      </c>
      <c r="BE33" s="197">
        <f t="shared" si="89"/>
        <v>-155.34683842197597</v>
      </c>
      <c r="BF33" s="197">
        <f t="shared" si="89"/>
        <v>-166.41675851853165</v>
      </c>
      <c r="BG33" s="199">
        <f t="shared" si="89"/>
        <v>-185.32939780764326</v>
      </c>
      <c r="BH33" s="198">
        <f t="shared" ref="BH33:BK33" si="90">SUM(BH28:BH32)</f>
        <v>-177.06978188347361</v>
      </c>
      <c r="BI33" s="197">
        <f t="shared" si="90"/>
        <v>-167.59431947018493</v>
      </c>
      <c r="BJ33" s="197">
        <f t="shared" si="90"/>
        <v>-174.39810443013138</v>
      </c>
      <c r="BK33" s="199">
        <f t="shared" si="90"/>
        <v>-185.46945295569765</v>
      </c>
      <c r="BL33" s="232"/>
      <c r="BM33" s="197">
        <f t="shared" ref="BM33:BX33" si="91">SUM(BM28:BM32)</f>
        <v>-2106</v>
      </c>
      <c r="BN33" s="197">
        <f t="shared" si="91"/>
        <v>5</v>
      </c>
      <c r="BO33" s="197">
        <f t="shared" si="91"/>
        <v>-94</v>
      </c>
      <c r="BP33" s="197">
        <f t="shared" si="91"/>
        <v>-63</v>
      </c>
      <c r="BQ33" s="197">
        <f t="shared" si="91"/>
        <v>-86</v>
      </c>
      <c r="BR33" s="197">
        <f t="shared" si="91"/>
        <v>-122</v>
      </c>
      <c r="BS33" s="198">
        <f t="shared" si="91"/>
        <v>-244</v>
      </c>
      <c r="BT33" s="197">
        <f t="shared" si="91"/>
        <v>-652</v>
      </c>
      <c r="BU33" s="198">
        <f t="shared" si="91"/>
        <v>-5885</v>
      </c>
      <c r="BV33" s="197">
        <f t="shared" si="91"/>
        <v>-241</v>
      </c>
      <c r="BW33" s="197">
        <f t="shared" si="91"/>
        <v>-9840</v>
      </c>
      <c r="BX33" s="197">
        <f t="shared" si="91"/>
        <v>-674</v>
      </c>
      <c r="BY33" s="197">
        <f t="shared" ref="BY33:BZ33" si="92">SUM(BY28:BY32)</f>
        <v>-4741.2704826850004</v>
      </c>
      <c r="BZ33" s="197">
        <f t="shared" si="92"/>
        <v>-667.02989936035078</v>
      </c>
      <c r="CA33" s="199">
        <f t="shared" ref="CA33" si="93">SUM(CA28:CA32)</f>
        <v>-704.53165873948763</v>
      </c>
      <c r="CB33" s="19"/>
      <c r="CC33" s="198">
        <f t="shared" ref="CC33:CM33" si="94">SUM(CC28:CC32)</f>
        <v>661</v>
      </c>
      <c r="CD33" s="197">
        <f t="shared" si="94"/>
        <v>-73</v>
      </c>
      <c r="CE33" s="197">
        <f t="shared" si="94"/>
        <v>-72</v>
      </c>
      <c r="CF33" s="197">
        <f t="shared" si="94"/>
        <v>-60</v>
      </c>
      <c r="CG33" s="197">
        <f t="shared" si="94"/>
        <v>-118</v>
      </c>
      <c r="CH33" s="197">
        <f t="shared" si="94"/>
        <v>-128</v>
      </c>
      <c r="CI33" s="197">
        <f t="shared" si="94"/>
        <v>-273</v>
      </c>
      <c r="CJ33" s="197">
        <f t="shared" si="94"/>
        <v>-628</v>
      </c>
      <c r="CK33" s="197">
        <f t="shared" si="94"/>
        <v>-5319</v>
      </c>
      <c r="CL33" s="197">
        <f t="shared" si="94"/>
        <v>-840</v>
      </c>
      <c r="CM33" s="197">
        <f t="shared" si="94"/>
        <v>-10074</v>
      </c>
      <c r="CN33" s="197">
        <f t="shared" ref="CN33:CO33" si="95">SUM(CN28:CN32)</f>
        <v>-4582</v>
      </c>
      <c r="CO33" s="197">
        <f t="shared" si="95"/>
        <v>-674.20738729720006</v>
      </c>
      <c r="CP33" s="199">
        <f t="shared" ref="CP33" si="96">SUM(CP28:CP32)</f>
        <v>-684.16277663162452</v>
      </c>
      <c r="CQ33" s="7"/>
    </row>
    <row r="34" spans="1:95" ht="14.25" customHeight="1" thickTop="1">
      <c r="A34" s="7"/>
      <c r="B34" s="21"/>
      <c r="C34" s="22"/>
      <c r="D34" s="194"/>
      <c r="E34" s="192"/>
      <c r="F34" s="192"/>
      <c r="G34" s="193"/>
      <c r="H34" s="194"/>
      <c r="I34" s="192"/>
      <c r="J34" s="192"/>
      <c r="K34" s="193"/>
      <c r="L34" s="194"/>
      <c r="M34" s="192"/>
      <c r="N34" s="192"/>
      <c r="O34" s="193"/>
      <c r="P34" s="194"/>
      <c r="Q34" s="192"/>
      <c r="R34" s="192"/>
      <c r="S34" s="193"/>
      <c r="T34" s="194"/>
      <c r="U34" s="192"/>
      <c r="V34" s="192"/>
      <c r="W34" s="193"/>
      <c r="X34" s="189"/>
      <c r="Y34" s="192"/>
      <c r="Z34" s="192"/>
      <c r="AA34" s="193"/>
      <c r="AB34" s="189"/>
      <c r="AC34" s="192"/>
      <c r="AD34" s="192"/>
      <c r="AE34" s="193"/>
      <c r="AF34" s="189"/>
      <c r="AG34" s="192"/>
      <c r="AH34" s="192"/>
      <c r="AI34" s="192"/>
      <c r="AM34" s="966"/>
      <c r="AO34" s="901"/>
      <c r="AP34" s="946"/>
      <c r="AQ34" s="193"/>
      <c r="AR34" s="764"/>
      <c r="AS34" s="757"/>
      <c r="AT34" s="1197"/>
      <c r="AU34" s="193"/>
      <c r="AV34" s="764"/>
      <c r="AW34" s="757"/>
      <c r="AX34" s="1352"/>
      <c r="AY34" s="193"/>
      <c r="AZ34" s="764"/>
      <c r="BA34" s="192"/>
      <c r="BB34" s="192"/>
      <c r="BC34" s="193"/>
      <c r="BD34" s="194"/>
      <c r="BE34" s="192"/>
      <c r="BF34" s="192"/>
      <c r="BG34" s="193"/>
      <c r="BH34" s="194"/>
      <c r="BI34" s="192"/>
      <c r="BJ34" s="192"/>
      <c r="BK34" s="193"/>
      <c r="BL34" s="232"/>
      <c r="BM34" s="192"/>
      <c r="BN34" s="192"/>
      <c r="BO34" s="192"/>
      <c r="BP34" s="192"/>
      <c r="BQ34" s="192"/>
      <c r="BR34" s="192"/>
      <c r="BS34" s="194"/>
      <c r="BT34" s="192"/>
      <c r="BU34" s="194"/>
      <c r="BV34" s="192"/>
      <c r="BW34" s="192"/>
      <c r="BX34" s="192"/>
      <c r="BY34" s="192"/>
      <c r="BZ34" s="192"/>
      <c r="CA34" s="193"/>
      <c r="CB34" s="19"/>
      <c r="CC34" s="194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3"/>
      <c r="CQ34" s="7"/>
    </row>
    <row r="35" spans="1:95" ht="14.25" customHeight="1">
      <c r="A35" s="7"/>
      <c r="B35" s="200" t="str">
        <f t="shared" ref="B35:B42" si="97">B120</f>
        <v>Cash flows from financing activities:</v>
      </c>
      <c r="C35" s="201"/>
      <c r="D35" s="194"/>
      <c r="E35" s="202"/>
      <c r="F35" s="202"/>
      <c r="G35" s="193"/>
      <c r="H35" s="194"/>
      <c r="I35" s="202"/>
      <c r="J35" s="202"/>
      <c r="K35" s="193"/>
      <c r="L35" s="194"/>
      <c r="M35" s="202"/>
      <c r="N35" s="202"/>
      <c r="O35" s="193"/>
      <c r="P35" s="194"/>
      <c r="Q35" s="202"/>
      <c r="R35" s="202"/>
      <c r="S35" s="193"/>
      <c r="T35" s="194"/>
      <c r="U35" s="202"/>
      <c r="V35" s="202"/>
      <c r="W35" s="193"/>
      <c r="X35" s="189"/>
      <c r="Y35" s="192"/>
      <c r="Z35" s="192"/>
      <c r="AA35" s="193"/>
      <c r="AB35" s="189"/>
      <c r="AC35" s="192"/>
      <c r="AD35" s="192"/>
      <c r="AE35" s="193"/>
      <c r="AF35" s="189"/>
      <c r="AG35" s="192"/>
      <c r="AH35" s="192"/>
      <c r="AI35" s="192"/>
      <c r="AJ35" s="191"/>
      <c r="AK35" s="192"/>
      <c r="AL35" s="192"/>
      <c r="AM35" s="193"/>
      <c r="AN35" s="189"/>
      <c r="AO35" s="192"/>
      <c r="AP35" s="192"/>
      <c r="AQ35" s="193"/>
      <c r="AR35" s="191"/>
      <c r="AS35" s="192"/>
      <c r="AT35" s="192"/>
      <c r="AU35" s="193"/>
      <c r="AV35" s="191"/>
      <c r="AW35" s="192"/>
      <c r="AX35" s="192"/>
      <c r="AY35" s="193"/>
      <c r="AZ35" s="191"/>
      <c r="BA35" s="192"/>
      <c r="BB35" s="192"/>
      <c r="BC35" s="193"/>
      <c r="BD35" s="194"/>
      <c r="BE35" s="192"/>
      <c r="BF35" s="192"/>
      <c r="BG35" s="193"/>
      <c r="BH35" s="194"/>
      <c r="BI35" s="192"/>
      <c r="BJ35" s="192"/>
      <c r="BK35" s="193"/>
      <c r="BL35" s="232"/>
      <c r="BM35" s="192"/>
      <c r="BN35" s="192"/>
      <c r="BO35" s="192"/>
      <c r="BP35" s="192"/>
      <c r="BQ35" s="192"/>
      <c r="BR35" s="192"/>
      <c r="BS35" s="194"/>
      <c r="BT35" s="192"/>
      <c r="BU35" s="194"/>
      <c r="BV35" s="192"/>
      <c r="BW35" s="192"/>
      <c r="BX35" s="192"/>
      <c r="BY35" s="192"/>
      <c r="BZ35" s="192"/>
      <c r="CA35" s="193"/>
      <c r="CB35" s="19"/>
      <c r="CC35" s="194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3"/>
      <c r="CQ35" s="7"/>
    </row>
    <row r="36" spans="1:95" ht="14.25" customHeight="1">
      <c r="A36" s="7"/>
      <c r="B36" s="27" t="str">
        <f t="shared" si="97"/>
        <v>Payments on (Proceeds from) debt, net</v>
      </c>
      <c r="C36" s="28"/>
      <c r="D36" s="194">
        <f>1666-1</f>
        <v>1665</v>
      </c>
      <c r="E36" s="192">
        <v>-475</v>
      </c>
      <c r="F36" s="192">
        <v>-249</v>
      </c>
      <c r="G36" s="193">
        <v>0</v>
      </c>
      <c r="H36" s="194">
        <v>0</v>
      </c>
      <c r="I36" s="192">
        <v>-85</v>
      </c>
      <c r="J36" s="192">
        <v>-7</v>
      </c>
      <c r="K36" s="193">
        <v>-15</v>
      </c>
      <c r="L36" s="194">
        <v>-200</v>
      </c>
      <c r="M36" s="192">
        <v>0</v>
      </c>
      <c r="N36" s="192">
        <v>-2</v>
      </c>
      <c r="O36" s="193">
        <v>0</v>
      </c>
      <c r="P36" s="194">
        <v>-2</v>
      </c>
      <c r="Q36" s="192">
        <v>0</v>
      </c>
      <c r="R36" s="192">
        <v>0</v>
      </c>
      <c r="S36" s="193">
        <v>-112</v>
      </c>
      <c r="T36" s="194">
        <v>-364</v>
      </c>
      <c r="U36" s="192">
        <v>0</v>
      </c>
      <c r="V36" s="192">
        <v>0</v>
      </c>
      <c r="W36" s="193">
        <v>0</v>
      </c>
      <c r="X36" s="192">
        <v>-230</v>
      </c>
      <c r="Y36" s="192">
        <v>-2</v>
      </c>
      <c r="Z36" s="192">
        <v>0</v>
      </c>
      <c r="AA36" s="193">
        <v>0</v>
      </c>
      <c r="AB36" s="192">
        <v>0</v>
      </c>
      <c r="AC36" s="192">
        <v>0</v>
      </c>
      <c r="AD36" s="192">
        <v>0</v>
      </c>
      <c r="AE36" s="193">
        <v>0</v>
      </c>
      <c r="AF36" s="192">
        <v>0</v>
      </c>
      <c r="AG36" s="192">
        <v>0</v>
      </c>
      <c r="AH36" s="192">
        <v>0</v>
      </c>
      <c r="AI36" s="192">
        <v>-2</v>
      </c>
      <c r="AJ36" s="194">
        <v>0</v>
      </c>
      <c r="AK36" s="192">
        <v>0</v>
      </c>
      <c r="AL36" s="192">
        <f>4600+1000</f>
        <v>5600</v>
      </c>
      <c r="AM36" s="193">
        <v>-12</v>
      </c>
      <c r="AN36" s="194">
        <v>-12</v>
      </c>
      <c r="AO36" s="192">
        <v>-605</v>
      </c>
      <c r="AP36" s="192">
        <f>-1010-178</f>
        <v>-1188</v>
      </c>
      <c r="AQ36" s="193">
        <v>-12</v>
      </c>
      <c r="AR36" s="194">
        <v>-11</v>
      </c>
      <c r="AS36" s="192">
        <f>-1475-4828</f>
        <v>-6303</v>
      </c>
      <c r="AT36" s="192">
        <v>-1306</v>
      </c>
      <c r="AU36" s="193">
        <f>-3697+3584</f>
        <v>-113</v>
      </c>
      <c r="AV36" s="194">
        <f>-13668+13550</f>
        <v>-118</v>
      </c>
      <c r="AW36" s="192">
        <v>0</v>
      </c>
      <c r="AX36" s="192">
        <v>0</v>
      </c>
      <c r="AY36" s="193">
        <f>3980-1</f>
        <v>3979</v>
      </c>
      <c r="AZ36" s="194">
        <v>0</v>
      </c>
      <c r="BA36" s="925">
        <f>+'BS '!BA31-'BS '!AZ31</f>
        <v>0</v>
      </c>
      <c r="BB36" s="925">
        <f>+'BS '!BB31-'BS '!BA31</f>
        <v>0</v>
      </c>
      <c r="BC36" s="926">
        <f>+'BS '!BC31-'BS '!BB31</f>
        <v>0</v>
      </c>
      <c r="BD36" s="1183">
        <f>+'BS '!BD31-'BS '!BC31</f>
        <v>0</v>
      </c>
      <c r="BE36" s="925">
        <f>+'BS '!BE31-'BS '!BD31</f>
        <v>0</v>
      </c>
      <c r="BF36" s="925">
        <f>+'BS '!BF31-'BS '!BE31</f>
        <v>0</v>
      </c>
      <c r="BG36" s="926">
        <f>+'BS '!BG31-'BS '!BF31</f>
        <v>0</v>
      </c>
      <c r="BH36" s="1183">
        <f>+'BS '!BH31-'BS '!BG31</f>
        <v>0</v>
      </c>
      <c r="BI36" s="925">
        <f>+'BS '!BI31-'BS '!BH31</f>
        <v>0</v>
      </c>
      <c r="BJ36" s="925">
        <f>+'BS '!BJ31-'BS '!BI31</f>
        <v>0</v>
      </c>
      <c r="BK36" s="926">
        <f>+'BS '!BK31-'BS '!BJ31</f>
        <v>0</v>
      </c>
      <c r="BL36" s="232"/>
      <c r="BM36" s="189">
        <f t="shared" ref="BM36:BM41" si="98">SUM(D36:G36)</f>
        <v>941</v>
      </c>
      <c r="BN36" s="189">
        <f t="shared" ref="BN36:BN42" si="99">SUM(H36:K36)</f>
        <v>-107</v>
      </c>
      <c r="BO36" s="189">
        <f t="shared" ref="BO36:BO42" si="100">SUM(L36:O36)</f>
        <v>-202</v>
      </c>
      <c r="BP36" s="189">
        <f t="shared" ref="BP36:BP42" si="101">SUM(P36:S36)</f>
        <v>-114</v>
      </c>
      <c r="BQ36" s="189">
        <f t="shared" ref="BQ36:BQ42" si="102">SUM(T36:W36)</f>
        <v>-364</v>
      </c>
      <c r="BR36" s="189">
        <f t="shared" ref="BR36:BR42" si="103">SUM(X36:AA36)</f>
        <v>-232</v>
      </c>
      <c r="BS36" s="191">
        <f t="shared" ref="BS36:BS42" si="104">SUM(AB36:AE36)</f>
        <v>0</v>
      </c>
      <c r="BT36" s="189">
        <f t="shared" ref="BT36:BT42" si="105">SUM(AF36:AI36)</f>
        <v>-2</v>
      </c>
      <c r="BU36" s="191">
        <f t="shared" ref="BU36:BU42" si="106">SUM(AJ36:AM36)</f>
        <v>5588</v>
      </c>
      <c r="BV36" s="189">
        <f t="shared" ref="BV36:BV42" si="107">SUM(AN36:AQ36)</f>
        <v>-1817</v>
      </c>
      <c r="BW36" s="189">
        <f t="shared" ref="BW36:BW42" si="108">SUM(AR36:AU36)</f>
        <v>-7733</v>
      </c>
      <c r="BX36" s="189">
        <f t="shared" ref="BX36:BX42" si="109">SUM(AV36:AY36)</f>
        <v>3861</v>
      </c>
      <c r="BY36" s="189">
        <f t="shared" ref="BY36:BY42" si="110">SUM(AZ36:BC36)</f>
        <v>0</v>
      </c>
      <c r="BZ36" s="189">
        <f t="shared" ref="BZ36:BZ42" si="111">SUM(BD36:BG36)</f>
        <v>0</v>
      </c>
      <c r="CA36" s="190">
        <f t="shared" ref="CA36:CA42" si="112">SUM(BH36:BK36)</f>
        <v>0</v>
      </c>
      <c r="CB36" s="19"/>
      <c r="CC36" s="191">
        <f t="shared" ref="CC36:CC42" si="113">SUM(E36:H36)</f>
        <v>-724</v>
      </c>
      <c r="CD36" s="189">
        <f t="shared" ref="CD36:CD42" si="114">SUM(I36:L36)</f>
        <v>-307</v>
      </c>
      <c r="CE36" s="189">
        <f t="shared" ref="CE36:CE42" si="115">SUM(M36:P36)</f>
        <v>-4</v>
      </c>
      <c r="CF36" s="189">
        <f t="shared" ref="CF36:CF42" si="116">SUM(Q36:T36)</f>
        <v>-476</v>
      </c>
      <c r="CG36" s="189">
        <f t="shared" ref="CG36:CG42" si="117">SUM(U36:X36)</f>
        <v>-230</v>
      </c>
      <c r="CH36" s="189">
        <f t="shared" ref="CH36:CH42" si="118">SUM(Y36:AB36)</f>
        <v>-2</v>
      </c>
      <c r="CI36" s="189">
        <f t="shared" ref="CI36:CI42" si="119">SUM(AC36:AF36)</f>
        <v>0</v>
      </c>
      <c r="CJ36" s="189">
        <f t="shared" ref="CJ36:CJ42" si="120">SUM(AG36:AJ36)</f>
        <v>-2</v>
      </c>
      <c r="CK36" s="189">
        <f t="shared" ref="CK36:CK42" si="121">SUM(AK36:AN36)</f>
        <v>5576</v>
      </c>
      <c r="CL36" s="189">
        <f t="shared" ref="CL36:CL42" si="122">SUM(AO36:AR36)</f>
        <v>-1816</v>
      </c>
      <c r="CM36" s="189">
        <f t="shared" ref="CM36:CM42" si="123">SUM(AS36:AV36)</f>
        <v>-7840</v>
      </c>
      <c r="CN36" s="189">
        <f t="shared" ref="CN36:CN42" si="124">SUM(AW36:AZ36)</f>
        <v>3979</v>
      </c>
      <c r="CO36" s="189">
        <f t="shared" ref="CO36:CO42" si="125">SUM(BA36:BD36)</f>
        <v>0</v>
      </c>
      <c r="CP36" s="190">
        <f t="shared" ref="CP36:CP42" si="126">SUM(BE36:BH36)</f>
        <v>0</v>
      </c>
      <c r="CQ36" s="7"/>
    </row>
    <row r="37" spans="1:95" ht="14.25" customHeight="1">
      <c r="A37" s="7"/>
      <c r="B37" s="27" t="str">
        <f t="shared" si="97"/>
        <v>Payment on capital lease obligation</v>
      </c>
      <c r="C37" s="28"/>
      <c r="D37" s="194">
        <v>0</v>
      </c>
      <c r="E37" s="192">
        <v>0</v>
      </c>
      <c r="F37" s="192">
        <v>0</v>
      </c>
      <c r="G37" s="193">
        <v>-1</v>
      </c>
      <c r="H37" s="194">
        <v>0</v>
      </c>
      <c r="I37" s="192">
        <v>-1</v>
      </c>
      <c r="J37" s="192">
        <v>0</v>
      </c>
      <c r="K37" s="193">
        <v>0</v>
      </c>
      <c r="L37" s="194">
        <v>0</v>
      </c>
      <c r="M37" s="192">
        <v>0</v>
      </c>
      <c r="N37" s="192">
        <v>0</v>
      </c>
      <c r="O37" s="193">
        <v>0</v>
      </c>
      <c r="P37" s="194">
        <v>0</v>
      </c>
      <c r="Q37" s="192">
        <v>0</v>
      </c>
      <c r="R37" s="192">
        <v>-1</v>
      </c>
      <c r="S37" s="193">
        <v>0</v>
      </c>
      <c r="T37" s="194">
        <v>0</v>
      </c>
      <c r="U37" s="192">
        <v>-1</v>
      </c>
      <c r="V37" s="192">
        <v>0</v>
      </c>
      <c r="W37" s="193">
        <v>-1</v>
      </c>
      <c r="X37" s="192">
        <v>-1</v>
      </c>
      <c r="Y37" s="192">
        <v>-1</v>
      </c>
      <c r="Z37" s="192">
        <v>0</v>
      </c>
      <c r="AA37" s="193">
        <v>-1</v>
      </c>
      <c r="AB37" s="192">
        <v>0</v>
      </c>
      <c r="AC37" s="192">
        <v>-1</v>
      </c>
      <c r="AD37" s="192">
        <v>-1</v>
      </c>
      <c r="AE37" s="193">
        <v>0</v>
      </c>
      <c r="AF37" s="192">
        <v>0</v>
      </c>
      <c r="AG37" s="192">
        <v>-1</v>
      </c>
      <c r="AH37" s="192">
        <v>0</v>
      </c>
      <c r="AI37" s="192">
        <v>-1</v>
      </c>
      <c r="AJ37" s="194">
        <v>0</v>
      </c>
      <c r="AK37" s="192">
        <v>0</v>
      </c>
      <c r="AL37" s="192">
        <v>-1</v>
      </c>
      <c r="AM37" s="192">
        <v>0</v>
      </c>
      <c r="AN37" s="194">
        <v>0</v>
      </c>
      <c r="AO37" s="192">
        <v>0</v>
      </c>
      <c r="AP37" s="192">
        <v>0</v>
      </c>
      <c r="AQ37" s="193">
        <v>0</v>
      </c>
      <c r="AR37" s="194">
        <v>0</v>
      </c>
      <c r="AS37" s="192">
        <v>0</v>
      </c>
      <c r="AT37" s="192">
        <v>0</v>
      </c>
      <c r="AU37" s="193">
        <v>0</v>
      </c>
      <c r="AV37" s="194">
        <v>0</v>
      </c>
      <c r="AW37" s="192">
        <v>-4</v>
      </c>
      <c r="AX37" s="192">
        <v>-6</v>
      </c>
      <c r="AY37" s="193">
        <v>-6</v>
      </c>
      <c r="AZ37" s="194">
        <v>-6</v>
      </c>
      <c r="BA37" s="925">
        <f t="shared" ref="BA37" si="127">AZ37</f>
        <v>-6</v>
      </c>
      <c r="BB37" s="925">
        <f t="shared" ref="BB37" si="128">BA37</f>
        <v>-6</v>
      </c>
      <c r="BC37" s="926">
        <f t="shared" ref="BC37" si="129">BB37</f>
        <v>-6</v>
      </c>
      <c r="BD37" s="1183">
        <f t="shared" ref="BD37" si="130">BC37</f>
        <v>-6</v>
      </c>
      <c r="BE37" s="925">
        <f t="shared" ref="BE37" si="131">BD37</f>
        <v>-6</v>
      </c>
      <c r="BF37" s="925">
        <f t="shared" ref="BF37" si="132">BE37</f>
        <v>-6</v>
      </c>
      <c r="BG37" s="926">
        <f t="shared" ref="BG37" si="133">BF37</f>
        <v>-6</v>
      </c>
      <c r="BH37" s="1183">
        <f t="shared" ref="BH37" si="134">BG37</f>
        <v>-6</v>
      </c>
      <c r="BI37" s="925">
        <f t="shared" ref="BI37" si="135">BH37</f>
        <v>-6</v>
      </c>
      <c r="BJ37" s="925">
        <f t="shared" ref="BJ37" si="136">BI37</f>
        <v>-6</v>
      </c>
      <c r="BK37" s="926">
        <f t="shared" ref="BK37" si="137">BJ37</f>
        <v>-6</v>
      </c>
      <c r="BL37" s="232"/>
      <c r="BM37" s="189">
        <f t="shared" si="98"/>
        <v>-1</v>
      </c>
      <c r="BN37" s="189">
        <f t="shared" si="99"/>
        <v>-1</v>
      </c>
      <c r="BO37" s="189">
        <f t="shared" si="100"/>
        <v>0</v>
      </c>
      <c r="BP37" s="189">
        <f t="shared" si="101"/>
        <v>-1</v>
      </c>
      <c r="BQ37" s="189">
        <f t="shared" si="102"/>
        <v>-2</v>
      </c>
      <c r="BR37" s="189">
        <f t="shared" si="103"/>
        <v>-3</v>
      </c>
      <c r="BS37" s="191">
        <f t="shared" si="104"/>
        <v>-2</v>
      </c>
      <c r="BT37" s="189">
        <f t="shared" si="105"/>
        <v>-2</v>
      </c>
      <c r="BU37" s="191">
        <f t="shared" si="106"/>
        <v>-1</v>
      </c>
      <c r="BV37" s="189">
        <f t="shared" si="107"/>
        <v>0</v>
      </c>
      <c r="BW37" s="189">
        <f t="shared" si="108"/>
        <v>0</v>
      </c>
      <c r="BX37" s="189">
        <f t="shared" si="109"/>
        <v>-16</v>
      </c>
      <c r="BY37" s="189">
        <f t="shared" si="110"/>
        <v>-24</v>
      </c>
      <c r="BZ37" s="189">
        <f t="shared" si="111"/>
        <v>-24</v>
      </c>
      <c r="CA37" s="190">
        <f t="shared" si="112"/>
        <v>-24</v>
      </c>
      <c r="CB37" s="19"/>
      <c r="CC37" s="191">
        <f t="shared" si="113"/>
        <v>-1</v>
      </c>
      <c r="CD37" s="189">
        <f t="shared" si="114"/>
        <v>-1</v>
      </c>
      <c r="CE37" s="189">
        <f t="shared" si="115"/>
        <v>0</v>
      </c>
      <c r="CF37" s="189">
        <f t="shared" si="116"/>
        <v>-1</v>
      </c>
      <c r="CG37" s="189">
        <f t="shared" si="117"/>
        <v>-3</v>
      </c>
      <c r="CH37" s="189">
        <f t="shared" si="118"/>
        <v>-2</v>
      </c>
      <c r="CI37" s="189">
        <f t="shared" si="119"/>
        <v>-2</v>
      </c>
      <c r="CJ37" s="189">
        <f t="shared" si="120"/>
        <v>-2</v>
      </c>
      <c r="CK37" s="189">
        <f t="shared" si="121"/>
        <v>-1</v>
      </c>
      <c r="CL37" s="189">
        <f t="shared" si="122"/>
        <v>0</v>
      </c>
      <c r="CM37" s="189">
        <f t="shared" si="123"/>
        <v>0</v>
      </c>
      <c r="CN37" s="189">
        <f t="shared" si="124"/>
        <v>-22</v>
      </c>
      <c r="CO37" s="189">
        <f t="shared" si="125"/>
        <v>-24</v>
      </c>
      <c r="CP37" s="190">
        <f t="shared" si="126"/>
        <v>-24</v>
      </c>
      <c r="CQ37" s="7"/>
    </row>
    <row r="38" spans="1:95" ht="14.25" customHeight="1">
      <c r="A38" s="7"/>
      <c r="B38" s="27" t="str">
        <f t="shared" si="97"/>
        <v>Issuance of ordinary stock</v>
      </c>
      <c r="C38" s="28"/>
      <c r="D38" s="194">
        <v>1049</v>
      </c>
      <c r="E38" s="192">
        <v>2</v>
      </c>
      <c r="F38" s="192">
        <v>0</v>
      </c>
      <c r="G38" s="193">
        <v>0</v>
      </c>
      <c r="H38" s="194">
        <v>0</v>
      </c>
      <c r="I38" s="192">
        <v>0</v>
      </c>
      <c r="J38" s="192">
        <v>0</v>
      </c>
      <c r="K38" s="193">
        <v>0</v>
      </c>
      <c r="L38" s="194">
        <v>0</v>
      </c>
      <c r="M38" s="192">
        <v>0</v>
      </c>
      <c r="N38" s="192">
        <v>0</v>
      </c>
      <c r="O38" s="193">
        <v>0</v>
      </c>
      <c r="P38" s="194">
        <v>0</v>
      </c>
      <c r="Q38" s="192">
        <v>-1</v>
      </c>
      <c r="R38" s="192">
        <v>-5</v>
      </c>
      <c r="S38" s="193">
        <v>304</v>
      </c>
      <c r="T38" s="194">
        <v>4</v>
      </c>
      <c r="U38" s="192">
        <v>15</v>
      </c>
      <c r="V38" s="192">
        <v>3</v>
      </c>
      <c r="W38" s="193">
        <v>6</v>
      </c>
      <c r="X38" s="192">
        <v>22</v>
      </c>
      <c r="Y38" s="192">
        <v>22</v>
      </c>
      <c r="Z38" s="192">
        <v>11</v>
      </c>
      <c r="AA38" s="193">
        <v>15</v>
      </c>
      <c r="AB38" s="192">
        <v>5</v>
      </c>
      <c r="AC38" s="192">
        <v>17</v>
      </c>
      <c r="AD38" s="192">
        <v>6</v>
      </c>
      <c r="AE38" s="193">
        <v>16</v>
      </c>
      <c r="AF38" s="192">
        <v>10</v>
      </c>
      <c r="AG38" s="192">
        <v>18</v>
      </c>
      <c r="AH38" s="192">
        <v>32</v>
      </c>
      <c r="AI38" s="192">
        <v>41</v>
      </c>
      <c r="AJ38" s="194">
        <v>19</v>
      </c>
      <c r="AK38" s="192">
        <v>34</v>
      </c>
      <c r="AL38" s="192">
        <v>33</v>
      </c>
      <c r="AM38" s="192">
        <v>38</v>
      </c>
      <c r="AN38" s="194">
        <v>51</v>
      </c>
      <c r="AO38" s="192">
        <v>79</v>
      </c>
      <c r="AP38" s="192">
        <v>56</v>
      </c>
      <c r="AQ38" s="193">
        <v>55</v>
      </c>
      <c r="AR38" s="194">
        <v>72</v>
      </c>
      <c r="AS38" s="192">
        <v>107</v>
      </c>
      <c r="AT38" s="192">
        <v>38</v>
      </c>
      <c r="AU38" s="193">
        <v>78</v>
      </c>
      <c r="AV38" s="194">
        <v>61</v>
      </c>
      <c r="AW38" s="192">
        <v>89</v>
      </c>
      <c r="AX38" s="192">
        <v>41</v>
      </c>
      <c r="AY38" s="193">
        <v>66</v>
      </c>
      <c r="AZ38" s="194">
        <v>34</v>
      </c>
      <c r="BA38" s="925">
        <v>0</v>
      </c>
      <c r="BB38" s="925">
        <v>0</v>
      </c>
      <c r="BC38" s="926">
        <v>0</v>
      </c>
      <c r="BD38" s="1183">
        <v>0</v>
      </c>
      <c r="BE38" s="925">
        <v>0</v>
      </c>
      <c r="BF38" s="925">
        <v>0</v>
      </c>
      <c r="BG38" s="926">
        <v>0</v>
      </c>
      <c r="BH38" s="1183">
        <v>0</v>
      </c>
      <c r="BI38" s="925">
        <v>0</v>
      </c>
      <c r="BJ38" s="925">
        <v>0</v>
      </c>
      <c r="BK38" s="926">
        <v>0</v>
      </c>
      <c r="BL38" s="232"/>
      <c r="BM38" s="189">
        <f t="shared" si="98"/>
        <v>1051</v>
      </c>
      <c r="BN38" s="189">
        <f t="shared" si="99"/>
        <v>0</v>
      </c>
      <c r="BO38" s="189">
        <f t="shared" si="100"/>
        <v>0</v>
      </c>
      <c r="BP38" s="189">
        <f t="shared" si="101"/>
        <v>298</v>
      </c>
      <c r="BQ38" s="189">
        <f t="shared" si="102"/>
        <v>28</v>
      </c>
      <c r="BR38" s="189">
        <f t="shared" si="103"/>
        <v>70</v>
      </c>
      <c r="BS38" s="191">
        <f t="shared" si="104"/>
        <v>44</v>
      </c>
      <c r="BT38" s="189">
        <f t="shared" si="105"/>
        <v>101</v>
      </c>
      <c r="BU38" s="191">
        <f t="shared" si="106"/>
        <v>124</v>
      </c>
      <c r="BV38" s="189">
        <f t="shared" si="107"/>
        <v>241</v>
      </c>
      <c r="BW38" s="189">
        <f t="shared" si="108"/>
        <v>295</v>
      </c>
      <c r="BX38" s="189">
        <f t="shared" si="109"/>
        <v>257</v>
      </c>
      <c r="BY38" s="189">
        <f t="shared" si="110"/>
        <v>34</v>
      </c>
      <c r="BZ38" s="189">
        <f t="shared" si="111"/>
        <v>0</v>
      </c>
      <c r="CA38" s="190">
        <f t="shared" si="112"/>
        <v>0</v>
      </c>
      <c r="CB38" s="19"/>
      <c r="CC38" s="191">
        <f t="shared" si="113"/>
        <v>2</v>
      </c>
      <c r="CD38" s="189">
        <f t="shared" si="114"/>
        <v>0</v>
      </c>
      <c r="CE38" s="189">
        <f t="shared" si="115"/>
        <v>0</v>
      </c>
      <c r="CF38" s="189">
        <f t="shared" si="116"/>
        <v>302</v>
      </c>
      <c r="CG38" s="189">
        <f t="shared" si="117"/>
        <v>46</v>
      </c>
      <c r="CH38" s="189">
        <f t="shared" si="118"/>
        <v>53</v>
      </c>
      <c r="CI38" s="189">
        <f t="shared" si="119"/>
        <v>49</v>
      </c>
      <c r="CJ38" s="189">
        <f t="shared" si="120"/>
        <v>110</v>
      </c>
      <c r="CK38" s="189">
        <f t="shared" si="121"/>
        <v>156</v>
      </c>
      <c r="CL38" s="189">
        <f t="shared" si="122"/>
        <v>262</v>
      </c>
      <c r="CM38" s="189">
        <f t="shared" si="123"/>
        <v>284</v>
      </c>
      <c r="CN38" s="189">
        <f t="shared" si="124"/>
        <v>230</v>
      </c>
      <c r="CO38" s="189">
        <f t="shared" si="125"/>
        <v>0</v>
      </c>
      <c r="CP38" s="190">
        <f t="shared" si="126"/>
        <v>0</v>
      </c>
      <c r="CQ38" s="7"/>
    </row>
    <row r="39" spans="1:95" ht="14.25" customHeight="1">
      <c r="A39" s="7"/>
      <c r="B39" s="27" t="str">
        <f t="shared" si="97"/>
        <v>Excess tax benefit on share-based compensation</v>
      </c>
      <c r="C39" s="28"/>
      <c r="D39" s="194">
        <v>0</v>
      </c>
      <c r="E39" s="192">
        <v>0</v>
      </c>
      <c r="F39" s="192">
        <v>0</v>
      </c>
      <c r="G39" s="193">
        <v>0</v>
      </c>
      <c r="H39" s="194">
        <v>0</v>
      </c>
      <c r="I39" s="192">
        <v>0</v>
      </c>
      <c r="J39" s="192">
        <v>0</v>
      </c>
      <c r="K39" s="193">
        <v>1</v>
      </c>
      <c r="L39" s="194">
        <v>0</v>
      </c>
      <c r="M39" s="192">
        <v>0</v>
      </c>
      <c r="N39" s="192">
        <v>1</v>
      </c>
      <c r="O39" s="193">
        <v>0</v>
      </c>
      <c r="P39" s="194">
        <v>0</v>
      </c>
      <c r="Q39" s="192">
        <v>0</v>
      </c>
      <c r="R39" s="192">
        <v>0</v>
      </c>
      <c r="S39" s="193">
        <v>1</v>
      </c>
      <c r="T39" s="194">
        <v>0</v>
      </c>
      <c r="U39" s="192">
        <v>1</v>
      </c>
      <c r="V39" s="192">
        <v>0</v>
      </c>
      <c r="W39" s="193">
        <v>2</v>
      </c>
      <c r="X39" s="192">
        <v>2</v>
      </c>
      <c r="Y39" s="192">
        <v>0</v>
      </c>
      <c r="Z39" s="192">
        <v>0</v>
      </c>
      <c r="AA39" s="193">
        <v>6</v>
      </c>
      <c r="AB39" s="192">
        <v>0</v>
      </c>
      <c r="AC39" s="192">
        <v>0</v>
      </c>
      <c r="AD39" s="192">
        <v>0</v>
      </c>
      <c r="AE39" s="193">
        <v>0</v>
      </c>
      <c r="AF39" s="192">
        <v>0</v>
      </c>
      <c r="AG39" s="192">
        <v>0</v>
      </c>
      <c r="AH39" s="192">
        <v>0</v>
      </c>
      <c r="AI39" s="192">
        <v>0</v>
      </c>
      <c r="AJ39" s="194">
        <v>0</v>
      </c>
      <c r="AK39" s="192">
        <v>0</v>
      </c>
      <c r="AL39" s="192">
        <v>0</v>
      </c>
      <c r="AM39" s="192">
        <v>39</v>
      </c>
      <c r="AN39" s="194">
        <v>20</v>
      </c>
      <c r="AO39" s="192">
        <v>50</v>
      </c>
      <c r="AP39" s="192">
        <v>0</v>
      </c>
      <c r="AQ39" s="193">
        <v>0</v>
      </c>
      <c r="AR39" s="194">
        <v>23</v>
      </c>
      <c r="AS39" s="192">
        <v>35</v>
      </c>
      <c r="AT39" s="192">
        <v>0</v>
      </c>
      <c r="AU39" s="193">
        <v>21</v>
      </c>
      <c r="AV39" s="194">
        <v>0</v>
      </c>
      <c r="AW39" s="192">
        <v>0</v>
      </c>
      <c r="AX39" s="192">
        <v>0</v>
      </c>
      <c r="AY39" s="193">
        <v>0</v>
      </c>
      <c r="AZ39" s="194">
        <v>0</v>
      </c>
      <c r="BA39" s="925">
        <v>0</v>
      </c>
      <c r="BB39" s="925">
        <v>0</v>
      </c>
      <c r="BC39" s="926">
        <v>0</v>
      </c>
      <c r="BD39" s="1183">
        <v>0</v>
      </c>
      <c r="BE39" s="925">
        <v>0</v>
      </c>
      <c r="BF39" s="925">
        <v>0</v>
      </c>
      <c r="BG39" s="926">
        <v>0</v>
      </c>
      <c r="BH39" s="1183">
        <v>0</v>
      </c>
      <c r="BI39" s="925">
        <v>0</v>
      </c>
      <c r="BJ39" s="925">
        <v>0</v>
      </c>
      <c r="BK39" s="926">
        <v>0</v>
      </c>
      <c r="BL39" s="232"/>
      <c r="BM39" s="189">
        <f t="shared" si="98"/>
        <v>0</v>
      </c>
      <c r="BN39" s="189">
        <f t="shared" si="99"/>
        <v>1</v>
      </c>
      <c r="BO39" s="189">
        <f t="shared" si="100"/>
        <v>1</v>
      </c>
      <c r="BP39" s="189">
        <f t="shared" si="101"/>
        <v>1</v>
      </c>
      <c r="BQ39" s="189">
        <f t="shared" si="102"/>
        <v>3</v>
      </c>
      <c r="BR39" s="189">
        <f t="shared" si="103"/>
        <v>8</v>
      </c>
      <c r="BS39" s="191">
        <f t="shared" si="104"/>
        <v>0</v>
      </c>
      <c r="BT39" s="189">
        <f t="shared" si="105"/>
        <v>0</v>
      </c>
      <c r="BU39" s="191">
        <f t="shared" si="106"/>
        <v>39</v>
      </c>
      <c r="BV39" s="189">
        <f t="shared" si="107"/>
        <v>70</v>
      </c>
      <c r="BW39" s="189">
        <f t="shared" si="108"/>
        <v>79</v>
      </c>
      <c r="BX39" s="189">
        <f t="shared" si="109"/>
        <v>0</v>
      </c>
      <c r="BY39" s="189">
        <f t="shared" si="110"/>
        <v>0</v>
      </c>
      <c r="BZ39" s="189">
        <f t="shared" si="111"/>
        <v>0</v>
      </c>
      <c r="CA39" s="190">
        <f t="shared" si="112"/>
        <v>0</v>
      </c>
      <c r="CB39" s="19"/>
      <c r="CC39" s="191">
        <f t="shared" si="113"/>
        <v>0</v>
      </c>
      <c r="CD39" s="189">
        <f t="shared" si="114"/>
        <v>1</v>
      </c>
      <c r="CE39" s="189">
        <f t="shared" si="115"/>
        <v>1</v>
      </c>
      <c r="CF39" s="189">
        <f t="shared" si="116"/>
        <v>1</v>
      </c>
      <c r="CG39" s="189">
        <f t="shared" si="117"/>
        <v>5</v>
      </c>
      <c r="CH39" s="189">
        <f t="shared" si="118"/>
        <v>6</v>
      </c>
      <c r="CI39" s="189">
        <f t="shared" si="119"/>
        <v>0</v>
      </c>
      <c r="CJ39" s="189">
        <f t="shared" si="120"/>
        <v>0</v>
      </c>
      <c r="CK39" s="189">
        <f t="shared" si="121"/>
        <v>59</v>
      </c>
      <c r="CL39" s="189">
        <f t="shared" si="122"/>
        <v>73</v>
      </c>
      <c r="CM39" s="189">
        <f t="shared" si="123"/>
        <v>56</v>
      </c>
      <c r="CN39" s="189">
        <f t="shared" si="124"/>
        <v>0</v>
      </c>
      <c r="CO39" s="189">
        <f t="shared" si="125"/>
        <v>0</v>
      </c>
      <c r="CP39" s="190">
        <f t="shared" si="126"/>
        <v>0</v>
      </c>
      <c r="CQ39" s="7"/>
    </row>
    <row r="40" spans="1:95" ht="14.25" customHeight="1">
      <c r="A40" s="7"/>
      <c r="B40" s="27" t="str">
        <f t="shared" si="97"/>
        <v>Payments to repurchase stock</v>
      </c>
      <c r="C40" s="28"/>
      <c r="D40" s="192">
        <v>0</v>
      </c>
      <c r="E40" s="192">
        <v>0</v>
      </c>
      <c r="F40" s="192">
        <v>0</v>
      </c>
      <c r="G40" s="193">
        <v>0</v>
      </c>
      <c r="H40" s="194">
        <v>0</v>
      </c>
      <c r="I40" s="192">
        <v>0</v>
      </c>
      <c r="J40" s="192">
        <v>0</v>
      </c>
      <c r="K40" s="193">
        <v>0</v>
      </c>
      <c r="L40" s="194">
        <v>0</v>
      </c>
      <c r="M40" s="192">
        <v>0</v>
      </c>
      <c r="N40" s="192">
        <v>0</v>
      </c>
      <c r="O40" s="193">
        <v>0</v>
      </c>
      <c r="P40" s="194">
        <v>0</v>
      </c>
      <c r="Q40" s="192">
        <v>0</v>
      </c>
      <c r="R40" s="192">
        <v>0</v>
      </c>
      <c r="S40" s="193">
        <v>0</v>
      </c>
      <c r="T40" s="194">
        <v>0</v>
      </c>
      <c r="U40" s="192">
        <v>0</v>
      </c>
      <c r="V40" s="192">
        <v>0</v>
      </c>
      <c r="W40" s="193">
        <v>0</v>
      </c>
      <c r="X40" s="192">
        <v>0</v>
      </c>
      <c r="Y40" s="192">
        <v>0</v>
      </c>
      <c r="Z40" s="192">
        <v>-68</v>
      </c>
      <c r="AA40" s="193">
        <v>-25</v>
      </c>
      <c r="AB40" s="192">
        <v>-79</v>
      </c>
      <c r="AC40" s="192">
        <v>-6</v>
      </c>
      <c r="AD40" s="192">
        <v>-15</v>
      </c>
      <c r="AE40" s="193">
        <v>-10</v>
      </c>
      <c r="AF40" s="192">
        <v>-13</v>
      </c>
      <c r="AG40" s="192">
        <v>-11</v>
      </c>
      <c r="AH40" s="192">
        <v>-38</v>
      </c>
      <c r="AI40" s="192">
        <v>-33</v>
      </c>
      <c r="AJ40" s="194">
        <v>-12</v>
      </c>
      <c r="AK40" s="192">
        <v>0</v>
      </c>
      <c r="AL40" s="192">
        <v>0</v>
      </c>
      <c r="AM40" s="192">
        <v>0</v>
      </c>
      <c r="AN40" s="194"/>
      <c r="AO40" s="192">
        <v>0</v>
      </c>
      <c r="AP40" s="192">
        <v>0</v>
      </c>
      <c r="AQ40" s="193">
        <v>0</v>
      </c>
      <c r="AR40" s="194"/>
      <c r="AS40" s="192">
        <v>0</v>
      </c>
      <c r="AT40" s="192">
        <v>0</v>
      </c>
      <c r="AU40" s="193">
        <v>0</v>
      </c>
      <c r="AV40" s="194"/>
      <c r="AW40" s="192"/>
      <c r="AX40" s="192">
        <v>0</v>
      </c>
      <c r="AY40" s="193">
        <v>0</v>
      </c>
      <c r="AZ40" s="194">
        <v>0</v>
      </c>
      <c r="BA40" s="925">
        <f t="shared" ref="BA40" si="138">AZ40</f>
        <v>0</v>
      </c>
      <c r="BB40" s="925">
        <f t="shared" ref="BB40" si="139">BA40</f>
        <v>0</v>
      </c>
      <c r="BC40" s="926">
        <f t="shared" ref="BC40" si="140">BB40</f>
        <v>0</v>
      </c>
      <c r="BD40" s="1183">
        <f t="shared" ref="BD40" si="141">BC40</f>
        <v>0</v>
      </c>
      <c r="BE40" s="925">
        <f t="shared" ref="BE40" si="142">BD40</f>
        <v>0</v>
      </c>
      <c r="BF40" s="925">
        <f t="shared" ref="BF40" si="143">BE40</f>
        <v>0</v>
      </c>
      <c r="BG40" s="926">
        <f t="shared" ref="BG40" si="144">BF40</f>
        <v>0</v>
      </c>
      <c r="BH40" s="1183">
        <f t="shared" ref="BH40" si="145">BG40</f>
        <v>0</v>
      </c>
      <c r="BI40" s="925">
        <f t="shared" ref="BI40" si="146">BH40</f>
        <v>0</v>
      </c>
      <c r="BJ40" s="925">
        <f t="shared" ref="BJ40" si="147">BI40</f>
        <v>0</v>
      </c>
      <c r="BK40" s="926">
        <f t="shared" ref="BK40" si="148">BJ40</f>
        <v>0</v>
      </c>
      <c r="BL40" s="232"/>
      <c r="BM40" s="189">
        <f t="shared" si="98"/>
        <v>0</v>
      </c>
      <c r="BN40" s="189">
        <f t="shared" si="99"/>
        <v>0</v>
      </c>
      <c r="BO40" s="189">
        <f t="shared" si="100"/>
        <v>0</v>
      </c>
      <c r="BP40" s="189">
        <f t="shared" si="101"/>
        <v>0</v>
      </c>
      <c r="BQ40" s="189">
        <f t="shared" si="102"/>
        <v>0</v>
      </c>
      <c r="BR40" s="189">
        <f t="shared" si="103"/>
        <v>-93</v>
      </c>
      <c r="BS40" s="191">
        <f t="shared" si="104"/>
        <v>-110</v>
      </c>
      <c r="BT40" s="189">
        <f t="shared" si="105"/>
        <v>-95</v>
      </c>
      <c r="BU40" s="191">
        <f t="shared" si="106"/>
        <v>-12</v>
      </c>
      <c r="BV40" s="189">
        <f t="shared" si="107"/>
        <v>0</v>
      </c>
      <c r="BW40" s="189">
        <f t="shared" si="108"/>
        <v>0</v>
      </c>
      <c r="BX40" s="189">
        <f t="shared" si="109"/>
        <v>0</v>
      </c>
      <c r="BY40" s="189">
        <f t="shared" si="110"/>
        <v>0</v>
      </c>
      <c r="BZ40" s="189">
        <f t="shared" si="111"/>
        <v>0</v>
      </c>
      <c r="CA40" s="190">
        <f t="shared" si="112"/>
        <v>0</v>
      </c>
      <c r="CB40" s="19"/>
      <c r="CC40" s="191">
        <f t="shared" si="113"/>
        <v>0</v>
      </c>
      <c r="CD40" s="189">
        <f t="shared" si="114"/>
        <v>0</v>
      </c>
      <c r="CE40" s="189">
        <f t="shared" si="115"/>
        <v>0</v>
      </c>
      <c r="CF40" s="189">
        <f t="shared" si="116"/>
        <v>0</v>
      </c>
      <c r="CG40" s="189">
        <f t="shared" si="117"/>
        <v>0</v>
      </c>
      <c r="CH40" s="189">
        <f t="shared" si="118"/>
        <v>-172</v>
      </c>
      <c r="CI40" s="189">
        <f t="shared" si="119"/>
        <v>-44</v>
      </c>
      <c r="CJ40" s="189">
        <f t="shared" si="120"/>
        <v>-94</v>
      </c>
      <c r="CK40" s="189">
        <f t="shared" si="121"/>
        <v>0</v>
      </c>
      <c r="CL40" s="189">
        <f t="shared" si="122"/>
        <v>0</v>
      </c>
      <c r="CM40" s="189">
        <f t="shared" si="123"/>
        <v>0</v>
      </c>
      <c r="CN40" s="189">
        <f t="shared" si="124"/>
        <v>0</v>
      </c>
      <c r="CO40" s="189">
        <f t="shared" si="125"/>
        <v>0</v>
      </c>
      <c r="CP40" s="190">
        <f t="shared" si="126"/>
        <v>0</v>
      </c>
      <c r="CQ40" s="7"/>
    </row>
    <row r="41" spans="1:95" ht="14.25" customHeight="1">
      <c r="A41" s="7"/>
      <c r="B41" s="27" t="str">
        <f t="shared" si="97"/>
        <v>Dividend payments to shareholders</v>
      </c>
      <c r="C41" s="28"/>
      <c r="D41" s="194">
        <v>0</v>
      </c>
      <c r="E41" s="192">
        <v>0</v>
      </c>
      <c r="F41" s="192">
        <v>0</v>
      </c>
      <c r="G41" s="193">
        <v>0</v>
      </c>
      <c r="H41" s="194">
        <v>0</v>
      </c>
      <c r="I41" s="192">
        <v>0</v>
      </c>
      <c r="J41" s="192">
        <v>0</v>
      </c>
      <c r="K41" s="193">
        <v>0</v>
      </c>
      <c r="L41" s="194">
        <v>0</v>
      </c>
      <c r="M41" s="192">
        <v>0</v>
      </c>
      <c r="N41" s="192">
        <v>0</v>
      </c>
      <c r="O41" s="193">
        <v>0</v>
      </c>
      <c r="P41" s="194">
        <v>0</v>
      </c>
      <c r="Q41" s="192">
        <v>0</v>
      </c>
      <c r="R41" s="192">
        <v>0</v>
      </c>
      <c r="S41" s="193">
        <v>0</v>
      </c>
      <c r="T41" s="194">
        <v>0</v>
      </c>
      <c r="U41" s="192">
        <v>0</v>
      </c>
      <c r="V41" s="192">
        <v>0</v>
      </c>
      <c r="W41" s="193">
        <v>0</v>
      </c>
      <c r="X41" s="192">
        <v>-17</v>
      </c>
      <c r="Y41" s="192">
        <v>-20</v>
      </c>
      <c r="Z41" s="192">
        <v>-22</v>
      </c>
      <c r="AA41" s="193">
        <v>-27</v>
      </c>
      <c r="AB41" s="192">
        <v>-29</v>
      </c>
      <c r="AC41" s="192">
        <v>-32</v>
      </c>
      <c r="AD41" s="192">
        <v>-37</v>
      </c>
      <c r="AE41" s="193">
        <v>-39</v>
      </c>
      <c r="AF41" s="192">
        <v>-42</v>
      </c>
      <c r="AG41" s="192">
        <v>-47</v>
      </c>
      <c r="AH41" s="192">
        <v>-52</v>
      </c>
      <c r="AI41" s="192">
        <v>-57</v>
      </c>
      <c r="AJ41" s="194">
        <v>-62</v>
      </c>
      <c r="AK41" s="192">
        <v>-68</v>
      </c>
      <c r="AL41" s="192">
        <v>-73</v>
      </c>
      <c r="AM41" s="192">
        <v>-81</v>
      </c>
      <c r="AN41" s="194">
        <v>-89</v>
      </c>
      <c r="AO41" s="192">
        <v>-99</v>
      </c>
      <c r="AP41" s="192">
        <v>-104</v>
      </c>
      <c r="AQ41" s="193">
        <v>-116</v>
      </c>
      <c r="AR41" s="194">
        <v>-122</v>
      </c>
      <c r="AS41" s="192">
        <v>-204</v>
      </c>
      <c r="AT41" s="192">
        <v>-211</v>
      </c>
      <c r="AU41" s="193">
        <v>-213</v>
      </c>
      <c r="AV41" s="194">
        <v>-431</v>
      </c>
      <c r="AW41" s="192">
        <v>-437</v>
      </c>
      <c r="AX41" s="192">
        <v>-438</v>
      </c>
      <c r="AY41" s="193">
        <v>-439</v>
      </c>
      <c r="AZ41" s="194">
        <v>-755</v>
      </c>
      <c r="BA41" s="925">
        <f>+-'AVGO IS'!BA114*'AVGO IS'!BA120*1.66</f>
        <v>-772.22129032258056</v>
      </c>
      <c r="BB41" s="925">
        <f>+-'AVGO IS'!BB114*'AVGO IS'!BB120*1.66</f>
        <v>-773.12131513647637</v>
      </c>
      <c r="BC41" s="926">
        <f>+-'AVGO IS'!BC114*'AVGO IS'!BC120*1.66</f>
        <v>-774.02133995037207</v>
      </c>
      <c r="BD41" s="1183">
        <f>+-'AVGO IS'!BD114*'AVGO IS'!BD120*1.66*1.39</f>
        <v>-1077.1406970223322</v>
      </c>
      <c r="BE41" s="925">
        <f>+-'AVGO IS'!BE114*'AVGO IS'!BE120*1.66*1.39</f>
        <v>-1078.3917315136475</v>
      </c>
      <c r="BF41" s="925">
        <f>+-'AVGO IS'!BF114*'AVGO IS'!BF120*1.66*1.39</f>
        <v>-1079.6427660049626</v>
      </c>
      <c r="BG41" s="926">
        <f>+-'AVGO IS'!BG114*'AVGO IS'!BG120*1.66*1.39</f>
        <v>-1080.8938004962777</v>
      </c>
      <c r="BH41" s="1183">
        <f>+-'AVGO IS'!BH114*'AVGO IS'!BH120*1.66*1.39</f>
        <v>-1082.1448349875927</v>
      </c>
      <c r="BI41" s="925">
        <f>+-'AVGO IS'!BI114*'AVGO IS'!BI120*1.66*1.39</f>
        <v>-1083.395869478908</v>
      </c>
      <c r="BJ41" s="925">
        <f>+-'AVGO IS'!BJ114*'AVGO IS'!BJ120*1.66*1.39</f>
        <v>-1084.6469039702231</v>
      </c>
      <c r="BK41" s="926">
        <f>+-'AVGO IS'!BK114*'AVGO IS'!BK120*1.66*1.39</f>
        <v>-1085.8979384615382</v>
      </c>
      <c r="BL41" s="232"/>
      <c r="BM41" s="189">
        <f t="shared" si="98"/>
        <v>0</v>
      </c>
      <c r="BN41" s="189">
        <f t="shared" si="99"/>
        <v>0</v>
      </c>
      <c r="BO41" s="189">
        <f t="shared" si="100"/>
        <v>0</v>
      </c>
      <c r="BP41" s="189">
        <f t="shared" si="101"/>
        <v>0</v>
      </c>
      <c r="BQ41" s="189">
        <f t="shared" si="102"/>
        <v>0</v>
      </c>
      <c r="BR41" s="189">
        <f t="shared" si="103"/>
        <v>-86</v>
      </c>
      <c r="BS41" s="191">
        <f t="shared" si="104"/>
        <v>-137</v>
      </c>
      <c r="BT41" s="189">
        <f t="shared" si="105"/>
        <v>-198</v>
      </c>
      <c r="BU41" s="191">
        <f t="shared" si="106"/>
        <v>-284</v>
      </c>
      <c r="BV41" s="189">
        <f t="shared" si="107"/>
        <v>-408</v>
      </c>
      <c r="BW41" s="189">
        <f t="shared" si="108"/>
        <v>-750</v>
      </c>
      <c r="BX41" s="189">
        <f t="shared" si="109"/>
        <v>-1745</v>
      </c>
      <c r="BY41" s="189">
        <f t="shared" si="110"/>
        <v>-3074.3639454094291</v>
      </c>
      <c r="BZ41" s="189">
        <f t="shared" si="111"/>
        <v>-4316.0689950372198</v>
      </c>
      <c r="CA41" s="190">
        <f t="shared" si="112"/>
        <v>-4336.0855468982627</v>
      </c>
      <c r="CB41" s="19"/>
      <c r="CC41" s="191">
        <f t="shared" si="113"/>
        <v>0</v>
      </c>
      <c r="CD41" s="189">
        <f t="shared" si="114"/>
        <v>0</v>
      </c>
      <c r="CE41" s="189">
        <f t="shared" si="115"/>
        <v>0</v>
      </c>
      <c r="CF41" s="189">
        <f t="shared" si="116"/>
        <v>0</v>
      </c>
      <c r="CG41" s="189">
        <f t="shared" si="117"/>
        <v>-17</v>
      </c>
      <c r="CH41" s="189">
        <f t="shared" si="118"/>
        <v>-98</v>
      </c>
      <c r="CI41" s="189">
        <f t="shared" si="119"/>
        <v>-150</v>
      </c>
      <c r="CJ41" s="189">
        <f t="shared" si="120"/>
        <v>-218</v>
      </c>
      <c r="CK41" s="189">
        <f t="shared" si="121"/>
        <v>-311</v>
      </c>
      <c r="CL41" s="189">
        <f t="shared" si="122"/>
        <v>-441</v>
      </c>
      <c r="CM41" s="189">
        <f t="shared" si="123"/>
        <v>-1059</v>
      </c>
      <c r="CN41" s="189">
        <f t="shared" si="124"/>
        <v>-2069</v>
      </c>
      <c r="CO41" s="189">
        <f t="shared" si="125"/>
        <v>-3396.5046424317616</v>
      </c>
      <c r="CP41" s="190">
        <f t="shared" si="126"/>
        <v>-4321.0731330024801</v>
      </c>
      <c r="CQ41" s="7"/>
    </row>
    <row r="42" spans="1:95" ht="14.25" customHeight="1">
      <c r="A42" s="7"/>
      <c r="B42" s="27" t="str">
        <f t="shared" si="97"/>
        <v>Other financing activities</v>
      </c>
      <c r="C42" s="28"/>
      <c r="D42" s="192">
        <f>-249-1+250+45</f>
        <v>45</v>
      </c>
      <c r="E42" s="192">
        <v>0</v>
      </c>
      <c r="F42" s="192">
        <v>0</v>
      </c>
      <c r="G42" s="193">
        <v>0</v>
      </c>
      <c r="H42" s="192">
        <v>0</v>
      </c>
      <c r="I42" s="192">
        <v>0</v>
      </c>
      <c r="J42" s="192">
        <v>-1</v>
      </c>
      <c r="K42" s="193">
        <v>-4</v>
      </c>
      <c r="L42" s="192">
        <v>-1</v>
      </c>
      <c r="M42" s="192">
        <v>0</v>
      </c>
      <c r="N42" s="192">
        <v>0</v>
      </c>
      <c r="O42" s="193">
        <v>-1</v>
      </c>
      <c r="P42" s="192">
        <v>0</v>
      </c>
      <c r="Q42" s="192">
        <v>-1</v>
      </c>
      <c r="R42" s="192">
        <v>0</v>
      </c>
      <c r="S42" s="193">
        <v>0</v>
      </c>
      <c r="T42" s="192">
        <v>0</v>
      </c>
      <c r="U42" s="192">
        <v>0</v>
      </c>
      <c r="V42" s="192">
        <v>0</v>
      </c>
      <c r="W42" s="193">
        <v>0</v>
      </c>
      <c r="X42" s="192">
        <v>0</v>
      </c>
      <c r="Y42" s="192">
        <v>0</v>
      </c>
      <c r="Z42" s="192">
        <v>0</v>
      </c>
      <c r="AA42" s="193">
        <v>0</v>
      </c>
      <c r="AB42" s="192">
        <v>1</v>
      </c>
      <c r="AC42" s="192">
        <f>1+1</f>
        <v>2</v>
      </c>
      <c r="AD42" s="192">
        <v>5</v>
      </c>
      <c r="AE42" s="193">
        <v>3</v>
      </c>
      <c r="AF42" s="192">
        <v>3</v>
      </c>
      <c r="AG42" s="192">
        <v>2</v>
      </c>
      <c r="AH42" s="192">
        <v>3</v>
      </c>
      <c r="AI42" s="193">
        <f>14+2</f>
        <v>16</v>
      </c>
      <c r="AJ42" s="192">
        <f>3+2</f>
        <v>5</v>
      </c>
      <c r="AK42" s="192">
        <v>8</v>
      </c>
      <c r="AL42" s="192">
        <f>-124-11</f>
        <v>-135</v>
      </c>
      <c r="AM42" s="193">
        <f>1-4</f>
        <v>-3</v>
      </c>
      <c r="AO42" s="192">
        <v>0</v>
      </c>
      <c r="AP42" s="192">
        <v>32</v>
      </c>
      <c r="AQ42" s="193">
        <v>23</v>
      </c>
      <c r="AR42" s="194">
        <v>-4</v>
      </c>
      <c r="AS42" s="192">
        <f>-104+15926</f>
        <v>15822</v>
      </c>
      <c r="AT42" s="192">
        <v>10</v>
      </c>
      <c r="AU42" s="193">
        <v>-15</v>
      </c>
      <c r="AV42" s="194">
        <v>-107</v>
      </c>
      <c r="AW42" s="192">
        <v>-20</v>
      </c>
      <c r="AX42" s="192">
        <v>0</v>
      </c>
      <c r="AY42" s="193">
        <v>0</v>
      </c>
      <c r="AZ42" s="194">
        <f>-856-3</f>
        <v>-859</v>
      </c>
      <c r="BA42" s="925">
        <f>'BS '!BA33-'BS '!AZ33+'BS '!BA26-'BS '!AZ26+'BS '!BA28-'BS '!AZ28+'BS '!BA32-'BS '!AZ32</f>
        <v>0</v>
      </c>
      <c r="BB42" s="925">
        <f>'BS '!BB33-'BS '!BA33+'BS '!BB26-'BS '!BA26+'BS '!BB28-'BS '!BA28+'BS '!BB32-'BS '!BA32</f>
        <v>0</v>
      </c>
      <c r="BC42" s="926">
        <f>'BS '!BC33-'BS '!BB33+'BS '!BC26-'BS '!BB26+'BS '!BC28-'BS '!BB28+'BS '!BC32-'BS '!BB32</f>
        <v>0</v>
      </c>
      <c r="BD42" s="1183">
        <f>'BS '!BD33-'BS '!BC33+'BS '!BD26-'BS '!BC26+'BS '!BD28-'BS '!BC28+'BS '!BD32-'BS '!BC32</f>
        <v>0</v>
      </c>
      <c r="BE42" s="925">
        <f>'BS '!BE33-'BS '!BD33+'BS '!BE26-'BS '!BD26+'BS '!BE28-'BS '!BD28+'BS '!BE32-'BS '!BD32</f>
        <v>0</v>
      </c>
      <c r="BF42" s="925">
        <f>'BS '!BF33-'BS '!BE33+'BS '!BF26-'BS '!BE26+'BS '!BF28-'BS '!BE28+'BS '!BF32-'BS '!BE32</f>
        <v>0</v>
      </c>
      <c r="BG42" s="926">
        <f>'BS '!BG33-'BS '!BF33+'BS '!BG26-'BS '!BF26+'BS '!BG28-'BS '!BF28+'BS '!BG32-'BS '!BF32</f>
        <v>0</v>
      </c>
      <c r="BH42" s="1183">
        <f>'BS '!BH33-'BS '!BG33+'BS '!BH26-'BS '!BG26+'BS '!BH28-'BS '!BG28+'BS '!BH32-'BS '!BG32</f>
        <v>0</v>
      </c>
      <c r="BI42" s="925">
        <f>'BS '!BI33-'BS '!BH33+'BS '!BI26-'BS '!BH26+'BS '!BI28-'BS '!BH28+'BS '!BI32-'BS '!BH32</f>
        <v>0</v>
      </c>
      <c r="BJ42" s="925">
        <f>'BS '!BJ33-'BS '!BI33+'BS '!BJ26-'BS '!BI26+'BS '!BJ28-'BS '!BI28+'BS '!BJ32-'BS '!BI32</f>
        <v>0</v>
      </c>
      <c r="BK42" s="926">
        <f>'BS '!BK33-'BS '!BJ33+'BS '!BK26-'BS '!BJ26+'BS '!BK28-'BS '!BJ28+'BS '!BK32-'BS '!BJ32</f>
        <v>0</v>
      </c>
      <c r="BL42" s="232"/>
      <c r="BM42" s="189">
        <f>SUM(D42:G42)</f>
        <v>45</v>
      </c>
      <c r="BN42" s="189">
        <f t="shared" si="99"/>
        <v>-5</v>
      </c>
      <c r="BO42" s="189">
        <f t="shared" si="100"/>
        <v>-2</v>
      </c>
      <c r="BP42" s="189">
        <f t="shared" si="101"/>
        <v>-1</v>
      </c>
      <c r="BQ42" s="189">
        <f t="shared" si="102"/>
        <v>0</v>
      </c>
      <c r="BR42" s="189">
        <f t="shared" si="103"/>
        <v>0</v>
      </c>
      <c r="BS42" s="191">
        <f t="shared" si="104"/>
        <v>11</v>
      </c>
      <c r="BT42" s="189">
        <f t="shared" si="105"/>
        <v>24</v>
      </c>
      <c r="BU42" s="191">
        <f t="shared" si="106"/>
        <v>-125</v>
      </c>
      <c r="BV42" s="189">
        <f t="shared" si="107"/>
        <v>55</v>
      </c>
      <c r="BW42" s="189">
        <f t="shared" si="108"/>
        <v>15813</v>
      </c>
      <c r="BX42" s="189">
        <f t="shared" si="109"/>
        <v>-127</v>
      </c>
      <c r="BY42" s="189">
        <f t="shared" si="110"/>
        <v>-859</v>
      </c>
      <c r="BZ42" s="189">
        <f t="shared" si="111"/>
        <v>0</v>
      </c>
      <c r="CA42" s="190">
        <f t="shared" si="112"/>
        <v>0</v>
      </c>
      <c r="CB42" s="19"/>
      <c r="CC42" s="191">
        <f t="shared" si="113"/>
        <v>0</v>
      </c>
      <c r="CD42" s="189">
        <f t="shared" si="114"/>
        <v>-6</v>
      </c>
      <c r="CE42" s="189">
        <f t="shared" si="115"/>
        <v>-1</v>
      </c>
      <c r="CF42" s="189">
        <f t="shared" si="116"/>
        <v>-1</v>
      </c>
      <c r="CG42" s="189">
        <f t="shared" si="117"/>
        <v>0</v>
      </c>
      <c r="CH42" s="189">
        <f t="shared" si="118"/>
        <v>1</v>
      </c>
      <c r="CI42" s="189">
        <f t="shared" si="119"/>
        <v>13</v>
      </c>
      <c r="CJ42" s="189">
        <f t="shared" si="120"/>
        <v>26</v>
      </c>
      <c r="CK42" s="189">
        <f t="shared" si="121"/>
        <v>-130</v>
      </c>
      <c r="CL42" s="189">
        <f t="shared" si="122"/>
        <v>51</v>
      </c>
      <c r="CM42" s="189">
        <f t="shared" si="123"/>
        <v>15710</v>
      </c>
      <c r="CN42" s="189">
        <f t="shared" si="124"/>
        <v>-879</v>
      </c>
      <c r="CO42" s="189">
        <f t="shared" si="125"/>
        <v>0</v>
      </c>
      <c r="CP42" s="190">
        <f t="shared" si="126"/>
        <v>0</v>
      </c>
      <c r="CQ42" s="7"/>
    </row>
    <row r="43" spans="1:95" ht="14.25" customHeight="1" thickBot="1">
      <c r="A43" s="7"/>
      <c r="B43" s="195" t="str">
        <f t="shared" ref="B43:B53" si="149">B128</f>
        <v>Net cash used for financing activities</v>
      </c>
      <c r="C43" s="196"/>
      <c r="D43" s="198">
        <f>SUM(D36:D42)</f>
        <v>2759</v>
      </c>
      <c r="E43" s="197">
        <f t="shared" ref="E43:AK43" si="150">SUM(E36:E42)</f>
        <v>-473</v>
      </c>
      <c r="F43" s="197">
        <f t="shared" si="150"/>
        <v>-249</v>
      </c>
      <c r="G43" s="199">
        <f t="shared" si="150"/>
        <v>-1</v>
      </c>
      <c r="H43" s="198">
        <f t="shared" si="150"/>
        <v>0</v>
      </c>
      <c r="I43" s="197">
        <f t="shared" si="150"/>
        <v>-86</v>
      </c>
      <c r="J43" s="197">
        <f t="shared" si="150"/>
        <v>-8</v>
      </c>
      <c r="K43" s="199">
        <f t="shared" si="150"/>
        <v>-18</v>
      </c>
      <c r="L43" s="198">
        <f t="shared" si="150"/>
        <v>-201</v>
      </c>
      <c r="M43" s="197">
        <f t="shared" si="150"/>
        <v>0</v>
      </c>
      <c r="N43" s="197">
        <f t="shared" si="150"/>
        <v>-1</v>
      </c>
      <c r="O43" s="199">
        <f t="shared" si="150"/>
        <v>-1</v>
      </c>
      <c r="P43" s="198">
        <f t="shared" si="150"/>
        <v>-2</v>
      </c>
      <c r="Q43" s="197">
        <f t="shared" si="150"/>
        <v>-2</v>
      </c>
      <c r="R43" s="197">
        <f t="shared" si="150"/>
        <v>-6</v>
      </c>
      <c r="S43" s="199">
        <f t="shared" si="150"/>
        <v>193</v>
      </c>
      <c r="T43" s="198">
        <f t="shared" si="150"/>
        <v>-360</v>
      </c>
      <c r="U43" s="197">
        <f t="shared" si="150"/>
        <v>15</v>
      </c>
      <c r="V43" s="197">
        <f t="shared" si="150"/>
        <v>3</v>
      </c>
      <c r="W43" s="199">
        <f t="shared" si="150"/>
        <v>7</v>
      </c>
      <c r="X43" s="197">
        <f t="shared" si="150"/>
        <v>-224</v>
      </c>
      <c r="Y43" s="197">
        <f t="shared" si="150"/>
        <v>-1</v>
      </c>
      <c r="Z43" s="197">
        <f t="shared" si="150"/>
        <v>-79</v>
      </c>
      <c r="AA43" s="199">
        <f t="shared" si="150"/>
        <v>-32</v>
      </c>
      <c r="AB43" s="197">
        <f t="shared" si="150"/>
        <v>-102</v>
      </c>
      <c r="AC43" s="197">
        <f t="shared" si="150"/>
        <v>-20</v>
      </c>
      <c r="AD43" s="197">
        <f t="shared" si="150"/>
        <v>-42</v>
      </c>
      <c r="AE43" s="199">
        <f t="shared" si="150"/>
        <v>-30</v>
      </c>
      <c r="AF43" s="197">
        <f t="shared" si="150"/>
        <v>-42</v>
      </c>
      <c r="AG43" s="197">
        <f t="shared" si="150"/>
        <v>-39</v>
      </c>
      <c r="AH43" s="197">
        <f t="shared" si="150"/>
        <v>-55</v>
      </c>
      <c r="AI43" s="197">
        <f t="shared" si="150"/>
        <v>-36</v>
      </c>
      <c r="AJ43" s="198">
        <f t="shared" si="150"/>
        <v>-50</v>
      </c>
      <c r="AK43" s="197">
        <f t="shared" si="150"/>
        <v>-26</v>
      </c>
      <c r="AL43" s="197">
        <f>SUM(AL36:AL42)</f>
        <v>5424</v>
      </c>
      <c r="AM43" s="197">
        <f>SUM(AM36:AM42)</f>
        <v>-19</v>
      </c>
      <c r="AN43" s="198">
        <f>SUM(AN36:AN42)</f>
        <v>-30</v>
      </c>
      <c r="AO43" s="197">
        <f t="shared" ref="AO43" si="151">SUM(AO36:AO42)</f>
        <v>-575</v>
      </c>
      <c r="AP43" s="197">
        <f>SUM(AP36:AP42)</f>
        <v>-1204</v>
      </c>
      <c r="AQ43" s="199">
        <f>SUM(AQ36:AQ42)</f>
        <v>-50</v>
      </c>
      <c r="AR43" s="198">
        <f>SUM(AR36:AR42)</f>
        <v>-42</v>
      </c>
      <c r="AS43" s="197">
        <f t="shared" ref="AS43" si="152">SUM(AS36:AS42)</f>
        <v>9457</v>
      </c>
      <c r="AT43" s="197">
        <f t="shared" ref="AT43:AY43" si="153">SUM(AT36:AT42)</f>
        <v>-1469</v>
      </c>
      <c r="AU43" s="199">
        <f t="shared" si="153"/>
        <v>-242</v>
      </c>
      <c r="AV43" s="198">
        <f t="shared" si="153"/>
        <v>-595</v>
      </c>
      <c r="AW43" s="197">
        <f t="shared" si="153"/>
        <v>-372</v>
      </c>
      <c r="AX43" s="197">
        <f t="shared" si="153"/>
        <v>-403</v>
      </c>
      <c r="AY43" s="199">
        <f t="shared" si="153"/>
        <v>3600</v>
      </c>
      <c r="AZ43" s="198">
        <f t="shared" ref="AZ43" si="154">SUM(AZ36:AZ42)</f>
        <v>-1586</v>
      </c>
      <c r="BA43" s="197">
        <f t="shared" ref="BA43:BC43" si="155">SUM(BA36:BA42)</f>
        <v>-778.22129032258056</v>
      </c>
      <c r="BB43" s="197">
        <f t="shared" si="155"/>
        <v>-779.12131513647637</v>
      </c>
      <c r="BC43" s="199">
        <f t="shared" si="155"/>
        <v>-780.02133995037207</v>
      </c>
      <c r="BD43" s="198">
        <f t="shared" ref="BD43:BG43" si="156">SUM(BD36:BD42)</f>
        <v>-1083.1406970223322</v>
      </c>
      <c r="BE43" s="197">
        <f t="shared" si="156"/>
        <v>-1084.3917315136475</v>
      </c>
      <c r="BF43" s="197">
        <f t="shared" si="156"/>
        <v>-1085.6427660049626</v>
      </c>
      <c r="BG43" s="199">
        <f t="shared" si="156"/>
        <v>-1086.8938004962777</v>
      </c>
      <c r="BH43" s="198">
        <f t="shared" ref="BH43:BK43" si="157">SUM(BH36:BH42)</f>
        <v>-1088.1448349875927</v>
      </c>
      <c r="BI43" s="197">
        <f t="shared" si="157"/>
        <v>-1089.395869478908</v>
      </c>
      <c r="BJ43" s="197">
        <f t="shared" si="157"/>
        <v>-1090.6469039702231</v>
      </c>
      <c r="BK43" s="199">
        <f t="shared" si="157"/>
        <v>-1091.8979384615382</v>
      </c>
      <c r="BL43" s="232"/>
      <c r="BM43" s="197">
        <f t="shared" ref="BM43:BW43" si="158">SUM(BM36:BM42)</f>
        <v>2036</v>
      </c>
      <c r="BN43" s="197">
        <f t="shared" si="158"/>
        <v>-112</v>
      </c>
      <c r="BO43" s="197">
        <f t="shared" si="158"/>
        <v>-203</v>
      </c>
      <c r="BP43" s="197">
        <f t="shared" si="158"/>
        <v>183</v>
      </c>
      <c r="BQ43" s="197">
        <f t="shared" si="158"/>
        <v>-335</v>
      </c>
      <c r="BR43" s="197">
        <f t="shared" si="158"/>
        <v>-336</v>
      </c>
      <c r="BS43" s="198">
        <f t="shared" si="158"/>
        <v>-194</v>
      </c>
      <c r="BT43" s="197">
        <f t="shared" si="158"/>
        <v>-172</v>
      </c>
      <c r="BU43" s="198">
        <f t="shared" si="158"/>
        <v>5329</v>
      </c>
      <c r="BV43" s="197">
        <f t="shared" si="158"/>
        <v>-1859</v>
      </c>
      <c r="BW43" s="197">
        <f t="shared" si="158"/>
        <v>7704</v>
      </c>
      <c r="BX43" s="197">
        <f>SUM(BX36:BX42)</f>
        <v>2230</v>
      </c>
      <c r="BY43" s="197">
        <f>SUM(BY36:BY42)</f>
        <v>-3923.3639454094291</v>
      </c>
      <c r="BZ43" s="197">
        <f>SUM(BZ36:BZ42)</f>
        <v>-4340.0689950372198</v>
      </c>
      <c r="CA43" s="199">
        <f>SUM(CA36:CA42)</f>
        <v>-4360.0855468982627</v>
      </c>
      <c r="CB43" s="19"/>
      <c r="CC43" s="198">
        <f t="shared" ref="CC43:CJ43" si="159">SUM(CC36:CC42)</f>
        <v>-723</v>
      </c>
      <c r="CD43" s="197">
        <f t="shared" si="159"/>
        <v>-313</v>
      </c>
      <c r="CE43" s="197">
        <f t="shared" si="159"/>
        <v>-4</v>
      </c>
      <c r="CF43" s="197">
        <f t="shared" si="159"/>
        <v>-175</v>
      </c>
      <c r="CG43" s="197">
        <f t="shared" si="159"/>
        <v>-199</v>
      </c>
      <c r="CH43" s="197">
        <f t="shared" si="159"/>
        <v>-214</v>
      </c>
      <c r="CI43" s="197">
        <f t="shared" si="159"/>
        <v>-134</v>
      </c>
      <c r="CJ43" s="197">
        <f t="shared" si="159"/>
        <v>-180</v>
      </c>
      <c r="CK43" s="197">
        <f t="shared" ref="CK43:CP43" si="160">SUM(CK36:CK42)</f>
        <v>5349</v>
      </c>
      <c r="CL43" s="197">
        <f t="shared" si="160"/>
        <v>-1871</v>
      </c>
      <c r="CM43" s="197">
        <f t="shared" si="160"/>
        <v>7151</v>
      </c>
      <c r="CN43" s="197">
        <f t="shared" si="160"/>
        <v>1239</v>
      </c>
      <c r="CO43" s="197">
        <f t="shared" si="160"/>
        <v>-3420.5046424317616</v>
      </c>
      <c r="CP43" s="199">
        <f t="shared" si="160"/>
        <v>-4345.0731330024801</v>
      </c>
      <c r="CQ43" s="7"/>
    </row>
    <row r="44" spans="1:95" ht="14.25" customHeight="1" thickTop="1">
      <c r="A44" s="7"/>
      <c r="B44" s="43"/>
      <c r="C44" s="44"/>
      <c r="D44" s="204"/>
      <c r="E44" s="203"/>
      <c r="F44" s="203"/>
      <c r="G44" s="205"/>
      <c r="H44" s="204"/>
      <c r="I44" s="203"/>
      <c r="J44" s="203"/>
      <c r="K44" s="205"/>
      <c r="L44" s="204"/>
      <c r="M44" s="203"/>
      <c r="N44" s="203"/>
      <c r="O44" s="205"/>
      <c r="P44" s="204"/>
      <c r="Q44" s="203"/>
      <c r="R44" s="203"/>
      <c r="S44" s="205"/>
      <c r="T44" s="204"/>
      <c r="U44" s="203"/>
      <c r="V44" s="203"/>
      <c r="W44" s="205"/>
      <c r="X44" s="203"/>
      <c r="Y44" s="203"/>
      <c r="Z44" s="203"/>
      <c r="AA44" s="205"/>
      <c r="AB44" s="203"/>
      <c r="AC44" s="203"/>
      <c r="AD44" s="203"/>
      <c r="AE44" s="205"/>
      <c r="AF44" s="203"/>
      <c r="AG44" s="203"/>
      <c r="AH44" s="203"/>
      <c r="AI44" s="203"/>
      <c r="AJ44" s="204"/>
      <c r="AK44" s="203"/>
      <c r="AL44" s="203"/>
      <c r="AM44" s="203"/>
      <c r="AN44" s="204"/>
      <c r="AO44" s="203"/>
      <c r="AP44" s="203"/>
      <c r="AQ44" s="205"/>
      <c r="AR44" s="204"/>
      <c r="AS44" s="203"/>
      <c r="AT44" s="203"/>
      <c r="AU44" s="205"/>
      <c r="AV44" s="204"/>
      <c r="AW44" s="203"/>
      <c r="AX44" s="203"/>
      <c r="AY44" s="205"/>
      <c r="AZ44" s="204"/>
      <c r="BA44" s="203"/>
      <c r="BB44" s="203"/>
      <c r="BC44" s="205"/>
      <c r="BD44" s="204"/>
      <c r="BE44" s="203"/>
      <c r="BF44" s="203"/>
      <c r="BG44" s="205"/>
      <c r="BH44" s="204"/>
      <c r="BI44" s="203"/>
      <c r="BJ44" s="203"/>
      <c r="BK44" s="205"/>
      <c r="BL44" s="232"/>
      <c r="BM44" s="203"/>
      <c r="BN44" s="203"/>
      <c r="BO44" s="203"/>
      <c r="BP44" s="203"/>
      <c r="BQ44" s="203"/>
      <c r="BR44" s="203"/>
      <c r="BS44" s="204"/>
      <c r="BT44" s="203"/>
      <c r="BU44" s="204"/>
      <c r="BV44" s="203"/>
      <c r="BW44" s="203"/>
      <c r="BX44" s="203"/>
      <c r="BY44" s="203"/>
      <c r="BZ44" s="203"/>
      <c r="CA44" s="205"/>
      <c r="CB44" s="19"/>
      <c r="CC44" s="204"/>
      <c r="CD44" s="203"/>
      <c r="CE44" s="203"/>
      <c r="CF44" s="203"/>
      <c r="CG44" s="203"/>
      <c r="CH44" s="203"/>
      <c r="CI44" s="203"/>
      <c r="CJ44" s="203"/>
      <c r="CK44" s="203"/>
      <c r="CL44" s="203"/>
      <c r="CM44" s="203"/>
      <c r="CN44" s="203"/>
      <c r="CO44" s="203"/>
      <c r="CP44" s="205"/>
      <c r="CQ44" s="7"/>
    </row>
    <row r="45" spans="1:95" ht="14.25" customHeight="1">
      <c r="A45" s="7"/>
      <c r="B45" s="43" t="str">
        <f t="shared" si="149"/>
        <v>Effect of exchange rate changes on cash and cash equivalents</v>
      </c>
      <c r="C45" s="44"/>
      <c r="D45" s="194">
        <v>0</v>
      </c>
      <c r="E45" s="192">
        <v>0</v>
      </c>
      <c r="F45" s="192">
        <v>0</v>
      </c>
      <c r="G45" s="193">
        <v>0</v>
      </c>
      <c r="H45" s="194">
        <v>0</v>
      </c>
      <c r="I45" s="192">
        <v>0</v>
      </c>
      <c r="J45" s="192">
        <v>0</v>
      </c>
      <c r="K45" s="193">
        <v>0</v>
      </c>
      <c r="L45" s="194">
        <v>0</v>
      </c>
      <c r="M45" s="192">
        <v>0</v>
      </c>
      <c r="N45" s="192">
        <v>0</v>
      </c>
      <c r="O45" s="193">
        <v>0</v>
      </c>
      <c r="P45" s="194">
        <v>0</v>
      </c>
      <c r="Q45" s="192">
        <v>0</v>
      </c>
      <c r="R45" s="192">
        <v>0</v>
      </c>
      <c r="S45" s="193">
        <v>0</v>
      </c>
      <c r="T45" s="194">
        <v>0</v>
      </c>
      <c r="U45" s="192">
        <v>0</v>
      </c>
      <c r="V45" s="192">
        <v>0</v>
      </c>
      <c r="W45" s="193">
        <v>0</v>
      </c>
      <c r="X45" s="192">
        <v>0</v>
      </c>
      <c r="Y45" s="192">
        <v>0</v>
      </c>
      <c r="Z45" s="192">
        <v>0</v>
      </c>
      <c r="AA45" s="193">
        <v>0</v>
      </c>
      <c r="AB45" s="192">
        <v>0</v>
      </c>
      <c r="AC45" s="192">
        <v>0</v>
      </c>
      <c r="AD45" s="192">
        <v>0</v>
      </c>
      <c r="AE45" s="193">
        <v>0</v>
      </c>
      <c r="AF45" s="192">
        <v>0</v>
      </c>
      <c r="AG45" s="192">
        <v>0</v>
      </c>
      <c r="AH45" s="192">
        <v>0</v>
      </c>
      <c r="AI45" s="192">
        <v>0</v>
      </c>
      <c r="AJ45" s="194">
        <v>0</v>
      </c>
      <c r="AK45" s="192">
        <v>0</v>
      </c>
      <c r="AL45" s="192">
        <v>0</v>
      </c>
      <c r="AM45" s="192">
        <v>0</v>
      </c>
      <c r="AN45" s="194">
        <v>0</v>
      </c>
      <c r="AO45" s="192">
        <v>0</v>
      </c>
      <c r="AP45" s="192">
        <v>0</v>
      </c>
      <c r="AQ45" s="193">
        <v>0</v>
      </c>
      <c r="AR45" s="194">
        <v>0</v>
      </c>
      <c r="AS45" s="192">
        <v>0</v>
      </c>
      <c r="AT45" s="192">
        <v>0</v>
      </c>
      <c r="AU45" s="193">
        <v>0</v>
      </c>
      <c r="AV45" s="194">
        <v>0</v>
      </c>
      <c r="AW45" s="192">
        <v>0</v>
      </c>
      <c r="AX45" s="192">
        <v>0</v>
      </c>
      <c r="AY45" s="193">
        <v>0</v>
      </c>
      <c r="AZ45" s="194">
        <v>0</v>
      </c>
      <c r="BA45" s="192">
        <v>0</v>
      </c>
      <c r="BB45" s="192">
        <v>0</v>
      </c>
      <c r="BC45" s="193">
        <v>0</v>
      </c>
      <c r="BD45" s="194">
        <v>0</v>
      </c>
      <c r="BE45" s="192">
        <v>0</v>
      </c>
      <c r="BF45" s="192">
        <v>0</v>
      </c>
      <c r="BG45" s="193">
        <v>0</v>
      </c>
      <c r="BH45" s="194">
        <v>0</v>
      </c>
      <c r="BI45" s="192">
        <v>0</v>
      </c>
      <c r="BJ45" s="192">
        <v>0</v>
      </c>
      <c r="BK45" s="193">
        <v>0</v>
      </c>
      <c r="BL45" s="232"/>
      <c r="BM45" s="189">
        <f>SUM(D45:G45)</f>
        <v>0</v>
      </c>
      <c r="BN45" s="189">
        <f>SUM(H45:K45)</f>
        <v>0</v>
      </c>
      <c r="BO45" s="189">
        <f>SUM(L45:O45)</f>
        <v>0</v>
      </c>
      <c r="BP45" s="189">
        <f>SUM(P45:S45)</f>
        <v>0</v>
      </c>
      <c r="BQ45" s="189">
        <f>SUM(T45:W45)</f>
        <v>0</v>
      </c>
      <c r="BR45" s="189">
        <f>SUM(X45:AA45)</f>
        <v>0</v>
      </c>
      <c r="BS45" s="191">
        <f>SUM(AB45:AE45)</f>
        <v>0</v>
      </c>
      <c r="BT45" s="189">
        <f>SUM(AF45:AI45)</f>
        <v>0</v>
      </c>
      <c r="BU45" s="191">
        <f>SUM(AJ45:AM45)</f>
        <v>0</v>
      </c>
      <c r="BV45" s="189">
        <f>SUM(AN45:AQ45)</f>
        <v>0</v>
      </c>
      <c r="BW45" s="189">
        <f>SUM(AR45:AU45)</f>
        <v>0</v>
      </c>
      <c r="BX45" s="189">
        <f>SUM(AV45:AY45)</f>
        <v>0</v>
      </c>
      <c r="BY45" s="189">
        <f>SUM(AZ45:BC45)</f>
        <v>0</v>
      </c>
      <c r="BZ45" s="189">
        <f>SUM(BD45:BG45)</f>
        <v>0</v>
      </c>
      <c r="CA45" s="190">
        <f>SUM(BH45:BK45)</f>
        <v>0</v>
      </c>
      <c r="CB45" s="19"/>
      <c r="CC45" s="191">
        <f>SUM(E45:H45)</f>
        <v>0</v>
      </c>
      <c r="CD45" s="189">
        <f>SUM(I45:L45)</f>
        <v>0</v>
      </c>
      <c r="CE45" s="189">
        <f>SUM(M45:P45)</f>
        <v>0</v>
      </c>
      <c r="CF45" s="189">
        <f>SUM(Q45:T45)</f>
        <v>0</v>
      </c>
      <c r="CG45" s="189">
        <f>SUM(U45:X45)</f>
        <v>0</v>
      </c>
      <c r="CH45" s="189">
        <f>SUM(Y45:AB45)</f>
        <v>0</v>
      </c>
      <c r="CI45" s="189">
        <f>SUM(AC45:AF45)</f>
        <v>0</v>
      </c>
      <c r="CJ45" s="189">
        <f>SUM(AG45:AJ45)</f>
        <v>0</v>
      </c>
      <c r="CK45" s="189">
        <f>SUM(AK45:AN45)</f>
        <v>0</v>
      </c>
      <c r="CL45" s="189">
        <f>SUM(AO45:AR45)</f>
        <v>0</v>
      </c>
      <c r="CM45" s="189">
        <f>SUM(AS45:AV45)</f>
        <v>0</v>
      </c>
      <c r="CN45" s="189">
        <f>SUM(AW45:AZ45)</f>
        <v>0</v>
      </c>
      <c r="CO45" s="189">
        <f>SUM(BA45:BD45)</f>
        <v>0</v>
      </c>
      <c r="CP45" s="190">
        <f>SUM(BE45:BH45)</f>
        <v>0</v>
      </c>
      <c r="CQ45" s="7"/>
    </row>
    <row r="46" spans="1:95" ht="14.25" customHeight="1">
      <c r="A46" s="7"/>
      <c r="B46" s="43"/>
      <c r="C46" s="44"/>
      <c r="D46" s="208"/>
      <c r="E46" s="206"/>
      <c r="F46" s="206"/>
      <c r="G46" s="207"/>
      <c r="H46" s="208"/>
      <c r="I46" s="206"/>
      <c r="J46" s="206"/>
      <c r="K46" s="207"/>
      <c r="L46" s="208"/>
      <c r="M46" s="206"/>
      <c r="N46" s="206"/>
      <c r="O46" s="207"/>
      <c r="P46" s="208"/>
      <c r="Q46" s="206"/>
      <c r="R46" s="206"/>
      <c r="S46" s="207"/>
      <c r="T46" s="208"/>
      <c r="U46" s="206"/>
      <c r="V46" s="206"/>
      <c r="W46" s="207"/>
      <c r="X46" s="206"/>
      <c r="Y46" s="206"/>
      <c r="Z46" s="206"/>
      <c r="AA46" s="207"/>
      <c r="AB46" s="206"/>
      <c r="AC46" s="206"/>
      <c r="AD46" s="206"/>
      <c r="AE46" s="207"/>
      <c r="AF46" s="206"/>
      <c r="AG46" s="206"/>
      <c r="AH46" s="206"/>
      <c r="AI46" s="206"/>
      <c r="AJ46" s="208"/>
      <c r="AK46" s="206"/>
      <c r="AL46" s="206"/>
      <c r="AM46" s="206"/>
      <c r="AN46" s="208"/>
      <c r="AO46" s="206"/>
      <c r="AP46" s="206"/>
      <c r="AQ46" s="207"/>
      <c r="AR46" s="208"/>
      <c r="AS46" s="206"/>
      <c r="AT46" s="206"/>
      <c r="AU46" s="207"/>
      <c r="AV46" s="208"/>
      <c r="AW46" s="206"/>
      <c r="AX46" s="206"/>
      <c r="AY46" s="207"/>
      <c r="AZ46" s="208"/>
      <c r="BA46" s="206"/>
      <c r="BB46" s="206"/>
      <c r="BC46" s="207"/>
      <c r="BD46" s="208"/>
      <c r="BE46" s="206"/>
      <c r="BF46" s="206"/>
      <c r="BG46" s="207"/>
      <c r="BH46" s="208"/>
      <c r="BI46" s="206"/>
      <c r="BJ46" s="206"/>
      <c r="BK46" s="207"/>
      <c r="BL46" s="232"/>
      <c r="BM46" s="206"/>
      <c r="BN46" s="206"/>
      <c r="BO46" s="206"/>
      <c r="BP46" s="206"/>
      <c r="BQ46" s="206"/>
      <c r="BR46" s="206"/>
      <c r="BS46" s="208"/>
      <c r="BT46" s="206"/>
      <c r="BU46" s="208"/>
      <c r="BV46" s="206"/>
      <c r="BW46" s="206"/>
      <c r="BX46" s="206"/>
      <c r="BY46" s="206"/>
      <c r="BZ46" s="206"/>
      <c r="CA46" s="207"/>
      <c r="CB46" s="19"/>
      <c r="CC46" s="208"/>
      <c r="CD46" s="206"/>
      <c r="CE46" s="206"/>
      <c r="CF46" s="206"/>
      <c r="CG46" s="206"/>
      <c r="CH46" s="206"/>
      <c r="CI46" s="206"/>
      <c r="CJ46" s="206"/>
      <c r="CK46" s="206"/>
      <c r="CL46" s="206"/>
      <c r="CM46" s="206"/>
      <c r="CN46" s="206"/>
      <c r="CO46" s="206"/>
      <c r="CP46" s="207"/>
      <c r="CQ46" s="7"/>
    </row>
    <row r="47" spans="1:95" ht="14.25" customHeight="1">
      <c r="A47" s="7"/>
      <c r="B47" s="43" t="str">
        <f t="shared" si="149"/>
        <v>Cash and cash equivalents, beginning of period</v>
      </c>
      <c r="C47" s="44"/>
      <c r="D47" s="204">
        <f>D132</f>
        <v>0</v>
      </c>
      <c r="E47" s="203">
        <f t="shared" ref="E47:S47" si="161">D50</f>
        <v>169</v>
      </c>
      <c r="F47" s="203">
        <f t="shared" si="161"/>
        <v>210</v>
      </c>
      <c r="G47" s="203">
        <f t="shared" si="161"/>
        <v>200</v>
      </c>
      <c r="H47" s="204">
        <f>H132</f>
        <v>272</v>
      </c>
      <c r="I47" s="203">
        <f t="shared" si="161"/>
        <v>240</v>
      </c>
      <c r="J47" s="203">
        <f t="shared" si="161"/>
        <v>200</v>
      </c>
      <c r="K47" s="203">
        <f t="shared" si="161"/>
        <v>213</v>
      </c>
      <c r="L47" s="204">
        <f t="shared" si="161"/>
        <v>309</v>
      </c>
      <c r="M47" s="203">
        <f t="shared" si="161"/>
        <v>61</v>
      </c>
      <c r="N47" s="203">
        <f t="shared" si="161"/>
        <v>83</v>
      </c>
      <c r="O47" s="203">
        <f t="shared" si="161"/>
        <v>148</v>
      </c>
      <c r="P47" s="204">
        <f t="shared" si="161"/>
        <v>213</v>
      </c>
      <c r="Q47" s="203">
        <f t="shared" si="161"/>
        <v>195</v>
      </c>
      <c r="R47" s="203">
        <f t="shared" si="161"/>
        <v>241</v>
      </c>
      <c r="S47" s="203">
        <f t="shared" si="161"/>
        <v>254</v>
      </c>
      <c r="T47" s="204">
        <f t="shared" ref="T47:AZ47" si="162">S50</f>
        <v>472</v>
      </c>
      <c r="U47" s="203">
        <f t="shared" si="162"/>
        <v>144</v>
      </c>
      <c r="V47" s="203">
        <f t="shared" si="162"/>
        <v>256</v>
      </c>
      <c r="W47" s="203">
        <f t="shared" si="162"/>
        <v>367</v>
      </c>
      <c r="X47" s="204">
        <f t="shared" si="162"/>
        <v>561</v>
      </c>
      <c r="Y47" s="203">
        <f t="shared" si="162"/>
        <v>363</v>
      </c>
      <c r="Z47" s="203">
        <f t="shared" si="162"/>
        <v>596</v>
      </c>
      <c r="AA47" s="205">
        <f t="shared" si="162"/>
        <v>704</v>
      </c>
      <c r="AB47" s="204">
        <f t="shared" si="162"/>
        <v>829</v>
      </c>
      <c r="AC47" s="203">
        <f t="shared" si="162"/>
        <v>819</v>
      </c>
      <c r="AD47" s="203">
        <f t="shared" si="162"/>
        <v>954</v>
      </c>
      <c r="AE47" s="205">
        <f t="shared" si="162"/>
        <v>973</v>
      </c>
      <c r="AF47" s="204">
        <f t="shared" si="162"/>
        <v>1084</v>
      </c>
      <c r="AG47" s="203">
        <f t="shared" si="162"/>
        <v>1151</v>
      </c>
      <c r="AH47" s="203">
        <f t="shared" si="162"/>
        <v>1219</v>
      </c>
      <c r="AI47" s="203">
        <f t="shared" si="162"/>
        <v>863</v>
      </c>
      <c r="AJ47" s="204">
        <f t="shared" si="162"/>
        <v>985</v>
      </c>
      <c r="AK47" s="203">
        <f t="shared" si="162"/>
        <v>1112</v>
      </c>
      <c r="AL47" s="203">
        <f t="shared" si="162"/>
        <v>1278</v>
      </c>
      <c r="AM47" s="203">
        <f t="shared" si="162"/>
        <v>1277</v>
      </c>
      <c r="AN47" s="204">
        <f t="shared" si="162"/>
        <v>1604</v>
      </c>
      <c r="AO47" s="203">
        <f t="shared" si="162"/>
        <v>2569</v>
      </c>
      <c r="AP47" s="203">
        <f t="shared" si="162"/>
        <v>2508</v>
      </c>
      <c r="AQ47" s="205">
        <f t="shared" si="162"/>
        <v>1354</v>
      </c>
      <c r="AR47" s="204">
        <f t="shared" si="162"/>
        <v>1822</v>
      </c>
      <c r="AS47" s="203">
        <f t="shared" si="162"/>
        <v>2169</v>
      </c>
      <c r="AT47" s="203">
        <f t="shared" si="162"/>
        <v>2041</v>
      </c>
      <c r="AU47" s="205">
        <f t="shared" si="162"/>
        <v>1961</v>
      </c>
      <c r="AV47" s="204">
        <f t="shared" si="162"/>
        <v>3097</v>
      </c>
      <c r="AW47" s="203">
        <f t="shared" si="162"/>
        <v>3536</v>
      </c>
      <c r="AX47" s="203">
        <f t="shared" si="162"/>
        <v>4254</v>
      </c>
      <c r="AY47" s="205">
        <f t="shared" si="162"/>
        <v>5249</v>
      </c>
      <c r="AZ47" s="204">
        <f t="shared" si="162"/>
        <v>11204</v>
      </c>
      <c r="BA47" s="203">
        <f t="shared" ref="BA47:BC47" si="163">AZ50</f>
        <v>7076</v>
      </c>
      <c r="BB47" s="203">
        <f t="shared" si="163"/>
        <v>8493.9292086354435</v>
      </c>
      <c r="BC47" s="205">
        <f t="shared" si="163"/>
        <v>9832.6721551161918</v>
      </c>
      <c r="BD47" s="204">
        <f t="shared" ref="BD47" si="164">BC50</f>
        <v>11265.97697017292</v>
      </c>
      <c r="BE47" s="203">
        <f t="shared" ref="BE47" si="165">BD50</f>
        <v>12680.111689689507</v>
      </c>
      <c r="BF47" s="203">
        <f t="shared" ref="BF47" si="166">BE50</f>
        <v>13856.879013618694</v>
      </c>
      <c r="BG47" s="205">
        <f t="shared" ref="BG47" si="167">BF50</f>
        <v>14923.528166631684</v>
      </c>
      <c r="BH47" s="204">
        <f t="shared" ref="BH47" si="168">BG50</f>
        <v>16122.165717781805</v>
      </c>
      <c r="BI47" s="203">
        <f t="shared" ref="BI47" si="169">BH50</f>
        <v>17678.084422505282</v>
      </c>
      <c r="BJ47" s="203">
        <f t="shared" ref="BJ47" si="170">BI50</f>
        <v>19076.5177957831</v>
      </c>
      <c r="BK47" s="205">
        <f t="shared" ref="BK47" si="171">BJ50</f>
        <v>20325.231636744647</v>
      </c>
      <c r="BL47" s="232"/>
      <c r="BM47" s="203">
        <f>D47</f>
        <v>0</v>
      </c>
      <c r="BN47" s="203">
        <f t="shared" ref="BN47:CA47" si="172">BM50</f>
        <v>272</v>
      </c>
      <c r="BO47" s="203">
        <f t="shared" si="172"/>
        <v>309</v>
      </c>
      <c r="BP47" s="203">
        <f t="shared" si="172"/>
        <v>213</v>
      </c>
      <c r="BQ47" s="203">
        <f t="shared" si="172"/>
        <v>472</v>
      </c>
      <c r="BR47" s="203">
        <f t="shared" si="172"/>
        <v>561</v>
      </c>
      <c r="BS47" s="204">
        <f t="shared" si="172"/>
        <v>829</v>
      </c>
      <c r="BT47" s="203">
        <f t="shared" si="172"/>
        <v>1084</v>
      </c>
      <c r="BU47" s="204">
        <f t="shared" si="172"/>
        <v>985</v>
      </c>
      <c r="BV47" s="203">
        <f t="shared" si="172"/>
        <v>1604</v>
      </c>
      <c r="BW47" s="203">
        <f t="shared" si="172"/>
        <v>1822</v>
      </c>
      <c r="BX47" s="203">
        <f t="shared" si="172"/>
        <v>3097</v>
      </c>
      <c r="BY47" s="203">
        <f t="shared" si="172"/>
        <v>11204</v>
      </c>
      <c r="BZ47" s="203">
        <f t="shared" si="172"/>
        <v>11265.97697017292</v>
      </c>
      <c r="CA47" s="205">
        <f t="shared" si="172"/>
        <v>16122.165717781805</v>
      </c>
      <c r="CB47" s="19"/>
      <c r="CC47" s="204">
        <f>E47</f>
        <v>169</v>
      </c>
      <c r="CD47" s="203">
        <f t="shared" ref="CD47:CJ47" si="173">CC50</f>
        <v>240</v>
      </c>
      <c r="CE47" s="203">
        <f t="shared" si="173"/>
        <v>61</v>
      </c>
      <c r="CF47" s="203">
        <f t="shared" si="173"/>
        <v>195</v>
      </c>
      <c r="CG47" s="203">
        <f t="shared" si="173"/>
        <v>144</v>
      </c>
      <c r="CH47" s="203">
        <f t="shared" si="173"/>
        <v>363</v>
      </c>
      <c r="CI47" s="203">
        <f t="shared" si="173"/>
        <v>819</v>
      </c>
      <c r="CJ47" s="203">
        <f t="shared" si="173"/>
        <v>1151</v>
      </c>
      <c r="CK47" s="203">
        <f t="shared" ref="CK47:CP47" si="174">CJ50</f>
        <v>1112</v>
      </c>
      <c r="CL47" s="203">
        <f t="shared" si="174"/>
        <v>2569</v>
      </c>
      <c r="CM47" s="203">
        <f t="shared" si="174"/>
        <v>2169</v>
      </c>
      <c r="CN47" s="203">
        <f t="shared" si="174"/>
        <v>3536</v>
      </c>
      <c r="CO47" s="203">
        <f t="shared" si="174"/>
        <v>7076</v>
      </c>
      <c r="CP47" s="205">
        <f t="shared" si="174"/>
        <v>12680.111689689507</v>
      </c>
      <c r="CQ47" s="7"/>
    </row>
    <row r="48" spans="1:95" ht="14.25" customHeight="1">
      <c r="A48" s="7"/>
      <c r="B48" s="43" t="str">
        <f t="shared" si="149"/>
        <v>Change in cash flow due to restatement</v>
      </c>
      <c r="C48" s="44"/>
      <c r="D48" s="208"/>
      <c r="E48" s="206"/>
      <c r="F48" s="206"/>
      <c r="G48" s="206"/>
      <c r="H48" s="208"/>
      <c r="I48" s="206"/>
      <c r="J48" s="206"/>
      <c r="K48" s="206"/>
      <c r="L48" s="208"/>
      <c r="M48" s="206"/>
      <c r="N48" s="206"/>
      <c r="O48" s="206"/>
      <c r="P48" s="208"/>
      <c r="Q48" s="206"/>
      <c r="R48" s="206"/>
      <c r="S48" s="206"/>
      <c r="T48" s="208"/>
      <c r="U48" s="206"/>
      <c r="V48" s="206"/>
      <c r="W48" s="206"/>
      <c r="X48" s="208"/>
      <c r="Y48" s="206"/>
      <c r="Z48" s="206"/>
      <c r="AA48" s="207"/>
      <c r="AB48" s="208"/>
      <c r="AC48" s="206"/>
      <c r="AD48" s="206"/>
      <c r="AE48" s="207"/>
      <c r="AF48" s="208"/>
      <c r="AG48" s="206"/>
      <c r="AH48" s="206"/>
      <c r="AI48" s="206"/>
      <c r="AJ48" s="208"/>
      <c r="AK48" s="206"/>
      <c r="AL48" s="206">
        <v>0</v>
      </c>
      <c r="AM48" s="206">
        <v>0</v>
      </c>
      <c r="AN48" s="208"/>
      <c r="AO48" s="206"/>
      <c r="AP48" s="206">
        <v>0</v>
      </c>
      <c r="AQ48" s="207">
        <v>0</v>
      </c>
      <c r="AR48" s="208"/>
      <c r="AS48" s="206"/>
      <c r="AT48" s="206">
        <v>0</v>
      </c>
      <c r="AU48" s="207">
        <v>0</v>
      </c>
      <c r="AV48" s="208"/>
      <c r="AW48" s="206"/>
      <c r="AX48" s="206">
        <v>0</v>
      </c>
      <c r="AY48" s="207">
        <v>0</v>
      </c>
      <c r="AZ48" s="208"/>
      <c r="BA48" s="206"/>
      <c r="BB48" s="206"/>
      <c r="BC48" s="207"/>
      <c r="BD48" s="208"/>
      <c r="BE48" s="206"/>
      <c r="BF48" s="206"/>
      <c r="BG48" s="207"/>
      <c r="BH48" s="208"/>
      <c r="BI48" s="206"/>
      <c r="BJ48" s="206"/>
      <c r="BK48" s="207"/>
      <c r="BL48" s="232"/>
      <c r="BM48" s="206"/>
      <c r="BN48" s="206"/>
      <c r="BO48" s="206"/>
      <c r="BP48" s="206"/>
      <c r="BQ48" s="206"/>
      <c r="BR48" s="206"/>
      <c r="BS48" s="208"/>
      <c r="BT48" s="189">
        <f>SUM(AF48:AI48)</f>
        <v>0</v>
      </c>
      <c r="BU48" s="191">
        <f>SUM(AJ48:AM48)</f>
        <v>0</v>
      </c>
      <c r="BV48" s="189">
        <f>SUM(AN48:AQ48)</f>
        <v>0</v>
      </c>
      <c r="BW48" s="189">
        <f>SUM(AR48:AU48)</f>
        <v>0</v>
      </c>
      <c r="BX48" s="189">
        <f>SUM(AV48:AY48)</f>
        <v>0</v>
      </c>
      <c r="BY48" s="189">
        <f t="shared" ref="BY48:BY49" si="175">SUM(AZ48:BC48)</f>
        <v>0</v>
      </c>
      <c r="BZ48" s="189">
        <f>SUM(BD48:BG48)</f>
        <v>0</v>
      </c>
      <c r="CA48" s="190">
        <f>SUM(BH48:BK48)</f>
        <v>0</v>
      </c>
      <c r="CB48" s="19"/>
      <c r="CC48" s="208"/>
      <c r="CD48" s="206"/>
      <c r="CE48" s="206"/>
      <c r="CF48" s="206"/>
      <c r="CG48" s="206"/>
      <c r="CH48" s="206"/>
      <c r="CI48" s="189">
        <f>SUM(AC48:AF48)</f>
        <v>0</v>
      </c>
      <c r="CJ48" s="189">
        <f>SUM(AG48:AJ48)</f>
        <v>0</v>
      </c>
      <c r="CK48" s="189">
        <f>SUM(AK48:AN48)</f>
        <v>0</v>
      </c>
      <c r="CL48" s="189">
        <f>SUM(AO48:AR48)</f>
        <v>0</v>
      </c>
      <c r="CM48" s="189">
        <f>SUM(AS48:AV48)</f>
        <v>0</v>
      </c>
      <c r="CN48" s="189">
        <f>SUM(AW48:AZ48)</f>
        <v>0</v>
      </c>
      <c r="CO48" s="189">
        <f>SUM(BA48:BD48)</f>
        <v>0</v>
      </c>
      <c r="CP48" s="190">
        <f>SUM(BE48:BH48)</f>
        <v>0</v>
      </c>
      <c r="CQ48" s="7"/>
    </row>
    <row r="49" spans="1:101" ht="14.25" customHeight="1">
      <c r="A49" s="7"/>
      <c r="B49" s="200" t="str">
        <f t="shared" si="149"/>
        <v>Net increase (decrease) in cash and cash equivalents</v>
      </c>
      <c r="C49" s="201"/>
      <c r="D49" s="204">
        <f t="shared" ref="D49:AJ49" si="176">D43+D33+D25+D45</f>
        <v>169</v>
      </c>
      <c r="E49" s="203">
        <f t="shared" si="176"/>
        <v>41</v>
      </c>
      <c r="F49" s="203">
        <f t="shared" si="176"/>
        <v>-10</v>
      </c>
      <c r="G49" s="203">
        <f t="shared" si="176"/>
        <v>72</v>
      </c>
      <c r="H49" s="204">
        <f t="shared" si="176"/>
        <v>-32</v>
      </c>
      <c r="I49" s="203">
        <f t="shared" si="176"/>
        <v>-40</v>
      </c>
      <c r="J49" s="203">
        <f t="shared" si="176"/>
        <v>13</v>
      </c>
      <c r="K49" s="203">
        <f t="shared" si="176"/>
        <v>96</v>
      </c>
      <c r="L49" s="204">
        <f t="shared" si="176"/>
        <v>-248</v>
      </c>
      <c r="M49" s="203">
        <f t="shared" si="176"/>
        <v>22</v>
      </c>
      <c r="N49" s="203">
        <f t="shared" si="176"/>
        <v>65</v>
      </c>
      <c r="O49" s="203">
        <f t="shared" si="176"/>
        <v>65</v>
      </c>
      <c r="P49" s="204">
        <f t="shared" si="176"/>
        <v>-18</v>
      </c>
      <c r="Q49" s="203">
        <f t="shared" si="176"/>
        <v>46</v>
      </c>
      <c r="R49" s="203">
        <f t="shared" si="176"/>
        <v>13</v>
      </c>
      <c r="S49" s="203">
        <f t="shared" si="176"/>
        <v>218</v>
      </c>
      <c r="T49" s="204">
        <f t="shared" si="176"/>
        <v>-328</v>
      </c>
      <c r="U49" s="203">
        <f t="shared" si="176"/>
        <v>112</v>
      </c>
      <c r="V49" s="203">
        <f t="shared" si="176"/>
        <v>111</v>
      </c>
      <c r="W49" s="203">
        <f t="shared" si="176"/>
        <v>194</v>
      </c>
      <c r="X49" s="204">
        <f t="shared" si="176"/>
        <v>-198</v>
      </c>
      <c r="Y49" s="203">
        <f t="shared" si="176"/>
        <v>233</v>
      </c>
      <c r="Z49" s="203">
        <f t="shared" si="176"/>
        <v>108</v>
      </c>
      <c r="AA49" s="205">
        <f t="shared" si="176"/>
        <v>125</v>
      </c>
      <c r="AB49" s="204">
        <f t="shared" si="176"/>
        <v>-10</v>
      </c>
      <c r="AC49" s="203">
        <f t="shared" si="176"/>
        <v>135</v>
      </c>
      <c r="AD49" s="203">
        <f t="shared" si="176"/>
        <v>19</v>
      </c>
      <c r="AE49" s="205">
        <f t="shared" si="176"/>
        <v>111</v>
      </c>
      <c r="AF49" s="204">
        <f t="shared" si="176"/>
        <v>67</v>
      </c>
      <c r="AG49" s="203">
        <f t="shared" si="176"/>
        <v>68</v>
      </c>
      <c r="AH49" s="203">
        <f t="shared" si="176"/>
        <v>-356</v>
      </c>
      <c r="AI49" s="203">
        <f t="shared" si="176"/>
        <v>122</v>
      </c>
      <c r="AJ49" s="204">
        <f t="shared" si="176"/>
        <v>127</v>
      </c>
      <c r="AK49" s="203">
        <f t="shared" ref="AK49:AP49" si="177">AK43+AK33+AK25+AK45</f>
        <v>166</v>
      </c>
      <c r="AL49" s="203">
        <f t="shared" si="177"/>
        <v>-1</v>
      </c>
      <c r="AM49" s="203">
        <f t="shared" si="177"/>
        <v>327</v>
      </c>
      <c r="AN49" s="204">
        <f t="shared" si="177"/>
        <v>965</v>
      </c>
      <c r="AO49" s="203">
        <f t="shared" si="177"/>
        <v>-61</v>
      </c>
      <c r="AP49" s="203">
        <f t="shared" si="177"/>
        <v>-1154</v>
      </c>
      <c r="AQ49" s="205">
        <f t="shared" ref="AQ49" si="178">AQ43+AQ33+AQ25+AQ45</f>
        <v>468</v>
      </c>
      <c r="AR49" s="204">
        <f>AR43+AR33+AR25+AR45</f>
        <v>347</v>
      </c>
      <c r="AS49" s="203">
        <f t="shared" ref="AS49:AU49" si="179">AS43+AS33+AS25+AS45</f>
        <v>-128</v>
      </c>
      <c r="AT49" s="203">
        <f t="shared" si="179"/>
        <v>-80</v>
      </c>
      <c r="AU49" s="205">
        <f t="shared" si="179"/>
        <v>1136</v>
      </c>
      <c r="AV49" s="204">
        <f>AV43+AV33+AV25+AV45</f>
        <v>439</v>
      </c>
      <c r="AW49" s="203">
        <f>AW43+AW33+AW25+AW45</f>
        <v>718</v>
      </c>
      <c r="AX49" s="203">
        <f t="shared" ref="AX49:AY49" si="180">AX43+AX33+AX25+AX45</f>
        <v>995</v>
      </c>
      <c r="AY49" s="205">
        <f t="shared" si="180"/>
        <v>5955</v>
      </c>
      <c r="AZ49" s="204">
        <f>AZ43+AZ33+AZ25+AZ45</f>
        <v>-4128</v>
      </c>
      <c r="BA49" s="203">
        <f t="shared" ref="BA49:BC49" si="181">BA43+BA33+BA25+BA45</f>
        <v>1417.9292086354442</v>
      </c>
      <c r="BB49" s="203">
        <f t="shared" si="181"/>
        <v>1338.7429464807476</v>
      </c>
      <c r="BC49" s="205">
        <f t="shared" si="181"/>
        <v>1433.3048150567274</v>
      </c>
      <c r="BD49" s="204">
        <f t="shared" ref="BD49:BG49" si="182">BD43+BD33+BD25+BD45</f>
        <v>1414.1347195165877</v>
      </c>
      <c r="BE49" s="203">
        <f t="shared" si="182"/>
        <v>1176.7673239291864</v>
      </c>
      <c r="BF49" s="203">
        <f t="shared" si="182"/>
        <v>1066.649153012989</v>
      </c>
      <c r="BG49" s="205">
        <f t="shared" si="182"/>
        <v>1198.6375511501215</v>
      </c>
      <c r="BH49" s="204">
        <f t="shared" ref="BH49:BK49" si="183">BH43+BH33+BH25+BH45</f>
        <v>1555.918704723477</v>
      </c>
      <c r="BI49" s="203">
        <f t="shared" si="183"/>
        <v>1398.4333732778186</v>
      </c>
      <c r="BJ49" s="203">
        <f t="shared" si="183"/>
        <v>1248.7138409615466</v>
      </c>
      <c r="BK49" s="205">
        <f t="shared" si="183"/>
        <v>1344.6307772586097</v>
      </c>
      <c r="BL49" s="232"/>
      <c r="BM49" s="203">
        <f>SUM(D49:G49)</f>
        <v>272</v>
      </c>
      <c r="BN49" s="203">
        <f>SUM(H49:K49)</f>
        <v>37</v>
      </c>
      <c r="BO49" s="203">
        <f>SUM(L49:O49)</f>
        <v>-96</v>
      </c>
      <c r="BP49" s="203">
        <f>SUM(P49:S49)</f>
        <v>259</v>
      </c>
      <c r="BQ49" s="203">
        <f>SUM(T49:W49)</f>
        <v>89</v>
      </c>
      <c r="BR49" s="203">
        <f>SUM(X49:AA49)</f>
        <v>268</v>
      </c>
      <c r="BS49" s="204">
        <f>SUM(AB49:AE49)</f>
        <v>255</v>
      </c>
      <c r="BT49" s="203">
        <f>SUM(AF49:AI49)</f>
        <v>-99</v>
      </c>
      <c r="BU49" s="204">
        <f>SUM(AJ49:AM49)</f>
        <v>619</v>
      </c>
      <c r="BV49" s="203">
        <f>SUM(AN49:AQ49)</f>
        <v>218</v>
      </c>
      <c r="BW49" s="203">
        <f>SUM(AR49:AU49)</f>
        <v>1275</v>
      </c>
      <c r="BX49" s="203">
        <f>SUM(AV49:AY49)</f>
        <v>8107</v>
      </c>
      <c r="BY49" s="203">
        <f t="shared" si="175"/>
        <v>61.976970172919437</v>
      </c>
      <c r="BZ49" s="203">
        <f>SUM(BD49:BG49)</f>
        <v>4856.188747608885</v>
      </c>
      <c r="CA49" s="205">
        <f>SUM(BH49:BK49)</f>
        <v>5547.6966962214519</v>
      </c>
      <c r="CB49" s="19"/>
      <c r="CC49" s="204">
        <f>SUM(E49:H49)</f>
        <v>71</v>
      </c>
      <c r="CD49" s="203">
        <f>SUM(I49:L49)</f>
        <v>-179</v>
      </c>
      <c r="CE49" s="203">
        <f>SUM(M49:P49)</f>
        <v>134</v>
      </c>
      <c r="CF49" s="203">
        <f>SUM(Q49:T49)</f>
        <v>-51</v>
      </c>
      <c r="CG49" s="203">
        <f>SUM(U49:X49)</f>
        <v>219</v>
      </c>
      <c r="CH49" s="203">
        <f>SUM(Y49:AB49)</f>
        <v>456</v>
      </c>
      <c r="CI49" s="203">
        <f>SUM(AC49:AF49)</f>
        <v>332</v>
      </c>
      <c r="CJ49" s="203">
        <f>SUM(AG49:AJ49)</f>
        <v>-39</v>
      </c>
      <c r="CK49" s="203">
        <f>SUM(AK49:AN49)</f>
        <v>1457</v>
      </c>
      <c r="CL49" s="203">
        <f>SUM(AO49:AR49)</f>
        <v>-400</v>
      </c>
      <c r="CM49" s="203">
        <f>SUM(AS49:AV49)</f>
        <v>1367</v>
      </c>
      <c r="CN49" s="203">
        <f>SUM(AW49:AZ49)</f>
        <v>3540</v>
      </c>
      <c r="CO49" s="203">
        <f>SUM(BA49:BD49)</f>
        <v>5604.1116896895073</v>
      </c>
      <c r="CP49" s="205">
        <f>SUM(BE49:BH49)</f>
        <v>4997.9727328157742</v>
      </c>
      <c r="CQ49" s="7"/>
    </row>
    <row r="50" spans="1:101" ht="14.25" customHeight="1">
      <c r="A50" s="7"/>
      <c r="B50" s="209" t="str">
        <f t="shared" si="149"/>
        <v>Cash and cash equivalents, end of period</v>
      </c>
      <c r="C50" s="210"/>
      <c r="D50" s="212">
        <f t="shared" ref="D50:T50" si="184">D49+D47+D48</f>
        <v>169</v>
      </c>
      <c r="E50" s="211">
        <f t="shared" si="184"/>
        <v>210</v>
      </c>
      <c r="F50" s="211">
        <f t="shared" si="184"/>
        <v>200</v>
      </c>
      <c r="G50" s="211">
        <f t="shared" si="184"/>
        <v>272</v>
      </c>
      <c r="H50" s="212">
        <f t="shared" si="184"/>
        <v>240</v>
      </c>
      <c r="I50" s="211">
        <f t="shared" si="184"/>
        <v>200</v>
      </c>
      <c r="J50" s="211">
        <f t="shared" si="184"/>
        <v>213</v>
      </c>
      <c r="K50" s="211">
        <f t="shared" si="184"/>
        <v>309</v>
      </c>
      <c r="L50" s="212">
        <f t="shared" si="184"/>
        <v>61</v>
      </c>
      <c r="M50" s="211">
        <f t="shared" si="184"/>
        <v>83</v>
      </c>
      <c r="N50" s="211">
        <f t="shared" si="184"/>
        <v>148</v>
      </c>
      <c r="O50" s="211">
        <f t="shared" si="184"/>
        <v>213</v>
      </c>
      <c r="P50" s="212">
        <f t="shared" si="184"/>
        <v>195</v>
      </c>
      <c r="Q50" s="211">
        <f t="shared" si="184"/>
        <v>241</v>
      </c>
      <c r="R50" s="211">
        <f t="shared" si="184"/>
        <v>254</v>
      </c>
      <c r="S50" s="211">
        <f t="shared" si="184"/>
        <v>472</v>
      </c>
      <c r="T50" s="212">
        <f t="shared" si="184"/>
        <v>144</v>
      </c>
      <c r="U50" s="211">
        <f t="shared" ref="U50:AK50" si="185">U49+U47+U48</f>
        <v>256</v>
      </c>
      <c r="V50" s="211">
        <f t="shared" si="185"/>
        <v>367</v>
      </c>
      <c r="W50" s="211">
        <f t="shared" si="185"/>
        <v>561</v>
      </c>
      <c r="X50" s="212">
        <f t="shared" si="185"/>
        <v>363</v>
      </c>
      <c r="Y50" s="211">
        <f t="shared" si="185"/>
        <v>596</v>
      </c>
      <c r="Z50" s="211">
        <f t="shared" si="185"/>
        <v>704</v>
      </c>
      <c r="AA50" s="213">
        <f t="shared" si="185"/>
        <v>829</v>
      </c>
      <c r="AB50" s="212">
        <f t="shared" si="185"/>
        <v>819</v>
      </c>
      <c r="AC50" s="211">
        <f t="shared" si="185"/>
        <v>954</v>
      </c>
      <c r="AD50" s="211">
        <f t="shared" si="185"/>
        <v>973</v>
      </c>
      <c r="AE50" s="213">
        <f t="shared" si="185"/>
        <v>1084</v>
      </c>
      <c r="AF50" s="212">
        <f t="shared" si="185"/>
        <v>1151</v>
      </c>
      <c r="AG50" s="211">
        <f t="shared" si="185"/>
        <v>1219</v>
      </c>
      <c r="AH50" s="211">
        <f t="shared" si="185"/>
        <v>863</v>
      </c>
      <c r="AI50" s="211">
        <f t="shared" si="185"/>
        <v>985</v>
      </c>
      <c r="AJ50" s="212">
        <f t="shared" si="185"/>
        <v>1112</v>
      </c>
      <c r="AK50" s="211">
        <f t="shared" si="185"/>
        <v>1278</v>
      </c>
      <c r="AL50" s="211">
        <f>AL49+AL47+AL48</f>
        <v>1277</v>
      </c>
      <c r="AM50" s="211">
        <f>AM49+AM47+AM48</f>
        <v>1604</v>
      </c>
      <c r="AN50" s="212">
        <f>AN49+AN47+AN48</f>
        <v>2569</v>
      </c>
      <c r="AO50" s="211">
        <f t="shared" ref="AO50" si="186">AO49+AO47+AO48</f>
        <v>2508</v>
      </c>
      <c r="AP50" s="211">
        <f>AP49+AP47+AP48</f>
        <v>1354</v>
      </c>
      <c r="AQ50" s="213">
        <f>AQ49+AQ47+AQ48</f>
        <v>1822</v>
      </c>
      <c r="AR50" s="212">
        <f>AR49+AR47+AR48</f>
        <v>2169</v>
      </c>
      <c r="AS50" s="211">
        <f t="shared" ref="AS50" si="187">AS49+AS47+AS48</f>
        <v>2041</v>
      </c>
      <c r="AT50" s="211">
        <f t="shared" ref="AT50:AY50" si="188">AT49+AT47+AT48</f>
        <v>1961</v>
      </c>
      <c r="AU50" s="213">
        <f t="shared" si="188"/>
        <v>3097</v>
      </c>
      <c r="AV50" s="212">
        <f t="shared" si="188"/>
        <v>3536</v>
      </c>
      <c r="AW50" s="211">
        <f t="shared" si="188"/>
        <v>4254</v>
      </c>
      <c r="AX50" s="211">
        <f t="shared" si="188"/>
        <v>5249</v>
      </c>
      <c r="AY50" s="213">
        <f t="shared" si="188"/>
        <v>11204</v>
      </c>
      <c r="AZ50" s="212">
        <f t="shared" ref="AZ50" si="189">AZ49+AZ47+AZ48</f>
        <v>7076</v>
      </c>
      <c r="BA50" s="211">
        <f t="shared" ref="BA50:BC50" si="190">BA49+BA47+BA48</f>
        <v>8493.9292086354435</v>
      </c>
      <c r="BB50" s="211">
        <f t="shared" si="190"/>
        <v>9832.6721551161918</v>
      </c>
      <c r="BC50" s="213">
        <f t="shared" si="190"/>
        <v>11265.97697017292</v>
      </c>
      <c r="BD50" s="212">
        <f t="shared" ref="BD50:BG50" si="191">BD49+BD47+BD48</f>
        <v>12680.111689689507</v>
      </c>
      <c r="BE50" s="211">
        <f t="shared" si="191"/>
        <v>13856.879013618694</v>
      </c>
      <c r="BF50" s="211">
        <f t="shared" si="191"/>
        <v>14923.528166631684</v>
      </c>
      <c r="BG50" s="213">
        <f t="shared" si="191"/>
        <v>16122.165717781805</v>
      </c>
      <c r="BH50" s="212">
        <f t="shared" ref="BH50:BK50" si="192">BH49+BH47+BH48</f>
        <v>17678.084422505282</v>
      </c>
      <c r="BI50" s="211">
        <f t="shared" si="192"/>
        <v>19076.5177957831</v>
      </c>
      <c r="BJ50" s="211">
        <f t="shared" si="192"/>
        <v>20325.231636744647</v>
      </c>
      <c r="BK50" s="213">
        <f t="shared" si="192"/>
        <v>21669.862414003255</v>
      </c>
      <c r="BL50" s="232"/>
      <c r="BM50" s="211">
        <f t="shared" ref="BM50:BW50" si="193">BM49+BM47+BM48</f>
        <v>272</v>
      </c>
      <c r="BN50" s="211">
        <f t="shared" si="193"/>
        <v>309</v>
      </c>
      <c r="BO50" s="211">
        <f t="shared" si="193"/>
        <v>213</v>
      </c>
      <c r="BP50" s="211">
        <f t="shared" si="193"/>
        <v>472</v>
      </c>
      <c r="BQ50" s="211">
        <f t="shared" si="193"/>
        <v>561</v>
      </c>
      <c r="BR50" s="211">
        <f t="shared" si="193"/>
        <v>829</v>
      </c>
      <c r="BS50" s="212">
        <f t="shared" si="193"/>
        <v>1084</v>
      </c>
      <c r="BT50" s="211">
        <f t="shared" si="193"/>
        <v>985</v>
      </c>
      <c r="BU50" s="212">
        <f>BU49+BU47+BU48</f>
        <v>1604</v>
      </c>
      <c r="BV50" s="211">
        <f t="shared" si="193"/>
        <v>1822</v>
      </c>
      <c r="BW50" s="211">
        <f t="shared" si="193"/>
        <v>3097</v>
      </c>
      <c r="BX50" s="211">
        <f>BX49+BX47+BX48</f>
        <v>11204</v>
      </c>
      <c r="BY50" s="211">
        <f>BY49+BY47+BY48</f>
        <v>11265.97697017292</v>
      </c>
      <c r="BZ50" s="211">
        <f>BZ49+BZ47+BZ48</f>
        <v>16122.165717781805</v>
      </c>
      <c r="CA50" s="213">
        <f>CA49+CA47+CA48</f>
        <v>21669.862414003255</v>
      </c>
      <c r="CB50" s="19"/>
      <c r="CC50" s="212">
        <f t="shared" ref="CC50:CJ50" si="194">CC49+CC47+CC48</f>
        <v>240</v>
      </c>
      <c r="CD50" s="211">
        <f t="shared" si="194"/>
        <v>61</v>
      </c>
      <c r="CE50" s="211">
        <f t="shared" si="194"/>
        <v>195</v>
      </c>
      <c r="CF50" s="211">
        <f t="shared" si="194"/>
        <v>144</v>
      </c>
      <c r="CG50" s="211">
        <f t="shared" si="194"/>
        <v>363</v>
      </c>
      <c r="CH50" s="211">
        <f t="shared" si="194"/>
        <v>819</v>
      </c>
      <c r="CI50" s="211">
        <f t="shared" si="194"/>
        <v>1151</v>
      </c>
      <c r="CJ50" s="211">
        <f t="shared" si="194"/>
        <v>1112</v>
      </c>
      <c r="CK50" s="211">
        <f t="shared" ref="CK50:CP50" si="195">CK49+CK47+CK48</f>
        <v>2569</v>
      </c>
      <c r="CL50" s="211">
        <f t="shared" si="195"/>
        <v>2169</v>
      </c>
      <c r="CM50" s="211">
        <f t="shared" si="195"/>
        <v>3536</v>
      </c>
      <c r="CN50" s="211">
        <f t="shared" si="195"/>
        <v>7076</v>
      </c>
      <c r="CO50" s="211">
        <f t="shared" si="195"/>
        <v>12680.111689689507</v>
      </c>
      <c r="CP50" s="213">
        <f t="shared" si="195"/>
        <v>17678.084422505282</v>
      </c>
      <c r="CQ50" s="7"/>
    </row>
    <row r="51" spans="1:101" ht="14.25" customHeight="1">
      <c r="A51" s="7"/>
      <c r="B51" s="214"/>
      <c r="C51" s="214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5"/>
      <c r="AR51" s="203"/>
      <c r="AS51" s="203"/>
      <c r="AT51" s="203"/>
      <c r="AU51" s="205"/>
      <c r="AV51" s="203"/>
      <c r="AW51" s="203"/>
      <c r="AX51" s="203"/>
      <c r="AY51" s="205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13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7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7"/>
    </row>
    <row r="52" spans="1:101" ht="14.25" customHeight="1">
      <c r="A52" s="7"/>
      <c r="B52" s="67" t="str">
        <f t="shared" si="149"/>
        <v>vs. Balance Sheet</v>
      </c>
      <c r="C52" s="216"/>
      <c r="D52" s="164">
        <f>'BS '!D9</f>
        <v>169</v>
      </c>
      <c r="E52" s="162">
        <f>'BS '!E9</f>
        <v>210</v>
      </c>
      <c r="F52" s="162">
        <f>'BS '!F9</f>
        <v>200</v>
      </c>
      <c r="G52" s="165">
        <f>'BS '!G9</f>
        <v>272</v>
      </c>
      <c r="H52" s="162">
        <f>'BS '!H9</f>
        <v>240</v>
      </c>
      <c r="I52" s="162">
        <f>'BS '!I9</f>
        <v>200</v>
      </c>
      <c r="J52" s="162">
        <f>'BS '!J9</f>
        <v>213</v>
      </c>
      <c r="K52" s="165">
        <f>'BS '!K9</f>
        <v>309</v>
      </c>
      <c r="L52" s="162">
        <f>'BS '!L9</f>
        <v>61</v>
      </c>
      <c r="M52" s="162">
        <f>'BS '!M9</f>
        <v>83</v>
      </c>
      <c r="N52" s="162">
        <f>'BS '!N9</f>
        <v>148</v>
      </c>
      <c r="O52" s="165">
        <f>'BS '!O9</f>
        <v>213</v>
      </c>
      <c r="P52" s="162">
        <f>'BS '!P9</f>
        <v>195</v>
      </c>
      <c r="Q52" s="162">
        <f>'BS '!Q9</f>
        <v>241</v>
      </c>
      <c r="R52" s="162">
        <f>'BS '!R9</f>
        <v>254</v>
      </c>
      <c r="S52" s="165">
        <f>'BS '!S9</f>
        <v>472</v>
      </c>
      <c r="T52" s="162">
        <f>'BS '!T9</f>
        <v>144</v>
      </c>
      <c r="U52" s="162">
        <f>'BS '!U9</f>
        <v>256</v>
      </c>
      <c r="V52" s="162">
        <f>'BS '!V9</f>
        <v>367</v>
      </c>
      <c r="W52" s="165">
        <f>'BS '!W9</f>
        <v>561</v>
      </c>
      <c r="X52" s="162">
        <f>'BS '!X9</f>
        <v>363</v>
      </c>
      <c r="Y52" s="162">
        <f>'BS '!Y9</f>
        <v>596</v>
      </c>
      <c r="Z52" s="162">
        <f>'BS '!Z9</f>
        <v>704</v>
      </c>
      <c r="AA52" s="163">
        <f>'BS '!AA9</f>
        <v>829</v>
      </c>
      <c r="AB52" s="162">
        <f>'BS '!AB9</f>
        <v>819</v>
      </c>
      <c r="AC52" s="162">
        <f>'BS '!AC9</f>
        <v>954</v>
      </c>
      <c r="AD52" s="162">
        <f>'BS '!AD9</f>
        <v>973</v>
      </c>
      <c r="AE52" s="163">
        <f>'BS '!AE9</f>
        <v>1084</v>
      </c>
      <c r="AF52" s="162">
        <f>'BS '!AF9</f>
        <v>1151</v>
      </c>
      <c r="AG52" s="162">
        <f>'BS '!AG9</f>
        <v>1219</v>
      </c>
      <c r="AH52" s="162">
        <f>'BS '!AH9</f>
        <v>863</v>
      </c>
      <c r="AI52" s="163">
        <f>'BS '!AI9</f>
        <v>985</v>
      </c>
      <c r="AJ52" s="162">
        <f>'BS '!AJ9</f>
        <v>1112</v>
      </c>
      <c r="AK52" s="162">
        <f>'BS '!AK9</f>
        <v>1278</v>
      </c>
      <c r="AL52" s="162">
        <f>'BS '!AL9</f>
        <v>1277</v>
      </c>
      <c r="AM52" s="163">
        <f>'BS '!AM9</f>
        <v>1604</v>
      </c>
      <c r="AN52" s="162">
        <f>'BS '!AN9</f>
        <v>2569</v>
      </c>
      <c r="AO52" s="162">
        <f>'BS '!AO9</f>
        <v>2508</v>
      </c>
      <c r="AP52" s="162">
        <f>'BS '!AP9</f>
        <v>1354</v>
      </c>
      <c r="AQ52" s="163">
        <f>'BS '!AQ9</f>
        <v>1822</v>
      </c>
      <c r="AR52" s="1020">
        <f>'BS '!AR9</f>
        <v>2169</v>
      </c>
      <c r="AS52" s="1020">
        <f>'BS '!AS9</f>
        <v>2041</v>
      </c>
      <c r="AT52" s="1020">
        <f>'BS '!AT9</f>
        <v>1961</v>
      </c>
      <c r="AU52" s="1021">
        <f>'BS '!AU9</f>
        <v>3097</v>
      </c>
      <c r="AV52" s="1020">
        <f>'BS '!AV9</f>
        <v>3536</v>
      </c>
      <c r="AW52" s="1020">
        <f>'BS '!AW9</f>
        <v>4254</v>
      </c>
      <c r="AX52" s="1020">
        <f>'BS '!AX9</f>
        <v>5249</v>
      </c>
      <c r="AY52" s="1021">
        <f>'BS '!AY9</f>
        <v>11204</v>
      </c>
      <c r="AZ52" s="162">
        <f>'BS '!AZ9</f>
        <v>7076</v>
      </c>
      <c r="BA52" s="162">
        <f>'BS '!BA9</f>
        <v>8493.9292086354435</v>
      </c>
      <c r="BB52" s="162">
        <f>'BS '!BB9</f>
        <v>9832.6721551161918</v>
      </c>
      <c r="BC52" s="163">
        <f>'BS '!BC9</f>
        <v>11265.97697017292</v>
      </c>
      <c r="BD52" s="1020">
        <f>'BS '!BD9</f>
        <v>12680.111689689507</v>
      </c>
      <c r="BE52" s="1020">
        <f>'BS '!BE9</f>
        <v>13856.879013618694</v>
      </c>
      <c r="BF52" s="1020">
        <f>'BS '!BF9</f>
        <v>14923.528166631684</v>
      </c>
      <c r="BG52" s="1021">
        <f>'BS '!BG9</f>
        <v>16122.165717781805</v>
      </c>
      <c r="BH52" s="1020">
        <f>'BS '!BH9</f>
        <v>17678.084422505282</v>
      </c>
      <c r="BI52" s="1020">
        <f>'BS '!BI9</f>
        <v>19076.5177957831</v>
      </c>
      <c r="BJ52" s="1020">
        <f>'BS '!BJ9</f>
        <v>20325.231636744647</v>
      </c>
      <c r="BK52" s="1021">
        <f>'BS '!BK9</f>
        <v>21669.862414003255</v>
      </c>
      <c r="BL52" s="19"/>
      <c r="BM52" s="626">
        <f>'BS '!BM9</f>
        <v>272</v>
      </c>
      <c r="BN52" s="217">
        <f>'BS '!BN9</f>
        <v>309</v>
      </c>
      <c r="BO52" s="217">
        <f>'BS '!BO9</f>
        <v>213</v>
      </c>
      <c r="BP52" s="217">
        <f>'BS '!BP9</f>
        <v>472</v>
      </c>
      <c r="BQ52" s="217">
        <f>'BS '!BQ9</f>
        <v>561</v>
      </c>
      <c r="BR52" s="163">
        <f>'BS '!BR9</f>
        <v>829</v>
      </c>
      <c r="BS52" s="217">
        <f>'BS '!BS9</f>
        <v>1084</v>
      </c>
      <c r="BT52" s="217">
        <f>'BS '!BT9</f>
        <v>985</v>
      </c>
      <c r="BU52" s="217">
        <f>'BS '!BU9</f>
        <v>1604</v>
      </c>
      <c r="BV52" s="217">
        <f>'BS '!BV9</f>
        <v>1822</v>
      </c>
      <c r="BW52" s="217">
        <f>'BS '!BW9</f>
        <v>3097</v>
      </c>
      <c r="BX52" s="217">
        <f>'BS '!BX9</f>
        <v>11204</v>
      </c>
      <c r="BY52" s="1022">
        <f>'BS '!BY9</f>
        <v>11265.97697017292</v>
      </c>
      <c r="BZ52" s="1022">
        <f>'BS '!BZ9</f>
        <v>16122.165717781805</v>
      </c>
      <c r="CA52" s="1021">
        <f>'BS '!CA9</f>
        <v>21669.862414003255</v>
      </c>
      <c r="CB52" s="19"/>
      <c r="CC52" s="626">
        <f>'BS '!CC9</f>
        <v>240</v>
      </c>
      <c r="CD52" s="217">
        <f>'BS '!CD9</f>
        <v>61</v>
      </c>
      <c r="CE52" s="217">
        <f>'BS '!CE9</f>
        <v>195</v>
      </c>
      <c r="CF52" s="217">
        <f>'BS '!CF9</f>
        <v>144</v>
      </c>
      <c r="CG52" s="217">
        <f>'BS '!CG9</f>
        <v>363</v>
      </c>
      <c r="CH52" s="217">
        <f>'BS '!CH9</f>
        <v>819</v>
      </c>
      <c r="CI52" s="217">
        <f>'BS '!CI9</f>
        <v>1151</v>
      </c>
      <c r="CJ52" s="217">
        <f>'BS '!CJ9</f>
        <v>1112</v>
      </c>
      <c r="CK52" s="217">
        <f>'BS '!CK9</f>
        <v>2569</v>
      </c>
      <c r="CL52" s="217">
        <f>'BS '!CL9</f>
        <v>2169</v>
      </c>
      <c r="CM52" s="1022">
        <f>'BS '!CM9</f>
        <v>3536</v>
      </c>
      <c r="CN52" s="1022">
        <f>'BS '!CN9</f>
        <v>7076</v>
      </c>
      <c r="CO52" s="1022">
        <f>'BS '!CO9</f>
        <v>12680.111689689507</v>
      </c>
      <c r="CP52" s="1021">
        <f>'BS '!CP9</f>
        <v>17678.084422505282</v>
      </c>
      <c r="CQ52" s="7"/>
    </row>
    <row r="53" spans="1:101" ht="14.25" customHeight="1">
      <c r="A53" s="7"/>
      <c r="B53" s="136" t="str">
        <f t="shared" si="149"/>
        <v>Check</v>
      </c>
      <c r="C53" s="137"/>
      <c r="D53" s="140">
        <f t="shared" ref="D53:V53" si="196">IF(ROUND(D52,4)=ROUND(D50,4),0,(D52-D50))</f>
        <v>0</v>
      </c>
      <c r="E53" s="138">
        <f t="shared" si="196"/>
        <v>0</v>
      </c>
      <c r="F53" s="167">
        <f t="shared" si="196"/>
        <v>0</v>
      </c>
      <c r="G53" s="139">
        <f t="shared" si="196"/>
        <v>0</v>
      </c>
      <c r="H53" s="138">
        <f t="shared" si="196"/>
        <v>0</v>
      </c>
      <c r="I53" s="138">
        <f t="shared" si="196"/>
        <v>0</v>
      </c>
      <c r="J53" s="167">
        <f t="shared" si="196"/>
        <v>0</v>
      </c>
      <c r="K53" s="139">
        <f t="shared" si="196"/>
        <v>0</v>
      </c>
      <c r="L53" s="138">
        <f t="shared" si="196"/>
        <v>0</v>
      </c>
      <c r="M53" s="138">
        <f t="shared" si="196"/>
        <v>0</v>
      </c>
      <c r="N53" s="167">
        <f t="shared" si="196"/>
        <v>0</v>
      </c>
      <c r="O53" s="139">
        <f t="shared" si="196"/>
        <v>0</v>
      </c>
      <c r="P53" s="138">
        <f t="shared" si="196"/>
        <v>0</v>
      </c>
      <c r="Q53" s="138">
        <f t="shared" si="196"/>
        <v>0</v>
      </c>
      <c r="R53" s="167">
        <f t="shared" si="196"/>
        <v>0</v>
      </c>
      <c r="S53" s="139">
        <f t="shared" si="196"/>
        <v>0</v>
      </c>
      <c r="T53" s="138">
        <f t="shared" si="196"/>
        <v>0</v>
      </c>
      <c r="U53" s="138">
        <f t="shared" si="196"/>
        <v>0</v>
      </c>
      <c r="V53" s="167">
        <f t="shared" si="196"/>
        <v>0</v>
      </c>
      <c r="W53" s="139">
        <f>IF(ROUND(W52,4)=ROUND(W50,4),0,(W52-W50))</f>
        <v>0</v>
      </c>
      <c r="X53" s="138">
        <f>IF(ROUND(X52,4)=ROUND(X50,4),0,(X52-X50))</f>
        <v>0</v>
      </c>
      <c r="Y53" s="138">
        <f t="shared" ref="Y53:AM53" si="197">IF(ROUND(Y52,4)=ROUND(Y50,4),0,(Y52-Y50))</f>
        <v>0</v>
      </c>
      <c r="Z53" s="138">
        <f t="shared" si="197"/>
        <v>0</v>
      </c>
      <c r="AA53" s="139">
        <f t="shared" si="197"/>
        <v>0</v>
      </c>
      <c r="AB53" s="140">
        <f>IF(ROUND(AB52,4)=ROUND(AB50,4),0,(AB52-AB50))</f>
        <v>0</v>
      </c>
      <c r="AC53" s="138">
        <f t="shared" si="197"/>
        <v>0</v>
      </c>
      <c r="AD53" s="138">
        <f t="shared" si="197"/>
        <v>0</v>
      </c>
      <c r="AE53" s="139">
        <f t="shared" si="197"/>
        <v>0</v>
      </c>
      <c r="AF53" s="140">
        <f>IF(ROUND(AF52,4)=ROUND(AF50,4),0,(AF52-AF50))</f>
        <v>0</v>
      </c>
      <c r="AG53" s="138">
        <f t="shared" si="197"/>
        <v>0</v>
      </c>
      <c r="AH53" s="138">
        <f t="shared" si="197"/>
        <v>0</v>
      </c>
      <c r="AI53" s="139">
        <f t="shared" si="197"/>
        <v>0</v>
      </c>
      <c r="AJ53" s="140">
        <f>IF(ROUND(AJ52,4)=ROUND(AJ50,4),0,(AJ52-AJ50))</f>
        <v>0</v>
      </c>
      <c r="AK53" s="138">
        <f t="shared" si="197"/>
        <v>0</v>
      </c>
      <c r="AL53" s="138">
        <f>IF(ROUND(AL52,4)=ROUND(AL50,4),0,(AL52-AL50))</f>
        <v>0</v>
      </c>
      <c r="AM53" s="139">
        <f t="shared" si="197"/>
        <v>0</v>
      </c>
      <c r="AN53" s="140">
        <f>IF(ROUND(AN52,4)=ROUND(AN50,4),0,(AN52-AN50))</f>
        <v>0</v>
      </c>
      <c r="AO53" s="138">
        <f t="shared" ref="AO53" si="198">IF(ROUND(AO52,4)=ROUND(AO50,4),0,(AO52-AO50))</f>
        <v>0</v>
      </c>
      <c r="AP53" s="138">
        <f t="shared" ref="AP53:AQ53" si="199">IF(ROUND(AP52,4)=ROUND(AP50,4),0,(AP52-AP50))</f>
        <v>0</v>
      </c>
      <c r="AQ53" s="139">
        <f t="shared" si="199"/>
        <v>0</v>
      </c>
      <c r="AR53" s="140">
        <f>IF(ROUND(AR52,4)=ROUND(AR50,4),0,(AR52-AR50))</f>
        <v>0</v>
      </c>
      <c r="AS53" s="138">
        <f t="shared" ref="AS53:AU53" si="200">IF(ROUND(AS52,4)=ROUND(AS50,4),0,(AS52-AS50))</f>
        <v>0</v>
      </c>
      <c r="AT53" s="138">
        <f t="shared" si="200"/>
        <v>0</v>
      </c>
      <c r="AU53" s="139">
        <f t="shared" si="200"/>
        <v>0</v>
      </c>
      <c r="AV53" s="140">
        <f>IF(ROUND(AV52,4)=ROUND(AV50,4),0,(AV52-AV50))</f>
        <v>0</v>
      </c>
      <c r="AW53" s="138">
        <f>IF(ROUND(AW52,4)=ROUND(AW50,4),0,(AW52-AW50))</f>
        <v>0</v>
      </c>
      <c r="AX53" s="138">
        <f t="shared" ref="AX53" si="201">IF(ROUND(AX52,4)=ROUND(AX50,4),0,(AX52-AX50))</f>
        <v>0</v>
      </c>
      <c r="AY53" s="139">
        <f t="shared" ref="AY53:BC53" si="202">IF(ROUND(AY52,4)=ROUND(AY50,4),0,(AY52-AY50))</f>
        <v>0</v>
      </c>
      <c r="AZ53" s="140">
        <f t="shared" si="202"/>
        <v>0</v>
      </c>
      <c r="BA53" s="138">
        <f t="shared" si="202"/>
        <v>0</v>
      </c>
      <c r="BB53" s="138">
        <f t="shared" si="202"/>
        <v>0</v>
      </c>
      <c r="BC53" s="139">
        <f t="shared" si="202"/>
        <v>0</v>
      </c>
      <c r="BD53" s="140">
        <f t="shared" ref="BD53:BG53" si="203">IF(ROUND(BD52,4)=ROUND(BD50,4),0,(BD52-BD50))</f>
        <v>0</v>
      </c>
      <c r="BE53" s="138">
        <f t="shared" si="203"/>
        <v>0</v>
      </c>
      <c r="BF53" s="138">
        <f t="shared" si="203"/>
        <v>0</v>
      </c>
      <c r="BG53" s="139">
        <f t="shared" si="203"/>
        <v>0</v>
      </c>
      <c r="BH53" s="140">
        <f t="shared" ref="BH53:BK53" si="204">IF(ROUND(BH52,4)=ROUND(BH50,4),0,(BH52-BH50))</f>
        <v>0</v>
      </c>
      <c r="BI53" s="138">
        <f t="shared" si="204"/>
        <v>0</v>
      </c>
      <c r="BJ53" s="138">
        <f t="shared" si="204"/>
        <v>0</v>
      </c>
      <c r="BK53" s="139">
        <f t="shared" si="204"/>
        <v>0</v>
      </c>
      <c r="BL53" s="19"/>
      <c r="BM53" s="627">
        <f>IF(ROUND(BM52,4)=ROUND(BM50,4),0,(BM52-BM50))</f>
        <v>0</v>
      </c>
      <c r="BN53" s="218">
        <f>IF(ROUND(BN52,4)=ROUND(BN50,4),0,(BN52-BN50))</f>
        <v>0</v>
      </c>
      <c r="BO53" s="218">
        <f>IF(ROUND(BO52,4)=ROUND(BO50,4),0,(BO52-BO50))</f>
        <v>0</v>
      </c>
      <c r="BP53" s="218">
        <f t="shared" ref="BP53:BW53" si="205">IF(ROUND(BP52,4)=ROUND(BP50,4),0,(BP52-BP50))</f>
        <v>0</v>
      </c>
      <c r="BQ53" s="218">
        <f t="shared" si="205"/>
        <v>0</v>
      </c>
      <c r="BR53" s="219">
        <f t="shared" si="205"/>
        <v>0</v>
      </c>
      <c r="BS53" s="218">
        <f t="shared" si="205"/>
        <v>0</v>
      </c>
      <c r="BT53" s="218">
        <f t="shared" si="205"/>
        <v>0</v>
      </c>
      <c r="BU53" s="218">
        <f t="shared" si="205"/>
        <v>0</v>
      </c>
      <c r="BV53" s="218">
        <f t="shared" si="205"/>
        <v>0</v>
      </c>
      <c r="BW53" s="218">
        <f t="shared" si="205"/>
        <v>0</v>
      </c>
      <c r="BX53" s="218">
        <f>IF(ROUND(BX52,4)=ROUND(BX50,4),0,(BX52-BX50))</f>
        <v>0</v>
      </c>
      <c r="BY53" s="218">
        <f>IF(ROUND(BY52,4)=ROUND(BY50,4),0,(BY52-BY50))</f>
        <v>0</v>
      </c>
      <c r="BZ53" s="218">
        <f>IF(ROUND(BZ52,4)=ROUND(BZ50,4),0,(BZ52-BZ50))</f>
        <v>0</v>
      </c>
      <c r="CA53" s="219">
        <f>IF(ROUND(CA52,4)=ROUND(CA50,4),0,(CA52-CA50))</f>
        <v>0</v>
      </c>
      <c r="CB53" s="19"/>
      <c r="CC53" s="627">
        <f t="shared" ref="CC53:CJ53" si="206">IF(ROUND(CC52,4)=ROUND(CC50,4),0,(CC52-CC50))</f>
        <v>0</v>
      </c>
      <c r="CD53" s="218">
        <f t="shared" si="206"/>
        <v>0</v>
      </c>
      <c r="CE53" s="218">
        <f t="shared" si="206"/>
        <v>0</v>
      </c>
      <c r="CF53" s="218">
        <f t="shared" si="206"/>
        <v>0</v>
      </c>
      <c r="CG53" s="218">
        <f t="shared" si="206"/>
        <v>0</v>
      </c>
      <c r="CH53" s="218">
        <f t="shared" si="206"/>
        <v>0</v>
      </c>
      <c r="CI53" s="218">
        <f t="shared" si="206"/>
        <v>0</v>
      </c>
      <c r="CJ53" s="218">
        <f t="shared" si="206"/>
        <v>0</v>
      </c>
      <c r="CK53" s="218">
        <f t="shared" ref="CK53:CP53" si="207">IF(ROUND(CK52,4)=ROUND(CK50,4),0,(CK52-CK50))</f>
        <v>0</v>
      </c>
      <c r="CL53" s="218">
        <f t="shared" si="207"/>
        <v>0</v>
      </c>
      <c r="CM53" s="218">
        <f t="shared" si="207"/>
        <v>0</v>
      </c>
      <c r="CN53" s="218">
        <f t="shared" si="207"/>
        <v>0</v>
      </c>
      <c r="CO53" s="218">
        <f t="shared" si="207"/>
        <v>0</v>
      </c>
      <c r="CP53" s="219">
        <f t="shared" si="207"/>
        <v>0</v>
      </c>
      <c r="CQ53" s="7"/>
    </row>
    <row r="54" spans="1:101" ht="14.25" customHeight="1">
      <c r="A54" s="7"/>
      <c r="B54" s="220"/>
      <c r="C54" s="220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13"/>
      <c r="BM54" s="221"/>
      <c r="BN54" s="221"/>
      <c r="BO54" s="221"/>
      <c r="BP54" s="221"/>
      <c r="BQ54" s="221"/>
      <c r="BR54" s="221"/>
      <c r="BS54" s="221"/>
      <c r="BT54" s="221"/>
      <c r="BU54" s="221"/>
      <c r="BV54" s="221"/>
      <c r="BW54" s="221"/>
      <c r="BX54" s="221"/>
      <c r="BY54" s="221"/>
      <c r="BZ54" s="221"/>
      <c r="CA54" s="221"/>
      <c r="CB54" s="7"/>
      <c r="CC54" s="221"/>
      <c r="CD54" s="221"/>
      <c r="CE54" s="221"/>
      <c r="CF54" s="221"/>
      <c r="CG54" s="221"/>
      <c r="CH54" s="221"/>
      <c r="CI54" s="221"/>
      <c r="CJ54" s="221"/>
      <c r="CK54" s="221"/>
      <c r="CL54" s="221"/>
      <c r="CM54" s="221"/>
      <c r="CN54" s="221"/>
      <c r="CO54" s="221"/>
      <c r="CP54" s="221"/>
      <c r="CQ54" s="7"/>
    </row>
    <row r="55" spans="1:101" ht="14.25" customHeight="1">
      <c r="A55" s="7"/>
      <c r="B55" s="13"/>
      <c r="C55" s="13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13"/>
      <c r="BM55" s="222"/>
      <c r="BN55" s="222"/>
      <c r="BO55" s="222"/>
      <c r="BP55" s="222"/>
      <c r="BQ55" s="222"/>
      <c r="BR55" s="222"/>
      <c r="BS55" s="261"/>
      <c r="BT55" s="222"/>
      <c r="BU55" s="222"/>
      <c r="BV55" s="222"/>
      <c r="BW55" s="222"/>
      <c r="BX55" s="963"/>
      <c r="BY55" s="963"/>
      <c r="BZ55" s="963"/>
      <c r="CA55" s="222"/>
      <c r="CB55" s="7"/>
      <c r="CC55" s="222"/>
      <c r="CD55" s="222"/>
      <c r="CE55" s="222"/>
      <c r="CF55" s="222"/>
      <c r="CG55" s="222"/>
      <c r="CH55" s="222"/>
      <c r="CI55" s="261"/>
      <c r="CJ55" s="261"/>
      <c r="CK55" s="261"/>
      <c r="CL55" s="261"/>
      <c r="CM55" s="261"/>
      <c r="CN55" s="261"/>
      <c r="CO55" s="261"/>
      <c r="CP55" s="222"/>
      <c r="CQ55" s="7"/>
    </row>
    <row r="56" spans="1:101" ht="14.25" customHeight="1">
      <c r="A56" s="7"/>
      <c r="B56" s="146" t="s">
        <v>100</v>
      </c>
      <c r="C56" s="601"/>
      <c r="D56" s="263" t="str">
        <f t="shared" ref="D56:AP56" si="208">D79</f>
        <v>F1Q06</v>
      </c>
      <c r="E56" s="224" t="str">
        <f t="shared" si="208"/>
        <v>F2Q06</v>
      </c>
      <c r="F56" s="224" t="str">
        <f t="shared" si="208"/>
        <v>F3Q06</v>
      </c>
      <c r="G56" s="225" t="str">
        <f t="shared" si="208"/>
        <v>F4Q06</v>
      </c>
      <c r="H56" s="263" t="str">
        <f t="shared" si="208"/>
        <v>F1Q07</v>
      </c>
      <c r="I56" s="224" t="str">
        <f t="shared" si="208"/>
        <v>F2Q07</v>
      </c>
      <c r="J56" s="224" t="str">
        <f t="shared" si="208"/>
        <v>F3Q07</v>
      </c>
      <c r="K56" s="225" t="str">
        <f t="shared" si="208"/>
        <v>F4Q07</v>
      </c>
      <c r="L56" s="224" t="str">
        <f t="shared" si="208"/>
        <v>F1Q08</v>
      </c>
      <c r="M56" s="224" t="str">
        <f t="shared" si="208"/>
        <v>F2Q08</v>
      </c>
      <c r="N56" s="224" t="str">
        <f t="shared" si="208"/>
        <v>F3Q08</v>
      </c>
      <c r="O56" s="225" t="str">
        <f t="shared" si="208"/>
        <v>F4Q08</v>
      </c>
      <c r="P56" s="263" t="str">
        <f t="shared" si="208"/>
        <v>F1Q09</v>
      </c>
      <c r="Q56" s="224" t="str">
        <f t="shared" si="208"/>
        <v>F2Q09</v>
      </c>
      <c r="R56" s="224" t="str">
        <f t="shared" si="208"/>
        <v>F3Q09</v>
      </c>
      <c r="S56" s="225" t="str">
        <f t="shared" si="208"/>
        <v>F4Q09</v>
      </c>
      <c r="T56" s="263" t="str">
        <f t="shared" si="208"/>
        <v>F1Q10</v>
      </c>
      <c r="U56" s="224" t="str">
        <f t="shared" si="208"/>
        <v>F2Q10</v>
      </c>
      <c r="V56" s="224" t="str">
        <f t="shared" si="208"/>
        <v>F3Q10</v>
      </c>
      <c r="W56" s="225" t="str">
        <f t="shared" si="208"/>
        <v>F4Q10</v>
      </c>
      <c r="X56" s="263" t="str">
        <f t="shared" si="208"/>
        <v>F1Q11</v>
      </c>
      <c r="Y56" s="224" t="str">
        <f t="shared" si="208"/>
        <v>F2Q11</v>
      </c>
      <c r="Z56" s="224" t="str">
        <f t="shared" si="208"/>
        <v>F3Q11</v>
      </c>
      <c r="AA56" s="225" t="str">
        <f t="shared" si="208"/>
        <v>F4Q11</v>
      </c>
      <c r="AB56" s="263" t="str">
        <f t="shared" si="208"/>
        <v>F1Q12</v>
      </c>
      <c r="AC56" s="224" t="str">
        <f t="shared" si="208"/>
        <v>F2Q12</v>
      </c>
      <c r="AD56" s="224" t="str">
        <f t="shared" si="208"/>
        <v>F3Q12</v>
      </c>
      <c r="AE56" s="225" t="str">
        <f t="shared" si="208"/>
        <v>F4Q12</v>
      </c>
      <c r="AF56" s="263" t="str">
        <f t="shared" si="208"/>
        <v>F1Q13</v>
      </c>
      <c r="AG56" s="224" t="str">
        <f t="shared" si="208"/>
        <v>F2Q13</v>
      </c>
      <c r="AH56" s="224" t="str">
        <f t="shared" si="208"/>
        <v>F3Q13</v>
      </c>
      <c r="AI56" s="225" t="str">
        <f t="shared" si="208"/>
        <v>F4Q13</v>
      </c>
      <c r="AJ56" s="263" t="str">
        <f t="shared" si="208"/>
        <v>F1Q14</v>
      </c>
      <c r="AK56" s="224" t="str">
        <f t="shared" si="208"/>
        <v>F2Q14A</v>
      </c>
      <c r="AL56" s="224" t="str">
        <f t="shared" si="208"/>
        <v>F3Q14A</v>
      </c>
      <c r="AM56" s="1145" t="str">
        <f t="shared" si="208"/>
        <v>F4Q14A</v>
      </c>
      <c r="AN56" s="1151" t="str">
        <f t="shared" si="208"/>
        <v>F1Q15A</v>
      </c>
      <c r="AO56" s="1145" t="str">
        <f t="shared" si="208"/>
        <v>F2Q15A</v>
      </c>
      <c r="AP56" s="1145" t="str">
        <f t="shared" si="208"/>
        <v>F3Q15A</v>
      </c>
      <c r="AQ56" s="1146" t="str">
        <f t="shared" ref="AQ56:AT56" si="209">AQ79</f>
        <v>F4Q15A</v>
      </c>
      <c r="AR56" s="1145" t="str">
        <f t="shared" si="209"/>
        <v>F1Q16A</v>
      </c>
      <c r="AS56" s="224" t="str">
        <f t="shared" si="209"/>
        <v>F2Q16A</v>
      </c>
      <c r="AT56" s="1145" t="str">
        <f t="shared" si="209"/>
        <v>F3Q16A</v>
      </c>
      <c r="AU56" s="1146" t="str">
        <f t="shared" ref="AU56:AV56" si="210">AU79</f>
        <v>F4Q16A</v>
      </c>
      <c r="AV56" s="1145" t="str">
        <f t="shared" si="210"/>
        <v>F1Q17A</v>
      </c>
      <c r="AW56" s="1145" t="str">
        <f t="shared" ref="AW56:AY56" si="211">AW79</f>
        <v>F2Q17A</v>
      </c>
      <c r="AX56" s="1145" t="str">
        <f t="shared" si="211"/>
        <v>F3Q17A</v>
      </c>
      <c r="AY56" s="1146" t="str">
        <f t="shared" si="211"/>
        <v>F4Q17A</v>
      </c>
      <c r="AZ56" s="1151" t="str">
        <f t="shared" ref="AZ56:BC56" si="212">AZ79</f>
        <v>F1Q18A</v>
      </c>
      <c r="BA56" s="1145" t="str">
        <f t="shared" si="212"/>
        <v>F2Q18E</v>
      </c>
      <c r="BB56" s="1145" t="str">
        <f t="shared" si="212"/>
        <v>F3Q18E</v>
      </c>
      <c r="BC56" s="1146" t="str">
        <f t="shared" si="212"/>
        <v>F4Q18E</v>
      </c>
      <c r="BD56" s="1151" t="str">
        <f t="shared" ref="BD56:BG56" si="213">BD79</f>
        <v>F1Q19E</v>
      </c>
      <c r="BE56" s="1145" t="str">
        <f t="shared" si="213"/>
        <v>F2Q19E</v>
      </c>
      <c r="BF56" s="1145" t="str">
        <f t="shared" si="213"/>
        <v>F3Q19E</v>
      </c>
      <c r="BG56" s="1146" t="str">
        <f t="shared" si="213"/>
        <v>F4Q19E</v>
      </c>
      <c r="BH56" s="1151" t="str">
        <f t="shared" ref="BH56:BK56" si="214">BH79</f>
        <v>F1Q20E</v>
      </c>
      <c r="BI56" s="1145" t="str">
        <f t="shared" si="214"/>
        <v>F2Q20E</v>
      </c>
      <c r="BJ56" s="1145" t="str">
        <f t="shared" si="214"/>
        <v>F3Q20E</v>
      </c>
      <c r="BK56" s="1146" t="str">
        <f t="shared" si="214"/>
        <v>F4Q20E</v>
      </c>
      <c r="BL56" s="19"/>
      <c r="BM56" s="16" t="str">
        <f t="shared" ref="BM56:BV56" si="215">BM79</f>
        <v>FY2006</v>
      </c>
      <c r="BN56" s="17" t="str">
        <f t="shared" si="215"/>
        <v>FY2007</v>
      </c>
      <c r="BO56" s="17" t="str">
        <f t="shared" si="215"/>
        <v>FY2008</v>
      </c>
      <c r="BP56" s="17" t="str">
        <f t="shared" si="215"/>
        <v>FY2009</v>
      </c>
      <c r="BQ56" s="17" t="str">
        <f t="shared" si="215"/>
        <v>FY2010</v>
      </c>
      <c r="BR56" s="18" t="str">
        <f t="shared" si="215"/>
        <v>FY2011</v>
      </c>
      <c r="BS56" s="17" t="str">
        <f t="shared" si="215"/>
        <v>FY2012</v>
      </c>
      <c r="BT56" s="17" t="str">
        <f t="shared" si="215"/>
        <v>FY2013</v>
      </c>
      <c r="BU56" s="17" t="str">
        <f t="shared" si="215"/>
        <v>FY2014A</v>
      </c>
      <c r="BV56" s="17" t="str">
        <f t="shared" si="215"/>
        <v>FY2015A</v>
      </c>
      <c r="BW56" s="17" t="str">
        <f>BW79</f>
        <v>FY2016A</v>
      </c>
      <c r="BX56" s="17" t="str">
        <f>BX79</f>
        <v>FY2017A</v>
      </c>
      <c r="BY56" s="1362" t="str">
        <f>BY79</f>
        <v>FY2018E</v>
      </c>
      <c r="BZ56" s="1362" t="str">
        <f>BZ79</f>
        <v>FY2019E</v>
      </c>
      <c r="CA56" s="1363" t="str">
        <f>CA79</f>
        <v>FY2020E</v>
      </c>
      <c r="CB56" s="19"/>
      <c r="CC56" s="16" t="str">
        <f t="shared" ref="CC56:CJ56" si="216">CC79</f>
        <v>CY2006</v>
      </c>
      <c r="CD56" s="17" t="str">
        <f t="shared" si="216"/>
        <v>CY2007</v>
      </c>
      <c r="CE56" s="17" t="str">
        <f t="shared" si="216"/>
        <v>CY2008</v>
      </c>
      <c r="CF56" s="17" t="str">
        <f t="shared" si="216"/>
        <v>CY2009</v>
      </c>
      <c r="CG56" s="17" t="str">
        <f t="shared" si="216"/>
        <v>CY2010</v>
      </c>
      <c r="CH56" s="17" t="str">
        <f t="shared" si="216"/>
        <v>CY2011</v>
      </c>
      <c r="CI56" s="17" t="str">
        <f t="shared" si="216"/>
        <v>CY2012</v>
      </c>
      <c r="CJ56" s="17" t="str">
        <f t="shared" si="216"/>
        <v>CY2013</v>
      </c>
      <c r="CK56" s="17" t="str">
        <f t="shared" ref="CK56:CP56" si="217">CK79</f>
        <v>CY2014A</v>
      </c>
      <c r="CL56" s="17" t="str">
        <f t="shared" si="217"/>
        <v>CY2015A</v>
      </c>
      <c r="CM56" s="1362" t="str">
        <f t="shared" si="217"/>
        <v>CY2016A</v>
      </c>
      <c r="CN56" s="1362" t="str">
        <f t="shared" si="217"/>
        <v>CY2017A</v>
      </c>
      <c r="CO56" s="1362" t="str">
        <f t="shared" si="217"/>
        <v>CY2018E</v>
      </c>
      <c r="CP56" s="1363" t="str">
        <f t="shared" si="217"/>
        <v>CY2019E</v>
      </c>
      <c r="CQ56" s="7"/>
    </row>
    <row r="57" spans="1:101" s="712" customFormat="1" ht="14.25" customHeight="1">
      <c r="A57" s="701"/>
      <c r="B57" s="663" t="s">
        <v>285</v>
      </c>
      <c r="C57" s="702"/>
      <c r="D57" s="703"/>
      <c r="E57" s="704"/>
      <c r="F57" s="704"/>
      <c r="G57" s="705"/>
      <c r="H57" s="703"/>
      <c r="I57" s="704"/>
      <c r="J57" s="704"/>
      <c r="K57" s="705"/>
      <c r="L57" s="704"/>
      <c r="M57" s="704"/>
      <c r="N57" s="704"/>
      <c r="O57" s="705"/>
      <c r="P57" s="703"/>
      <c r="Q57" s="704"/>
      <c r="R57" s="704"/>
      <c r="S57" s="705"/>
      <c r="T57" s="703"/>
      <c r="U57" s="704"/>
      <c r="V57" s="704"/>
      <c r="W57" s="705"/>
      <c r="X57" s="703"/>
      <c r="Y57" s="704"/>
      <c r="Z57" s="704"/>
      <c r="AA57" s="705"/>
      <c r="AB57" s="703"/>
      <c r="AC57" s="704"/>
      <c r="AD57" s="704"/>
      <c r="AE57" s="705"/>
      <c r="AF57" s="703"/>
      <c r="AG57" s="704"/>
      <c r="AH57" s="704"/>
      <c r="AI57" s="705"/>
      <c r="AJ57" s="708">
        <f t="shared" ref="AJ57:BC57" si="218">+AJ25</f>
        <v>229</v>
      </c>
      <c r="AK57" s="708">
        <f t="shared" si="218"/>
        <v>251</v>
      </c>
      <c r="AL57" s="708">
        <f t="shared" si="218"/>
        <v>314</v>
      </c>
      <c r="AM57" s="708">
        <f t="shared" si="218"/>
        <v>381</v>
      </c>
      <c r="AN57" s="707">
        <f t="shared" si="218"/>
        <v>481</v>
      </c>
      <c r="AO57" s="708">
        <f t="shared" si="218"/>
        <v>663</v>
      </c>
      <c r="AP57" s="708">
        <f t="shared" si="218"/>
        <v>592</v>
      </c>
      <c r="AQ57" s="709">
        <f t="shared" si="218"/>
        <v>582</v>
      </c>
      <c r="AR57" s="708">
        <f t="shared" si="218"/>
        <v>474</v>
      </c>
      <c r="AS57" s="708">
        <f t="shared" si="218"/>
        <v>622</v>
      </c>
      <c r="AT57" s="708">
        <f t="shared" ref="AT57:AV57" si="219">+AT25</f>
        <v>963</v>
      </c>
      <c r="AU57" s="709">
        <f t="shared" si="219"/>
        <v>1352</v>
      </c>
      <c r="AV57" s="708">
        <f t="shared" si="219"/>
        <v>1353</v>
      </c>
      <c r="AW57" s="708">
        <f t="shared" si="218"/>
        <v>1583</v>
      </c>
      <c r="AX57" s="708">
        <f t="shared" si="218"/>
        <v>1656</v>
      </c>
      <c r="AY57" s="709">
        <f t="shared" si="218"/>
        <v>1959</v>
      </c>
      <c r="AZ57" s="707">
        <f t="shared" si="218"/>
        <v>1685</v>
      </c>
      <c r="BA57" s="708">
        <f t="shared" si="218"/>
        <v>2386.5700189580248</v>
      </c>
      <c r="BB57" s="708">
        <f t="shared" si="218"/>
        <v>2274.2323106172239</v>
      </c>
      <c r="BC57" s="709">
        <f t="shared" si="218"/>
        <v>2380.8090686920996</v>
      </c>
      <c r="BD57" s="707">
        <f t="shared" ref="BD57:BG57" si="220">+BD25</f>
        <v>2657.2123211511198</v>
      </c>
      <c r="BE57" s="708">
        <f t="shared" si="220"/>
        <v>2416.5058938648099</v>
      </c>
      <c r="BF57" s="708">
        <f t="shared" si="220"/>
        <v>2318.7086775364833</v>
      </c>
      <c r="BG57" s="709">
        <f t="shared" si="220"/>
        <v>2470.8607494540424</v>
      </c>
      <c r="BH57" s="707">
        <f t="shared" ref="BH57:BK57" si="221">+BH25</f>
        <v>2821.1333215945433</v>
      </c>
      <c r="BI57" s="708">
        <f t="shared" si="221"/>
        <v>2655.4235622269116</v>
      </c>
      <c r="BJ57" s="708">
        <f t="shared" si="221"/>
        <v>2513.758849361901</v>
      </c>
      <c r="BK57" s="709">
        <f t="shared" si="221"/>
        <v>2621.9981686758456</v>
      </c>
      <c r="BL57" s="706"/>
      <c r="BM57" s="707">
        <f t="shared" ref="BM57:BX57" si="222">+BM25</f>
        <v>342</v>
      </c>
      <c r="BN57" s="708">
        <f t="shared" si="222"/>
        <v>144</v>
      </c>
      <c r="BO57" s="708">
        <f t="shared" si="222"/>
        <v>201</v>
      </c>
      <c r="BP57" s="708">
        <f t="shared" si="222"/>
        <v>139</v>
      </c>
      <c r="BQ57" s="708">
        <f t="shared" si="222"/>
        <v>510</v>
      </c>
      <c r="BR57" s="709">
        <f t="shared" si="222"/>
        <v>726</v>
      </c>
      <c r="BS57" s="708">
        <f t="shared" si="222"/>
        <v>693</v>
      </c>
      <c r="BT57" s="708">
        <f t="shared" si="222"/>
        <v>725</v>
      </c>
      <c r="BU57" s="708">
        <f t="shared" si="222"/>
        <v>1175</v>
      </c>
      <c r="BV57" s="708">
        <f t="shared" si="222"/>
        <v>2318</v>
      </c>
      <c r="BW57" s="708">
        <f t="shared" si="222"/>
        <v>3411</v>
      </c>
      <c r="BX57" s="708">
        <f t="shared" si="222"/>
        <v>6551</v>
      </c>
      <c r="BY57" s="708">
        <f t="shared" ref="BY57:BZ57" si="223">+BY25</f>
        <v>8726.6113982673487</v>
      </c>
      <c r="BZ57" s="708">
        <f t="shared" si="223"/>
        <v>9863.2876420064567</v>
      </c>
      <c r="CA57" s="709">
        <f t="shared" ref="CA57" si="224">+CA25</f>
        <v>10612.313901859201</v>
      </c>
      <c r="CB57" s="706"/>
      <c r="CC57" s="710">
        <f t="shared" ref="CC57:CM57" si="225">+CC25</f>
        <v>133</v>
      </c>
      <c r="CD57" s="296">
        <f t="shared" si="225"/>
        <v>207</v>
      </c>
      <c r="CE57" s="296">
        <f t="shared" si="225"/>
        <v>210</v>
      </c>
      <c r="CF57" s="296">
        <f t="shared" si="225"/>
        <v>184</v>
      </c>
      <c r="CG57" s="296">
        <f t="shared" si="225"/>
        <v>536</v>
      </c>
      <c r="CH57" s="296">
        <f t="shared" si="225"/>
        <v>798</v>
      </c>
      <c r="CI57" s="296">
        <f t="shared" si="225"/>
        <v>739</v>
      </c>
      <c r="CJ57" s="296">
        <f t="shared" si="225"/>
        <v>769</v>
      </c>
      <c r="CK57" s="296">
        <f t="shared" si="225"/>
        <v>1427</v>
      </c>
      <c r="CL57" s="296">
        <f t="shared" si="225"/>
        <v>2311</v>
      </c>
      <c r="CM57" s="296">
        <f t="shared" si="225"/>
        <v>4290</v>
      </c>
      <c r="CN57" s="296">
        <f t="shared" ref="CN57:CO57" si="226">+CN25</f>
        <v>6883</v>
      </c>
      <c r="CO57" s="296">
        <f t="shared" si="226"/>
        <v>9698.8237194184676</v>
      </c>
      <c r="CP57" s="711">
        <f t="shared" ref="CP57" si="227">+CP25</f>
        <v>10027.208642449879</v>
      </c>
      <c r="CQ57" s="701"/>
      <c r="CR57"/>
      <c r="CS57"/>
      <c r="CT57"/>
      <c r="CU57"/>
      <c r="CV57"/>
      <c r="CW57"/>
    </row>
    <row r="58" spans="1:101" s="712" customFormat="1" ht="14.25" customHeight="1">
      <c r="A58" s="701"/>
      <c r="B58" s="663" t="s">
        <v>286</v>
      </c>
      <c r="C58" s="702"/>
      <c r="D58" s="703"/>
      <c r="E58" s="704"/>
      <c r="F58" s="704"/>
      <c r="G58" s="705"/>
      <c r="H58" s="703"/>
      <c r="I58" s="704"/>
      <c r="J58" s="704"/>
      <c r="K58" s="705"/>
      <c r="L58" s="704"/>
      <c r="M58" s="704"/>
      <c r="N58" s="704"/>
      <c r="O58" s="705"/>
      <c r="P58" s="703"/>
      <c r="Q58" s="704"/>
      <c r="R58" s="704"/>
      <c r="S58" s="705"/>
      <c r="T58" s="703"/>
      <c r="U58" s="704"/>
      <c r="V58" s="704"/>
      <c r="W58" s="705"/>
      <c r="X58" s="703"/>
      <c r="Y58" s="704"/>
      <c r="Z58" s="704"/>
      <c r="AA58" s="705"/>
      <c r="AB58" s="703"/>
      <c r="AC58" s="704"/>
      <c r="AD58" s="704"/>
      <c r="AE58" s="705"/>
      <c r="AF58" s="703"/>
      <c r="AG58" s="704"/>
      <c r="AH58" s="704"/>
      <c r="AI58" s="705"/>
      <c r="AJ58" s="708">
        <f t="shared" ref="AJ58:BC58" si="228">-AJ15</f>
        <v>-24</v>
      </c>
      <c r="AK58" s="708">
        <f t="shared" si="228"/>
        <v>-30</v>
      </c>
      <c r="AL58" s="708">
        <f t="shared" si="228"/>
        <v>-55</v>
      </c>
      <c r="AM58" s="708">
        <f t="shared" si="228"/>
        <v>-54</v>
      </c>
      <c r="AN58" s="707">
        <f t="shared" si="228"/>
        <v>-49</v>
      </c>
      <c r="AO58" s="708">
        <f t="shared" si="228"/>
        <v>-57</v>
      </c>
      <c r="AP58" s="708">
        <f t="shared" si="228"/>
        <v>-63</v>
      </c>
      <c r="AQ58" s="709">
        <f t="shared" si="228"/>
        <v>-63</v>
      </c>
      <c r="AR58" s="708">
        <f t="shared" si="228"/>
        <v>-57</v>
      </c>
      <c r="AS58" s="708">
        <f t="shared" si="228"/>
        <v>-198</v>
      </c>
      <c r="AT58" s="708">
        <f t="shared" ref="AT58:AV58" si="229">-AT15</f>
        <v>-219</v>
      </c>
      <c r="AU58" s="709">
        <f t="shared" si="229"/>
        <v>-205</v>
      </c>
      <c r="AV58" s="708">
        <f t="shared" si="229"/>
        <v>-202</v>
      </c>
      <c r="AW58" s="708">
        <f t="shared" si="228"/>
        <v>-216</v>
      </c>
      <c r="AX58" s="708">
        <f t="shared" si="228"/>
        <v>-251</v>
      </c>
      <c r="AY58" s="709">
        <f t="shared" si="228"/>
        <v>-252</v>
      </c>
      <c r="AZ58" s="707">
        <f t="shared" si="228"/>
        <v>-299</v>
      </c>
      <c r="BA58" s="708">
        <f t="shared" si="228"/>
        <v>-305</v>
      </c>
      <c r="BB58" s="708">
        <f t="shared" si="228"/>
        <v>-310</v>
      </c>
      <c r="BC58" s="709">
        <f t="shared" si="228"/>
        <v>-315</v>
      </c>
      <c r="BD58" s="707">
        <f t="shared" ref="BD58:BG58" si="230">-BD15</f>
        <v>-317.75</v>
      </c>
      <c r="BE58" s="708">
        <f t="shared" si="230"/>
        <v>-321.25</v>
      </c>
      <c r="BF58" s="708">
        <f t="shared" si="230"/>
        <v>-324.75</v>
      </c>
      <c r="BG58" s="709">
        <f t="shared" si="230"/>
        <v>-328.25</v>
      </c>
      <c r="BH58" s="707">
        <f t="shared" ref="BH58:BK58" si="231">-BH15</f>
        <v>-331</v>
      </c>
      <c r="BI58" s="708">
        <f t="shared" si="231"/>
        <v>-334.5</v>
      </c>
      <c r="BJ58" s="708">
        <f t="shared" si="231"/>
        <v>-338</v>
      </c>
      <c r="BK58" s="709">
        <f t="shared" si="231"/>
        <v>-341.5</v>
      </c>
      <c r="BL58" s="706"/>
      <c r="BM58" s="707">
        <f t="shared" ref="BM58:BX58" si="232">-BM15</f>
        <v>-7</v>
      </c>
      <c r="BN58" s="708">
        <f t="shared" si="232"/>
        <v>-12</v>
      </c>
      <c r="BO58" s="708">
        <f t="shared" si="232"/>
        <v>-15</v>
      </c>
      <c r="BP58" s="708">
        <f t="shared" si="232"/>
        <v>-12</v>
      </c>
      <c r="BQ58" s="708">
        <f t="shared" si="232"/>
        <v>-25</v>
      </c>
      <c r="BR58" s="709">
        <f t="shared" si="232"/>
        <v>-38</v>
      </c>
      <c r="BS58" s="708">
        <f t="shared" si="232"/>
        <v>-53</v>
      </c>
      <c r="BT58" s="708">
        <f t="shared" si="232"/>
        <v>-77</v>
      </c>
      <c r="BU58" s="708">
        <f t="shared" si="232"/>
        <v>-163</v>
      </c>
      <c r="BV58" s="708">
        <f t="shared" si="232"/>
        <v>-232</v>
      </c>
      <c r="BW58" s="708">
        <f t="shared" si="232"/>
        <v>-679</v>
      </c>
      <c r="BX58" s="708">
        <f t="shared" si="232"/>
        <v>-921</v>
      </c>
      <c r="BY58" s="708">
        <f t="shared" ref="BY58:BZ58" si="233">-BY15</f>
        <v>-1229</v>
      </c>
      <c r="BZ58" s="708">
        <f t="shared" si="233"/>
        <v>-1292</v>
      </c>
      <c r="CA58" s="709">
        <f t="shared" ref="CA58" si="234">-CA15</f>
        <v>-1345</v>
      </c>
      <c r="CB58" s="706"/>
      <c r="CC58" s="710">
        <f t="shared" ref="CC58:CM58" si="235">-CC15</f>
        <v>-12</v>
      </c>
      <c r="CD58" s="296">
        <f t="shared" si="235"/>
        <v>-9</v>
      </c>
      <c r="CE58" s="296">
        <f t="shared" si="235"/>
        <v>-8</v>
      </c>
      <c r="CF58" s="296">
        <f t="shared" si="235"/>
        <v>-17</v>
      </c>
      <c r="CG58" s="296">
        <f t="shared" si="235"/>
        <v>-27</v>
      </c>
      <c r="CH58" s="296">
        <f t="shared" si="235"/>
        <v>-42</v>
      </c>
      <c r="CI58" s="296">
        <f t="shared" si="235"/>
        <v>-59</v>
      </c>
      <c r="CJ58" s="296">
        <f t="shared" si="235"/>
        <v>-84</v>
      </c>
      <c r="CK58" s="296">
        <f t="shared" si="235"/>
        <v>-188</v>
      </c>
      <c r="CL58" s="296">
        <f t="shared" si="235"/>
        <v>-240</v>
      </c>
      <c r="CM58" s="296">
        <f t="shared" si="235"/>
        <v>-824</v>
      </c>
      <c r="CN58" s="296">
        <f t="shared" ref="CN58:CO58" si="236">-CN15</f>
        <v>-1018</v>
      </c>
      <c r="CO58" s="296">
        <f t="shared" si="236"/>
        <v>-1247.75</v>
      </c>
      <c r="CP58" s="711">
        <f t="shared" ref="CP58" si="237">-CP15</f>
        <v>-1305.25</v>
      </c>
      <c r="CQ58" s="701"/>
      <c r="CR58"/>
      <c r="CS58"/>
      <c r="CT58"/>
      <c r="CU58"/>
      <c r="CV58"/>
      <c r="CW58"/>
    </row>
    <row r="59" spans="1:101" s="712" customFormat="1" ht="14.25" customHeight="1">
      <c r="A59" s="701"/>
      <c r="B59" s="663" t="s">
        <v>287</v>
      </c>
      <c r="C59" s="702"/>
      <c r="D59" s="703"/>
      <c r="E59" s="704"/>
      <c r="F59" s="704"/>
      <c r="G59" s="705"/>
      <c r="H59" s="703"/>
      <c r="I59" s="704"/>
      <c r="J59" s="704"/>
      <c r="K59" s="705"/>
      <c r="L59" s="704"/>
      <c r="M59" s="704"/>
      <c r="N59" s="704"/>
      <c r="O59" s="705"/>
      <c r="P59" s="703"/>
      <c r="Q59" s="704"/>
      <c r="R59" s="704"/>
      <c r="S59" s="705"/>
      <c r="T59" s="703"/>
      <c r="U59" s="704"/>
      <c r="V59" s="704"/>
      <c r="W59" s="705"/>
      <c r="X59" s="703"/>
      <c r="Y59" s="704"/>
      <c r="Z59" s="704"/>
      <c r="AA59" s="705"/>
      <c r="AB59" s="703"/>
      <c r="AC59" s="704"/>
      <c r="AD59" s="704"/>
      <c r="AE59" s="705"/>
      <c r="AF59" s="703"/>
      <c r="AG59" s="704"/>
      <c r="AH59" s="704"/>
      <c r="AI59" s="705"/>
      <c r="AJ59" s="708">
        <f t="shared" ref="AJ59:BC59" si="238">-SUM(AJ19:AJ24)</f>
        <v>-16</v>
      </c>
      <c r="AK59" s="708">
        <f t="shared" si="238"/>
        <v>-2</v>
      </c>
      <c r="AL59" s="708">
        <f t="shared" si="238"/>
        <v>-150</v>
      </c>
      <c r="AM59" s="708">
        <f t="shared" si="238"/>
        <v>51</v>
      </c>
      <c r="AN59" s="707">
        <f t="shared" si="238"/>
        <v>144</v>
      </c>
      <c r="AO59" s="708">
        <f t="shared" si="238"/>
        <v>-6</v>
      </c>
      <c r="AP59" s="708">
        <f t="shared" si="238"/>
        <v>9</v>
      </c>
      <c r="AQ59" s="709">
        <f t="shared" si="238"/>
        <v>19</v>
      </c>
      <c r="AR59" s="708">
        <f t="shared" si="238"/>
        <v>203</v>
      </c>
      <c r="AS59" s="708">
        <f t="shared" si="238"/>
        <v>-751</v>
      </c>
      <c r="AT59" s="708">
        <f t="shared" ref="AT59" si="239">-SUM(AT19:AT24)</f>
        <v>27</v>
      </c>
      <c r="AU59" s="709">
        <f t="shared" ref="AU59" si="240">-SUM(AU19:AU24)</f>
        <v>38</v>
      </c>
      <c r="AV59" s="708">
        <f t="shared" ref="AV59" si="241">-SUM(AV19:AV24)</f>
        <v>356</v>
      </c>
      <c r="AW59" s="708">
        <f t="shared" si="238"/>
        <v>236</v>
      </c>
      <c r="AX59" s="708">
        <f t="shared" si="238"/>
        <v>357</v>
      </c>
      <c r="AY59" s="709">
        <f t="shared" si="238"/>
        <v>147</v>
      </c>
      <c r="AZ59" s="707">
        <f t="shared" si="238"/>
        <v>546</v>
      </c>
      <c r="BA59" s="708">
        <f t="shared" si="238"/>
        <v>-63.034982444443926</v>
      </c>
      <c r="BB59" s="708">
        <f t="shared" si="238"/>
        <v>11.278746055554734</v>
      </c>
      <c r="BC59" s="709">
        <f t="shared" si="238"/>
        <v>89.231924842866647</v>
      </c>
      <c r="BD59" s="707">
        <f t="shared" ref="BD59:BG59" si="242">-SUM(BD19:BD24)</f>
        <v>-287.11577873314468</v>
      </c>
      <c r="BE59" s="708">
        <f t="shared" si="242"/>
        <v>-100.36198292003155</v>
      </c>
      <c r="BF59" s="708">
        <f t="shared" si="242"/>
        <v>162.76254918399786</v>
      </c>
      <c r="BG59" s="709">
        <f t="shared" si="242"/>
        <v>290.29653719411226</v>
      </c>
      <c r="BH59" s="707">
        <f t="shared" ref="BH59:BK59" si="243">-SUM(BH19:BH24)</f>
        <v>-183.03335413808759</v>
      </c>
      <c r="BI59" s="708">
        <f t="shared" si="243"/>
        <v>-153.02854202284448</v>
      </c>
      <c r="BJ59" s="708">
        <f t="shared" si="243"/>
        <v>109.06348207670817</v>
      </c>
      <c r="BK59" s="709">
        <f t="shared" si="243"/>
        <v>179.04406423311661</v>
      </c>
      <c r="BL59" s="706"/>
      <c r="BM59" s="707">
        <f t="shared" ref="BM59:BX59" si="244">-SUM(BM19:BM24)</f>
        <v>-341</v>
      </c>
      <c r="BN59" s="708">
        <f t="shared" si="244"/>
        <v>5</v>
      </c>
      <c r="BO59" s="708">
        <f t="shared" si="244"/>
        <v>40</v>
      </c>
      <c r="BP59" s="708">
        <f t="shared" si="244"/>
        <v>6</v>
      </c>
      <c r="BQ59" s="708">
        <f t="shared" si="244"/>
        <v>99</v>
      </c>
      <c r="BR59" s="709">
        <f t="shared" si="244"/>
        <v>35</v>
      </c>
      <c r="BS59" s="708">
        <f t="shared" si="244"/>
        <v>87</v>
      </c>
      <c r="BT59" s="708">
        <f t="shared" si="244"/>
        <v>88</v>
      </c>
      <c r="BU59" s="708">
        <f t="shared" si="244"/>
        <v>-117</v>
      </c>
      <c r="BV59" s="708">
        <f t="shared" si="244"/>
        <v>166</v>
      </c>
      <c r="BW59" s="708">
        <f t="shared" si="244"/>
        <v>-483</v>
      </c>
      <c r="BX59" s="708">
        <f t="shared" si="244"/>
        <v>1096</v>
      </c>
      <c r="BY59" s="708">
        <f t="shared" ref="BY59:BZ59" si="245">-SUM(BY19:BY24)</f>
        <v>583.47568845397745</v>
      </c>
      <c r="BZ59" s="708">
        <f t="shared" si="245"/>
        <v>65.581324724933893</v>
      </c>
      <c r="CA59" s="709">
        <f t="shared" ref="CA59" si="246">-SUM(CA19:CA24)</f>
        <v>-47.954349851107281</v>
      </c>
      <c r="CB59" s="706"/>
      <c r="CC59" s="710">
        <f t="shared" ref="CC59:CM59" si="247">-SUM(CC19:CC24)</f>
        <v>-83</v>
      </c>
      <c r="CD59" s="296">
        <f t="shared" si="247"/>
        <v>-25</v>
      </c>
      <c r="CE59" s="296">
        <f t="shared" si="247"/>
        <v>31</v>
      </c>
      <c r="CF59" s="296">
        <f t="shared" si="247"/>
        <v>6</v>
      </c>
      <c r="CG59" s="296">
        <f t="shared" si="247"/>
        <v>159</v>
      </c>
      <c r="CH59" s="296">
        <f t="shared" si="247"/>
        <v>-40</v>
      </c>
      <c r="CI59" s="296">
        <f t="shared" si="247"/>
        <v>47</v>
      </c>
      <c r="CJ59" s="296">
        <f t="shared" si="247"/>
        <v>76</v>
      </c>
      <c r="CK59" s="296">
        <f t="shared" si="247"/>
        <v>43</v>
      </c>
      <c r="CL59" s="296">
        <f t="shared" si="247"/>
        <v>225</v>
      </c>
      <c r="CM59" s="296">
        <f t="shared" si="247"/>
        <v>-330</v>
      </c>
      <c r="CN59" s="296">
        <f t="shared" ref="CN59:CO59" si="248">-SUM(CN19:CN24)</f>
        <v>1286</v>
      </c>
      <c r="CO59" s="296">
        <f t="shared" si="248"/>
        <v>-249.64009027916723</v>
      </c>
      <c r="CP59" s="711">
        <f t="shared" ref="CP59" si="249">-SUM(CP19:CP24)</f>
        <v>169.66374931999098</v>
      </c>
      <c r="CQ59" s="701"/>
      <c r="CR59"/>
      <c r="CS59"/>
      <c r="CT59"/>
      <c r="CU59"/>
      <c r="CV59"/>
      <c r="CW59"/>
    </row>
    <row r="60" spans="1:101" s="725" customFormat="1" ht="14.25" customHeight="1">
      <c r="A60" s="713"/>
      <c r="B60" s="742" t="s">
        <v>288</v>
      </c>
      <c r="C60" s="714"/>
      <c r="D60" s="715"/>
      <c r="E60" s="716"/>
      <c r="F60" s="716"/>
      <c r="G60" s="717"/>
      <c r="H60" s="715"/>
      <c r="I60" s="716"/>
      <c r="J60" s="716"/>
      <c r="K60" s="717"/>
      <c r="L60" s="716"/>
      <c r="M60" s="716"/>
      <c r="N60" s="716"/>
      <c r="O60" s="717"/>
      <c r="P60" s="715"/>
      <c r="Q60" s="716"/>
      <c r="R60" s="716"/>
      <c r="S60" s="717"/>
      <c r="T60" s="715"/>
      <c r="U60" s="716"/>
      <c r="V60" s="716"/>
      <c r="W60" s="717"/>
      <c r="X60" s="715"/>
      <c r="Y60" s="716"/>
      <c r="Z60" s="716"/>
      <c r="AA60" s="717"/>
      <c r="AB60" s="715"/>
      <c r="AC60" s="716"/>
      <c r="AD60" s="716"/>
      <c r="AE60" s="717"/>
      <c r="AF60" s="715"/>
      <c r="AG60" s="716"/>
      <c r="AH60" s="716"/>
      <c r="AI60" s="717"/>
      <c r="AJ60" s="720">
        <f t="shared" ref="AJ60:BC60" si="250">+AJ28</f>
        <v>-52</v>
      </c>
      <c r="AK60" s="720">
        <f t="shared" si="250"/>
        <v>-73</v>
      </c>
      <c r="AL60" s="720">
        <f t="shared" si="250"/>
        <v>-95</v>
      </c>
      <c r="AM60" s="720">
        <f t="shared" si="250"/>
        <v>-189</v>
      </c>
      <c r="AN60" s="719">
        <f t="shared" si="250"/>
        <v>-162</v>
      </c>
      <c r="AO60" s="720">
        <f t="shared" si="250"/>
        <v>-177</v>
      </c>
      <c r="AP60" s="720">
        <f t="shared" si="250"/>
        <v>-148</v>
      </c>
      <c r="AQ60" s="721">
        <f t="shared" si="250"/>
        <v>-106</v>
      </c>
      <c r="AR60" s="720">
        <f t="shared" si="250"/>
        <v>-140</v>
      </c>
      <c r="AS60" s="720">
        <f t="shared" si="250"/>
        <v>-158</v>
      </c>
      <c r="AT60" s="720">
        <f t="shared" ref="AT60:AV60" si="251">+AT28</f>
        <v>-232</v>
      </c>
      <c r="AU60" s="721">
        <f t="shared" si="251"/>
        <v>-193</v>
      </c>
      <c r="AV60" s="720">
        <f t="shared" si="251"/>
        <v>-325</v>
      </c>
      <c r="AW60" s="720">
        <f t="shared" si="250"/>
        <v>-256</v>
      </c>
      <c r="AX60" s="720">
        <f t="shared" si="250"/>
        <v>-255</v>
      </c>
      <c r="AY60" s="721">
        <f t="shared" si="250"/>
        <v>-233</v>
      </c>
      <c r="AZ60" s="719">
        <f t="shared" si="250"/>
        <v>-220</v>
      </c>
      <c r="BA60" s="720">
        <f t="shared" si="250"/>
        <v>-190.41952000000003</v>
      </c>
      <c r="BB60" s="720">
        <f t="shared" si="250"/>
        <v>-156.36804899999998</v>
      </c>
      <c r="BC60" s="721">
        <f t="shared" si="250"/>
        <v>-167.482913685</v>
      </c>
      <c r="BD60" s="719">
        <f t="shared" ref="BD60:BG60" si="252">+BD28</f>
        <v>-159.93690461219998</v>
      </c>
      <c r="BE60" s="720">
        <f t="shared" si="252"/>
        <v>-155.34683842197597</v>
      </c>
      <c r="BF60" s="720">
        <f t="shared" si="252"/>
        <v>-166.41675851853165</v>
      </c>
      <c r="BG60" s="721">
        <f t="shared" si="252"/>
        <v>-185.32939780764326</v>
      </c>
      <c r="BH60" s="719">
        <f t="shared" ref="BH60:BK60" si="253">+BH28</f>
        <v>-177.06978188347361</v>
      </c>
      <c r="BI60" s="720">
        <f t="shared" si="253"/>
        <v>-167.59431947018493</v>
      </c>
      <c r="BJ60" s="720">
        <f t="shared" si="253"/>
        <v>-174.39810443013138</v>
      </c>
      <c r="BK60" s="721">
        <f t="shared" si="253"/>
        <v>-185.46945295569765</v>
      </c>
      <c r="BL60" s="718"/>
      <c r="BM60" s="719">
        <f t="shared" ref="BM60:BX60" si="254">+BM28</f>
        <v>-65</v>
      </c>
      <c r="BN60" s="720">
        <f t="shared" si="254"/>
        <v>-37</v>
      </c>
      <c r="BO60" s="720">
        <f t="shared" si="254"/>
        <v>-65</v>
      </c>
      <c r="BP60" s="720">
        <f t="shared" si="254"/>
        <v>-57</v>
      </c>
      <c r="BQ60" s="720">
        <f t="shared" si="254"/>
        <v>-79</v>
      </c>
      <c r="BR60" s="721">
        <f t="shared" si="254"/>
        <v>-112</v>
      </c>
      <c r="BS60" s="720">
        <f t="shared" si="254"/>
        <v>-241</v>
      </c>
      <c r="BT60" s="720">
        <f t="shared" si="254"/>
        <v>-236</v>
      </c>
      <c r="BU60" s="720">
        <f t="shared" si="254"/>
        <v>-409</v>
      </c>
      <c r="BV60" s="720">
        <f t="shared" si="254"/>
        <v>-593</v>
      </c>
      <c r="BW60" s="720">
        <f t="shared" si="254"/>
        <v>-723</v>
      </c>
      <c r="BX60" s="720">
        <f t="shared" si="254"/>
        <v>-1069</v>
      </c>
      <c r="BY60" s="720">
        <f t="shared" ref="BY60:BZ60" si="255">+BY28</f>
        <v>-734.27048268500005</v>
      </c>
      <c r="BZ60" s="720">
        <f t="shared" si="255"/>
        <v>-667.02989936035078</v>
      </c>
      <c r="CA60" s="721">
        <f t="shared" ref="CA60" si="256">+CA28</f>
        <v>-704.53165873948763</v>
      </c>
      <c r="CB60" s="718"/>
      <c r="CC60" s="722">
        <f t="shared" ref="CC60:CM60" si="257">+CC28</f>
        <v>-68</v>
      </c>
      <c r="CD60" s="723">
        <f t="shared" si="257"/>
        <v>-41</v>
      </c>
      <c r="CE60" s="723">
        <f t="shared" si="257"/>
        <v>-62</v>
      </c>
      <c r="CF60" s="723">
        <f t="shared" si="257"/>
        <v>-54</v>
      </c>
      <c r="CG60" s="723">
        <f t="shared" si="257"/>
        <v>-102</v>
      </c>
      <c r="CH60" s="723">
        <f t="shared" si="257"/>
        <v>-127</v>
      </c>
      <c r="CI60" s="723">
        <f t="shared" si="257"/>
        <v>-261</v>
      </c>
      <c r="CJ60" s="723">
        <f t="shared" si="257"/>
        <v>-221</v>
      </c>
      <c r="CK60" s="723">
        <f t="shared" si="257"/>
        <v>-519</v>
      </c>
      <c r="CL60" s="723">
        <f t="shared" si="257"/>
        <v>-571</v>
      </c>
      <c r="CM60" s="723">
        <f t="shared" si="257"/>
        <v>-908</v>
      </c>
      <c r="CN60" s="723">
        <f t="shared" ref="CN60:CO60" si="258">+CN28</f>
        <v>-964</v>
      </c>
      <c r="CO60" s="723">
        <f t="shared" si="258"/>
        <v>-674.20738729720006</v>
      </c>
      <c r="CP60" s="724">
        <f t="shared" ref="CP60" si="259">+CP28</f>
        <v>-684.16277663162452</v>
      </c>
      <c r="CQ60" s="713"/>
      <c r="CR60"/>
      <c r="CS60"/>
      <c r="CT60"/>
      <c r="CU60"/>
      <c r="CV60"/>
      <c r="CW60"/>
    </row>
    <row r="61" spans="1:101" s="738" customFormat="1" ht="14.25" customHeight="1">
      <c r="A61" s="726"/>
      <c r="B61" s="743" t="s">
        <v>101</v>
      </c>
      <c r="C61" s="727"/>
      <c r="D61" s="728"/>
      <c r="E61" s="729"/>
      <c r="F61" s="729"/>
      <c r="G61" s="730"/>
      <c r="H61" s="728"/>
      <c r="I61" s="729"/>
      <c r="J61" s="729"/>
      <c r="K61" s="730"/>
      <c r="L61" s="729"/>
      <c r="M61" s="729"/>
      <c r="N61" s="729"/>
      <c r="O61" s="730"/>
      <c r="P61" s="728"/>
      <c r="Q61" s="729"/>
      <c r="R61" s="729"/>
      <c r="S61" s="730"/>
      <c r="T61" s="728"/>
      <c r="U61" s="729"/>
      <c r="V61" s="729"/>
      <c r="W61" s="730"/>
      <c r="X61" s="728"/>
      <c r="Y61" s="729"/>
      <c r="Z61" s="729"/>
      <c r="AA61" s="730"/>
      <c r="AB61" s="728"/>
      <c r="AC61" s="729"/>
      <c r="AD61" s="729"/>
      <c r="AE61" s="730"/>
      <c r="AF61" s="728"/>
      <c r="AG61" s="729"/>
      <c r="AH61" s="729"/>
      <c r="AI61" s="730"/>
      <c r="AJ61" s="733">
        <f t="shared" ref="AJ61:BC61" si="260">+SUM(AJ57:AJ60)</f>
        <v>137</v>
      </c>
      <c r="AK61" s="733">
        <f t="shared" si="260"/>
        <v>146</v>
      </c>
      <c r="AL61" s="733">
        <f t="shared" si="260"/>
        <v>14</v>
      </c>
      <c r="AM61" s="733">
        <f t="shared" si="260"/>
        <v>189</v>
      </c>
      <c r="AN61" s="732">
        <f t="shared" si="260"/>
        <v>414</v>
      </c>
      <c r="AO61" s="733">
        <f t="shared" si="260"/>
        <v>423</v>
      </c>
      <c r="AP61" s="733">
        <f t="shared" si="260"/>
        <v>390</v>
      </c>
      <c r="AQ61" s="734">
        <f t="shared" si="260"/>
        <v>432</v>
      </c>
      <c r="AR61" s="733">
        <f t="shared" si="260"/>
        <v>480</v>
      </c>
      <c r="AS61" s="733">
        <f t="shared" si="260"/>
        <v>-485</v>
      </c>
      <c r="AT61" s="733">
        <f t="shared" ref="AT61" si="261">+SUM(AT57:AT60)</f>
        <v>539</v>
      </c>
      <c r="AU61" s="734">
        <f t="shared" ref="AU61" si="262">+SUM(AU57:AU60)</f>
        <v>992</v>
      </c>
      <c r="AV61" s="733">
        <f t="shared" ref="AV61" si="263">+SUM(AV57:AV60)</f>
        <v>1182</v>
      </c>
      <c r="AW61" s="733">
        <f t="shared" si="260"/>
        <v>1347</v>
      </c>
      <c r="AX61" s="733">
        <f t="shared" si="260"/>
        <v>1507</v>
      </c>
      <c r="AY61" s="734">
        <f t="shared" si="260"/>
        <v>1621</v>
      </c>
      <c r="AZ61" s="732">
        <f t="shared" si="260"/>
        <v>1712</v>
      </c>
      <c r="BA61" s="733">
        <f t="shared" si="260"/>
        <v>1828.115516513581</v>
      </c>
      <c r="BB61" s="733">
        <f t="shared" si="260"/>
        <v>1819.1430076727786</v>
      </c>
      <c r="BC61" s="734">
        <f t="shared" si="260"/>
        <v>1987.5580798499661</v>
      </c>
      <c r="BD61" s="732">
        <f t="shared" ref="BD61:BG61" si="264">+SUM(BD57:BD60)</f>
        <v>1892.409637805775</v>
      </c>
      <c r="BE61" s="733">
        <f t="shared" si="264"/>
        <v>1839.5470725228024</v>
      </c>
      <c r="BF61" s="733">
        <f t="shared" si="264"/>
        <v>1990.3044682019497</v>
      </c>
      <c r="BG61" s="734">
        <f t="shared" si="264"/>
        <v>2247.5778888405116</v>
      </c>
      <c r="BH61" s="732">
        <f t="shared" ref="BH61:BK61" si="265">+SUM(BH57:BH60)</f>
        <v>2130.0301855729817</v>
      </c>
      <c r="BI61" s="733">
        <f t="shared" si="265"/>
        <v>2000.300700733882</v>
      </c>
      <c r="BJ61" s="733">
        <f t="shared" si="265"/>
        <v>2110.4242270084778</v>
      </c>
      <c r="BK61" s="734">
        <f t="shared" si="265"/>
        <v>2274.0727799532647</v>
      </c>
      <c r="BL61" s="731"/>
      <c r="BM61" s="732">
        <f t="shared" ref="BM61:BW61" si="266">+SUM(BM57:BM60)</f>
        <v>-71</v>
      </c>
      <c r="BN61" s="733">
        <f t="shared" si="266"/>
        <v>100</v>
      </c>
      <c r="BO61" s="733">
        <f t="shared" si="266"/>
        <v>161</v>
      </c>
      <c r="BP61" s="733">
        <f t="shared" si="266"/>
        <v>76</v>
      </c>
      <c r="BQ61" s="733">
        <f t="shared" si="266"/>
        <v>505</v>
      </c>
      <c r="BR61" s="734">
        <f t="shared" si="266"/>
        <v>611</v>
      </c>
      <c r="BS61" s="733">
        <f t="shared" si="266"/>
        <v>486</v>
      </c>
      <c r="BT61" s="733">
        <f t="shared" si="266"/>
        <v>500</v>
      </c>
      <c r="BU61" s="733">
        <f t="shared" si="266"/>
        <v>486</v>
      </c>
      <c r="BV61" s="733">
        <f t="shared" si="266"/>
        <v>1659</v>
      </c>
      <c r="BW61" s="733">
        <f t="shared" si="266"/>
        <v>1526</v>
      </c>
      <c r="BX61" s="733">
        <f>+SUM(BX57:BX60)</f>
        <v>5657</v>
      </c>
      <c r="BY61" s="733">
        <f>+SUM(BY57:BY60)</f>
        <v>7346.8166040363258</v>
      </c>
      <c r="BZ61" s="733">
        <f>+SUM(BZ57:BZ60)</f>
        <v>7969.8390673710392</v>
      </c>
      <c r="CA61" s="734">
        <f>+SUM(CA57:CA60)</f>
        <v>8514.8278932686062</v>
      </c>
      <c r="CB61" s="731"/>
      <c r="CC61" s="735">
        <f>+SUM(CC57:CC60)</f>
        <v>-30</v>
      </c>
      <c r="CD61" s="736">
        <f t="shared" ref="CD61:CJ61" si="267">+SUM(CD57:CD60)</f>
        <v>132</v>
      </c>
      <c r="CE61" s="736">
        <f t="shared" si="267"/>
        <v>171</v>
      </c>
      <c r="CF61" s="736">
        <f t="shared" si="267"/>
        <v>119</v>
      </c>
      <c r="CG61" s="736">
        <f t="shared" si="267"/>
        <v>566</v>
      </c>
      <c r="CH61" s="736">
        <f t="shared" si="267"/>
        <v>589</v>
      </c>
      <c r="CI61" s="736">
        <f t="shared" si="267"/>
        <v>466</v>
      </c>
      <c r="CJ61" s="736">
        <f t="shared" si="267"/>
        <v>540</v>
      </c>
      <c r="CK61" s="736">
        <f t="shared" ref="CK61:CP61" si="268">+SUM(CK57:CK60)</f>
        <v>763</v>
      </c>
      <c r="CL61" s="736">
        <f t="shared" si="268"/>
        <v>1725</v>
      </c>
      <c r="CM61" s="736">
        <f t="shared" si="268"/>
        <v>2228</v>
      </c>
      <c r="CN61" s="736">
        <f t="shared" si="268"/>
        <v>6187</v>
      </c>
      <c r="CO61" s="736">
        <f t="shared" si="268"/>
        <v>7527.2262418421014</v>
      </c>
      <c r="CP61" s="737">
        <f t="shared" si="268"/>
        <v>8207.4596151382448</v>
      </c>
      <c r="CQ61" s="726"/>
      <c r="CR61"/>
      <c r="CS61"/>
      <c r="CT61"/>
      <c r="CU61"/>
      <c r="CV61"/>
      <c r="CW61"/>
    </row>
    <row r="62" spans="1:101" ht="14.25" customHeight="1">
      <c r="A62" s="7"/>
      <c r="B62" s="14"/>
      <c r="C62" s="223"/>
      <c r="D62" s="272"/>
      <c r="E62" s="270"/>
      <c r="F62" s="270"/>
      <c r="G62" s="271"/>
      <c r="H62" s="272"/>
      <c r="I62" s="270"/>
      <c r="J62" s="270"/>
      <c r="K62" s="271"/>
      <c r="L62" s="270"/>
      <c r="M62" s="270"/>
      <c r="N62" s="270"/>
      <c r="O62" s="271"/>
      <c r="P62" s="272"/>
      <c r="Q62" s="270"/>
      <c r="R62" s="270"/>
      <c r="S62" s="271"/>
      <c r="T62" s="272"/>
      <c r="U62" s="270"/>
      <c r="V62" s="270"/>
      <c r="W62" s="271"/>
      <c r="X62" s="272"/>
      <c r="Y62" s="270"/>
      <c r="Z62" s="270"/>
      <c r="AA62" s="271"/>
      <c r="AB62" s="272"/>
      <c r="AC62" s="270"/>
      <c r="AD62" s="270"/>
      <c r="AE62" s="271"/>
      <c r="AF62" s="272"/>
      <c r="AG62" s="270"/>
      <c r="AH62" s="270"/>
      <c r="AI62" s="271"/>
      <c r="AJ62" s="272"/>
      <c r="AK62" s="270"/>
      <c r="AL62" s="270"/>
      <c r="AM62" s="270"/>
      <c r="AN62" s="272"/>
      <c r="AO62" s="270"/>
      <c r="AP62" s="270"/>
      <c r="AQ62" s="271"/>
      <c r="AR62" s="270"/>
      <c r="AS62" s="270"/>
      <c r="AT62" s="270"/>
      <c r="AU62" s="271"/>
      <c r="AV62" s="270"/>
      <c r="AW62" s="270"/>
      <c r="AX62" s="270"/>
      <c r="AY62" s="271"/>
      <c r="AZ62" s="272"/>
      <c r="BA62" s="270"/>
      <c r="BB62" s="270"/>
      <c r="BC62" s="271"/>
      <c r="BD62" s="272"/>
      <c r="BE62" s="270"/>
      <c r="BF62" s="270"/>
      <c r="BG62" s="271"/>
      <c r="BH62" s="272"/>
      <c r="BI62" s="270"/>
      <c r="BJ62" s="270"/>
      <c r="BK62" s="271"/>
      <c r="BL62" s="19"/>
      <c r="BM62" s="272"/>
      <c r="BN62" s="270"/>
      <c r="BO62" s="270"/>
      <c r="BP62" s="270"/>
      <c r="BQ62" s="273"/>
      <c r="BR62" s="271"/>
      <c r="BS62" s="270"/>
      <c r="BT62" s="270"/>
      <c r="BU62" s="270"/>
      <c r="BV62" s="270"/>
      <c r="BW62" s="270"/>
      <c r="BX62" s="270"/>
      <c r="BY62" s="270"/>
      <c r="BZ62" s="270"/>
      <c r="CA62" s="271"/>
      <c r="CB62" s="19"/>
      <c r="CC62" s="272"/>
      <c r="CD62" s="270"/>
      <c r="CE62" s="270"/>
      <c r="CF62" s="270"/>
      <c r="CG62" s="273"/>
      <c r="CH62" s="270"/>
      <c r="CI62" s="270"/>
      <c r="CJ62" s="270"/>
      <c r="CK62" s="270"/>
      <c r="CL62" s="270"/>
      <c r="CM62" s="270"/>
      <c r="CN62" s="270"/>
      <c r="CO62" s="270"/>
      <c r="CP62" s="271"/>
      <c r="CQ62" s="7"/>
    </row>
    <row r="63" spans="1:101" ht="14.25" customHeight="1">
      <c r="A63" s="7"/>
      <c r="B63" s="13"/>
      <c r="C63" s="13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13"/>
      <c r="BM63" s="222"/>
      <c r="BN63" s="222"/>
      <c r="BO63" s="222"/>
      <c r="BP63" s="222"/>
      <c r="BQ63" s="222"/>
      <c r="BR63" s="222"/>
      <c r="BS63" s="261"/>
      <c r="BT63" s="222"/>
      <c r="BU63" s="222"/>
      <c r="BV63" s="222"/>
      <c r="BW63" s="222"/>
      <c r="BX63" s="222"/>
      <c r="BY63" s="222"/>
      <c r="BZ63" s="222"/>
      <c r="CA63" s="222"/>
      <c r="CB63" s="7"/>
      <c r="CC63" s="222"/>
      <c r="CD63" s="222"/>
      <c r="CE63" s="222"/>
      <c r="CF63" s="222"/>
      <c r="CG63" s="222"/>
      <c r="CH63" s="222"/>
      <c r="CI63" s="261"/>
      <c r="CJ63" s="261"/>
      <c r="CK63" s="261"/>
      <c r="CL63" s="261"/>
      <c r="CM63" s="261"/>
      <c r="CN63" s="261"/>
      <c r="CO63" s="261"/>
      <c r="CP63" s="222"/>
      <c r="CQ63" s="7"/>
    </row>
    <row r="64" spans="1:101" ht="14.25" customHeight="1">
      <c r="A64" s="7"/>
      <c r="B64" s="13"/>
      <c r="C64" s="13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13"/>
      <c r="BM64" s="222"/>
      <c r="BN64" s="222"/>
      <c r="BO64" s="222"/>
      <c r="BP64" s="222"/>
      <c r="BQ64" s="222"/>
      <c r="BR64" s="222"/>
      <c r="BS64" s="261"/>
      <c r="BT64" s="222"/>
      <c r="BU64" s="222"/>
      <c r="BV64" s="222"/>
      <c r="BW64" s="222"/>
      <c r="BX64" s="222"/>
      <c r="BY64" s="222"/>
      <c r="BZ64" s="222"/>
      <c r="CA64" s="222"/>
      <c r="CB64" s="7"/>
      <c r="CC64" s="222"/>
      <c r="CD64" s="222"/>
      <c r="CE64" s="222"/>
      <c r="CF64" s="222"/>
      <c r="CG64" s="222"/>
      <c r="CH64" s="222"/>
      <c r="CI64" s="261"/>
      <c r="CJ64" s="261"/>
      <c r="CK64" s="261"/>
      <c r="CL64" s="261"/>
      <c r="CM64" s="261"/>
      <c r="CN64" s="261"/>
      <c r="CO64" s="261"/>
      <c r="CP64" s="222"/>
      <c r="CQ64" s="7"/>
    </row>
    <row r="65" spans="1:95" ht="14.25" customHeight="1">
      <c r="A65" s="7"/>
      <c r="B65" s="146" t="s">
        <v>88</v>
      </c>
      <c r="C65" s="147"/>
      <c r="D65" s="224" t="str">
        <f t="shared" ref="D65:AI65" si="269">D7</f>
        <v>F1Q06</v>
      </c>
      <c r="E65" s="224" t="str">
        <f t="shared" si="269"/>
        <v>F2Q06</v>
      </c>
      <c r="F65" s="224" t="str">
        <f t="shared" si="269"/>
        <v>F3Q06</v>
      </c>
      <c r="G65" s="225" t="str">
        <f t="shared" si="269"/>
        <v>F4Q06</v>
      </c>
      <c r="H65" s="224" t="str">
        <f t="shared" si="269"/>
        <v>F1Q07</v>
      </c>
      <c r="I65" s="224" t="str">
        <f t="shared" si="269"/>
        <v>F2Q07</v>
      </c>
      <c r="J65" s="224" t="str">
        <f t="shared" si="269"/>
        <v>F3Q07</v>
      </c>
      <c r="K65" s="225" t="str">
        <f t="shared" si="269"/>
        <v>F4Q07</v>
      </c>
      <c r="L65" s="224" t="str">
        <f t="shared" si="269"/>
        <v>F1Q08</v>
      </c>
      <c r="M65" s="224" t="str">
        <f t="shared" si="269"/>
        <v>F2Q08</v>
      </c>
      <c r="N65" s="224" t="str">
        <f t="shared" si="269"/>
        <v>F3Q08</v>
      </c>
      <c r="O65" s="225" t="str">
        <f t="shared" si="269"/>
        <v>F4Q08</v>
      </c>
      <c r="P65" s="224" t="str">
        <f t="shared" si="269"/>
        <v>F1Q09</v>
      </c>
      <c r="Q65" s="224" t="str">
        <f t="shared" si="269"/>
        <v>F2Q09</v>
      </c>
      <c r="R65" s="224" t="str">
        <f t="shared" si="269"/>
        <v>F3Q09</v>
      </c>
      <c r="S65" s="225" t="str">
        <f t="shared" si="269"/>
        <v>F4Q09</v>
      </c>
      <c r="T65" s="224" t="str">
        <f t="shared" si="269"/>
        <v>F1Q10</v>
      </c>
      <c r="U65" s="224" t="str">
        <f t="shared" si="269"/>
        <v>F2Q10</v>
      </c>
      <c r="V65" s="224" t="str">
        <f t="shared" si="269"/>
        <v>F3Q10</v>
      </c>
      <c r="W65" s="225" t="str">
        <f t="shared" si="269"/>
        <v>F4Q10</v>
      </c>
      <c r="X65" s="224" t="str">
        <f t="shared" si="269"/>
        <v>F1Q11</v>
      </c>
      <c r="Y65" s="224" t="str">
        <f t="shared" si="269"/>
        <v>F2Q11</v>
      </c>
      <c r="Z65" s="224" t="str">
        <f t="shared" si="269"/>
        <v>F3Q11</v>
      </c>
      <c r="AA65" s="225" t="str">
        <f t="shared" si="269"/>
        <v>F4Q11</v>
      </c>
      <c r="AB65" s="224" t="str">
        <f t="shared" si="269"/>
        <v>F1Q12</v>
      </c>
      <c r="AC65" s="224" t="str">
        <f t="shared" si="269"/>
        <v>F2Q12</v>
      </c>
      <c r="AD65" s="224" t="str">
        <f t="shared" si="269"/>
        <v>F3Q12</v>
      </c>
      <c r="AE65" s="225" t="str">
        <f t="shared" si="269"/>
        <v>F4Q12</v>
      </c>
      <c r="AF65" s="224" t="str">
        <f t="shared" si="269"/>
        <v>F1Q13</v>
      </c>
      <c r="AG65" s="224" t="str">
        <f t="shared" si="269"/>
        <v>F2Q13</v>
      </c>
      <c r="AH65" s="224" t="str">
        <f t="shared" si="269"/>
        <v>F3Q13</v>
      </c>
      <c r="AI65" s="225" t="str">
        <f t="shared" si="269"/>
        <v>F4Q13</v>
      </c>
      <c r="AJ65" s="224" t="str">
        <f t="shared" ref="AJ65:BC65" si="270">AJ7</f>
        <v>F1Q14</v>
      </c>
      <c r="AK65" s="224" t="str">
        <f t="shared" si="270"/>
        <v>F2Q14A</v>
      </c>
      <c r="AL65" s="224" t="str">
        <f t="shared" si="270"/>
        <v>F3Q14A</v>
      </c>
      <c r="AM65" s="225" t="str">
        <f t="shared" si="270"/>
        <v>F4Q14A</v>
      </c>
      <c r="AN65" s="1151" t="str">
        <f t="shared" si="270"/>
        <v>F1Q15A</v>
      </c>
      <c r="AO65" s="1145" t="str">
        <f t="shared" si="270"/>
        <v>F2Q15A</v>
      </c>
      <c r="AP65" s="1145" t="str">
        <f t="shared" si="270"/>
        <v>F3Q15A</v>
      </c>
      <c r="AQ65" s="1146" t="str">
        <f t="shared" si="270"/>
        <v>F4Q15A</v>
      </c>
      <c r="AR65" s="224" t="str">
        <f t="shared" si="270"/>
        <v>F1Q16A</v>
      </c>
      <c r="AS65" s="224" t="str">
        <f t="shared" si="270"/>
        <v>F2Q16A</v>
      </c>
      <c r="AT65" s="1145" t="str">
        <f t="shared" ref="AT65:AV65" si="271">AT7</f>
        <v>F3Q16A</v>
      </c>
      <c r="AU65" s="1146" t="str">
        <f t="shared" si="271"/>
        <v>F4Q16A</v>
      </c>
      <c r="AV65" s="1145" t="str">
        <f t="shared" si="271"/>
        <v>F1Q17A</v>
      </c>
      <c r="AW65" s="1145" t="str">
        <f t="shared" si="270"/>
        <v>F2Q17A</v>
      </c>
      <c r="AX65" s="224" t="str">
        <f t="shared" si="270"/>
        <v>F3Q17A</v>
      </c>
      <c r="AY65" s="1146" t="str">
        <f t="shared" si="270"/>
        <v>F4Q17A</v>
      </c>
      <c r="AZ65" s="224" t="str">
        <f t="shared" si="270"/>
        <v>F1Q18A</v>
      </c>
      <c r="BA65" s="224" t="str">
        <f t="shared" si="270"/>
        <v>F2Q18E</v>
      </c>
      <c r="BB65" s="224" t="str">
        <f t="shared" si="270"/>
        <v>F3Q18E</v>
      </c>
      <c r="BC65" s="1145" t="str">
        <f t="shared" si="270"/>
        <v>F4Q18E</v>
      </c>
      <c r="BD65" s="1151" t="str">
        <f t="shared" ref="BD65:BG65" si="272">BD7</f>
        <v>F1Q19E</v>
      </c>
      <c r="BE65" s="1145" t="str">
        <f t="shared" si="272"/>
        <v>F2Q19E</v>
      </c>
      <c r="BF65" s="1145" t="str">
        <f t="shared" si="272"/>
        <v>F3Q19E</v>
      </c>
      <c r="BG65" s="1145" t="str">
        <f t="shared" si="272"/>
        <v>F4Q19E</v>
      </c>
      <c r="BH65" s="1151" t="str">
        <f t="shared" ref="BH65:BK65" si="273">BH7</f>
        <v>F1Q20E</v>
      </c>
      <c r="BI65" s="1145" t="str">
        <f t="shared" si="273"/>
        <v>F2Q20E</v>
      </c>
      <c r="BJ65" s="1145" t="str">
        <f t="shared" si="273"/>
        <v>F3Q20E</v>
      </c>
      <c r="BK65" s="1145" t="str">
        <f t="shared" si="273"/>
        <v>F4Q20E</v>
      </c>
      <c r="BL65" s="19"/>
      <c r="BM65" s="1362" t="str">
        <f t="shared" ref="BM65:BY65" si="274">BM7</f>
        <v>FY2006</v>
      </c>
      <c r="BN65" s="17" t="str">
        <f t="shared" si="274"/>
        <v>FY2007</v>
      </c>
      <c r="BO65" s="17" t="str">
        <f t="shared" si="274"/>
        <v>FY2008</v>
      </c>
      <c r="BP65" s="17" t="str">
        <f t="shared" si="274"/>
        <v>FY2009</v>
      </c>
      <c r="BQ65" s="17" t="str">
        <f t="shared" si="274"/>
        <v>FY2010</v>
      </c>
      <c r="BR65" s="18" t="str">
        <f t="shared" si="274"/>
        <v>FY2011</v>
      </c>
      <c r="BS65" s="17" t="str">
        <f t="shared" si="274"/>
        <v>FY2012</v>
      </c>
      <c r="BT65" s="17" t="str">
        <f t="shared" si="274"/>
        <v>FY2013</v>
      </c>
      <c r="BU65" s="17" t="str">
        <f t="shared" si="274"/>
        <v>FY2014A</v>
      </c>
      <c r="BV65" s="17" t="str">
        <f t="shared" si="274"/>
        <v>FY2015A</v>
      </c>
      <c r="BW65" s="17" t="str">
        <f t="shared" si="274"/>
        <v>FY2016A</v>
      </c>
      <c r="BX65" s="17" t="str">
        <f t="shared" si="274"/>
        <v>FY2017A</v>
      </c>
      <c r="BY65" s="1362" t="str">
        <f t="shared" si="274"/>
        <v>FY2018E</v>
      </c>
      <c r="BZ65" s="1362" t="str">
        <f t="shared" ref="BZ65:CA65" si="275">BZ7</f>
        <v>FY2019E</v>
      </c>
      <c r="CA65" s="1363" t="str">
        <f t="shared" si="275"/>
        <v>FY2020E</v>
      </c>
      <c r="CB65" s="19"/>
      <c r="CC65" s="16" t="str">
        <f t="shared" ref="CC65:CN65" si="276">CC7</f>
        <v>CY2006</v>
      </c>
      <c r="CD65" s="17" t="str">
        <f t="shared" si="276"/>
        <v>CY2007</v>
      </c>
      <c r="CE65" s="17" t="str">
        <f t="shared" si="276"/>
        <v>CY2008</v>
      </c>
      <c r="CF65" s="17" t="str">
        <f t="shared" si="276"/>
        <v>CY2009</v>
      </c>
      <c r="CG65" s="17" t="str">
        <f t="shared" si="276"/>
        <v>CY2010</v>
      </c>
      <c r="CH65" s="17" t="str">
        <f t="shared" si="276"/>
        <v>CY2011</v>
      </c>
      <c r="CI65" s="17" t="str">
        <f t="shared" si="276"/>
        <v>CY2012</v>
      </c>
      <c r="CJ65" s="17" t="str">
        <f t="shared" si="276"/>
        <v>CY2013</v>
      </c>
      <c r="CK65" s="17" t="str">
        <f t="shared" si="276"/>
        <v>CY2014A</v>
      </c>
      <c r="CL65" s="17" t="str">
        <f t="shared" si="276"/>
        <v>CY2015A</v>
      </c>
      <c r="CM65" s="1362" t="str">
        <f t="shared" si="276"/>
        <v>CY2016A</v>
      </c>
      <c r="CN65" s="1362" t="str">
        <f t="shared" si="276"/>
        <v>CY2017A</v>
      </c>
      <c r="CO65" s="1362" t="str">
        <f t="shared" ref="CO65:CP65" si="277">CO7</f>
        <v>CY2018E</v>
      </c>
      <c r="CP65" s="1363" t="str">
        <f t="shared" si="277"/>
        <v>CY2019E</v>
      </c>
      <c r="CQ65" s="7"/>
    </row>
    <row r="66" spans="1:95" ht="14.25" customHeight="1">
      <c r="A66" s="7"/>
      <c r="B66" s="20" t="s">
        <v>89</v>
      </c>
      <c r="C66" s="226"/>
      <c r="D66" s="227">
        <f t="shared" ref="D66:AM66" si="278">-D28</f>
        <v>8</v>
      </c>
      <c r="E66" s="227">
        <f t="shared" si="278"/>
        <v>23</v>
      </c>
      <c r="F66" s="227">
        <f t="shared" si="278"/>
        <v>22</v>
      </c>
      <c r="G66" s="228">
        <f t="shared" si="278"/>
        <v>12</v>
      </c>
      <c r="H66" s="227">
        <f t="shared" si="278"/>
        <v>11</v>
      </c>
      <c r="I66" s="227">
        <f t="shared" si="278"/>
        <v>8</v>
      </c>
      <c r="J66" s="227">
        <f t="shared" si="278"/>
        <v>8</v>
      </c>
      <c r="K66" s="228">
        <f t="shared" si="278"/>
        <v>10</v>
      </c>
      <c r="L66" s="227">
        <f t="shared" si="278"/>
        <v>15</v>
      </c>
      <c r="M66" s="227">
        <f t="shared" si="278"/>
        <v>13</v>
      </c>
      <c r="N66" s="227">
        <f t="shared" si="278"/>
        <v>19</v>
      </c>
      <c r="O66" s="228">
        <f t="shared" si="278"/>
        <v>18</v>
      </c>
      <c r="P66" s="227">
        <f t="shared" si="278"/>
        <v>12</v>
      </c>
      <c r="Q66" s="227">
        <f t="shared" si="278"/>
        <v>13</v>
      </c>
      <c r="R66" s="227">
        <f t="shared" si="278"/>
        <v>12</v>
      </c>
      <c r="S66" s="228">
        <f t="shared" si="278"/>
        <v>20</v>
      </c>
      <c r="T66" s="227">
        <f t="shared" si="278"/>
        <v>9</v>
      </c>
      <c r="U66" s="227">
        <f t="shared" si="278"/>
        <v>18</v>
      </c>
      <c r="V66" s="227">
        <f t="shared" si="278"/>
        <v>22</v>
      </c>
      <c r="W66" s="228">
        <f t="shared" si="278"/>
        <v>30</v>
      </c>
      <c r="X66" s="227">
        <f t="shared" si="278"/>
        <v>32</v>
      </c>
      <c r="Y66" s="227">
        <f t="shared" si="278"/>
        <v>19</v>
      </c>
      <c r="Z66" s="227">
        <f t="shared" si="278"/>
        <v>24</v>
      </c>
      <c r="AA66" s="230">
        <f t="shared" si="278"/>
        <v>37</v>
      </c>
      <c r="AB66" s="229">
        <f t="shared" si="278"/>
        <v>47</v>
      </c>
      <c r="AC66" s="227">
        <f t="shared" si="278"/>
        <v>56</v>
      </c>
      <c r="AD66" s="227">
        <f t="shared" si="278"/>
        <v>65</v>
      </c>
      <c r="AE66" s="230">
        <f t="shared" si="278"/>
        <v>73</v>
      </c>
      <c r="AF66" s="229">
        <f t="shared" si="278"/>
        <v>67</v>
      </c>
      <c r="AG66" s="227">
        <f t="shared" si="278"/>
        <v>47</v>
      </c>
      <c r="AH66" s="227">
        <f t="shared" si="278"/>
        <v>65</v>
      </c>
      <c r="AI66" s="230">
        <f t="shared" si="278"/>
        <v>57</v>
      </c>
      <c r="AJ66" s="229">
        <f t="shared" si="278"/>
        <v>52</v>
      </c>
      <c r="AK66" s="227">
        <f t="shared" si="278"/>
        <v>73</v>
      </c>
      <c r="AL66" s="227">
        <f t="shared" si="278"/>
        <v>95</v>
      </c>
      <c r="AM66" s="230">
        <f t="shared" si="278"/>
        <v>189</v>
      </c>
      <c r="AN66" s="1147">
        <f t="shared" ref="AN66:AP66" si="279">-AN28</f>
        <v>162</v>
      </c>
      <c r="AO66" s="227">
        <f t="shared" si="279"/>
        <v>177</v>
      </c>
      <c r="AP66" s="227">
        <f t="shared" si="279"/>
        <v>148</v>
      </c>
      <c r="AQ66" s="1148">
        <f>-AQ28</f>
        <v>106</v>
      </c>
      <c r="AR66" s="1024">
        <f t="shared" ref="AR66:AT66" si="280">-AR28</f>
        <v>140</v>
      </c>
      <c r="AS66" s="1147">
        <f t="shared" si="280"/>
        <v>158</v>
      </c>
      <c r="AT66" s="1147">
        <f t="shared" si="280"/>
        <v>232</v>
      </c>
      <c r="AU66" s="1148">
        <f t="shared" ref="AU66" si="281">-AU28</f>
        <v>193</v>
      </c>
      <c r="AV66" s="1147">
        <f>-AV28</f>
        <v>325</v>
      </c>
      <c r="AW66" s="1147">
        <f>-AW28</f>
        <v>256</v>
      </c>
      <c r="AX66" s="1147">
        <f t="shared" ref="AX66:AY66" si="282">-AX28</f>
        <v>255</v>
      </c>
      <c r="AY66" s="1148">
        <f t="shared" si="282"/>
        <v>233</v>
      </c>
      <c r="AZ66" s="1147">
        <f>-AZ28</f>
        <v>220</v>
      </c>
      <c r="BA66" s="1098">
        <f>'AVGO IS'!BA8*BA68</f>
        <v>190.41952000000003</v>
      </c>
      <c r="BB66" s="1098">
        <f>'AVGO IS'!BB8*BB68</f>
        <v>156.36804899999998</v>
      </c>
      <c r="BC66" s="1289">
        <f>'AVGO IS'!BC8*BC68</f>
        <v>167.482913685</v>
      </c>
      <c r="BD66" s="1393">
        <f>'AVGO IS'!BD8*BD68</f>
        <v>159.93690461219998</v>
      </c>
      <c r="BE66" s="1098">
        <f>'AVGO IS'!BE8*BE68</f>
        <v>155.34683842197597</v>
      </c>
      <c r="BF66" s="1098">
        <f>'AVGO IS'!BF8*BF68</f>
        <v>166.41675851853165</v>
      </c>
      <c r="BG66" s="1289">
        <f>'AVGO IS'!BG8*BG68</f>
        <v>185.32939780764326</v>
      </c>
      <c r="BH66" s="1393">
        <f>'AVGO IS'!BH8*BH68</f>
        <v>177.06978188347361</v>
      </c>
      <c r="BI66" s="1098">
        <f>'AVGO IS'!BI8*BI68</f>
        <v>167.59431947018493</v>
      </c>
      <c r="BJ66" s="1098">
        <f>'AVGO IS'!BJ8*BJ68</f>
        <v>174.39810443013138</v>
      </c>
      <c r="BK66" s="1289">
        <f>'AVGO IS'!BK8*BK68</f>
        <v>185.46945295569765</v>
      </c>
      <c r="BL66" s="19"/>
      <c r="BM66" s="231">
        <f t="shared" ref="BM66:BY66" si="283">-BM28</f>
        <v>65</v>
      </c>
      <c r="BN66" s="231">
        <f t="shared" si="283"/>
        <v>37</v>
      </c>
      <c r="BO66" s="231">
        <f t="shared" si="283"/>
        <v>65</v>
      </c>
      <c r="BP66" s="231">
        <f t="shared" si="283"/>
        <v>57</v>
      </c>
      <c r="BQ66" s="162">
        <f t="shared" si="283"/>
        <v>79</v>
      </c>
      <c r="BR66" s="165">
        <f t="shared" si="283"/>
        <v>112</v>
      </c>
      <c r="BS66" s="162">
        <f t="shared" si="283"/>
        <v>241</v>
      </c>
      <c r="BT66" s="162">
        <f t="shared" si="283"/>
        <v>236</v>
      </c>
      <c r="BU66" s="162">
        <f t="shared" si="283"/>
        <v>409</v>
      </c>
      <c r="BV66" s="162">
        <f t="shared" si="283"/>
        <v>593</v>
      </c>
      <c r="BW66" s="162">
        <f t="shared" si="283"/>
        <v>723</v>
      </c>
      <c r="BX66" s="162">
        <f t="shared" si="283"/>
        <v>1069</v>
      </c>
      <c r="BY66" s="1020">
        <f t="shared" si="283"/>
        <v>734.27048268500005</v>
      </c>
      <c r="BZ66" s="1020">
        <f t="shared" ref="BZ66:CA66" si="284">-BZ28</f>
        <v>667.02989936035078</v>
      </c>
      <c r="CA66" s="165">
        <f t="shared" si="284"/>
        <v>704.53165873948763</v>
      </c>
      <c r="CB66" s="19"/>
      <c r="CC66" s="628">
        <f t="shared" ref="CC66:CN66" si="285">-CC28</f>
        <v>68</v>
      </c>
      <c r="CD66" s="231">
        <f t="shared" si="285"/>
        <v>41</v>
      </c>
      <c r="CE66" s="231">
        <f t="shared" si="285"/>
        <v>62</v>
      </c>
      <c r="CF66" s="231">
        <f t="shared" si="285"/>
        <v>54</v>
      </c>
      <c r="CG66" s="162">
        <f t="shared" si="285"/>
        <v>102</v>
      </c>
      <c r="CH66" s="162">
        <f t="shared" si="285"/>
        <v>127</v>
      </c>
      <c r="CI66" s="162">
        <f t="shared" si="285"/>
        <v>261</v>
      </c>
      <c r="CJ66" s="162">
        <f t="shared" si="285"/>
        <v>221</v>
      </c>
      <c r="CK66" s="162">
        <f t="shared" si="285"/>
        <v>519</v>
      </c>
      <c r="CL66" s="162">
        <f t="shared" si="285"/>
        <v>571</v>
      </c>
      <c r="CM66" s="1020">
        <f t="shared" si="285"/>
        <v>908</v>
      </c>
      <c r="CN66" s="1020">
        <f t="shared" si="285"/>
        <v>964</v>
      </c>
      <c r="CO66" s="1020">
        <f t="shared" ref="CO66:CP66" si="286">-CO28</f>
        <v>674.20738729720006</v>
      </c>
      <c r="CP66" s="165">
        <f t="shared" si="286"/>
        <v>684.16277663162452</v>
      </c>
      <c r="CQ66" s="7"/>
    </row>
    <row r="67" spans="1:95" ht="14.25" customHeight="1">
      <c r="A67" s="7"/>
      <c r="B67" s="20" t="s">
        <v>90</v>
      </c>
      <c r="C67" s="232"/>
      <c r="D67" s="233">
        <v>0</v>
      </c>
      <c r="E67" s="233">
        <v>0</v>
      </c>
      <c r="F67" s="233">
        <v>0</v>
      </c>
      <c r="G67" s="234">
        <v>0</v>
      </c>
      <c r="H67" s="233">
        <v>0</v>
      </c>
      <c r="I67" s="233">
        <v>0</v>
      </c>
      <c r="J67" s="233">
        <v>0</v>
      </c>
      <c r="K67" s="234">
        <v>0</v>
      </c>
      <c r="L67" s="233">
        <v>0</v>
      </c>
      <c r="M67" s="233">
        <v>0</v>
      </c>
      <c r="N67" s="233">
        <v>0</v>
      </c>
      <c r="O67" s="234">
        <v>0</v>
      </c>
      <c r="P67" s="233">
        <v>0</v>
      </c>
      <c r="Q67" s="233">
        <v>0</v>
      </c>
      <c r="R67" s="233">
        <v>0</v>
      </c>
      <c r="S67" s="234">
        <v>0</v>
      </c>
      <c r="T67" s="233">
        <v>0</v>
      </c>
      <c r="U67" s="233">
        <v>0</v>
      </c>
      <c r="V67" s="233">
        <v>0</v>
      </c>
      <c r="W67" s="234">
        <v>0</v>
      </c>
      <c r="X67" s="233">
        <v>0</v>
      </c>
      <c r="Y67" s="233">
        <v>0</v>
      </c>
      <c r="Z67" s="233">
        <v>0</v>
      </c>
      <c r="AA67" s="236"/>
      <c r="AB67" s="235"/>
      <c r="AC67" s="233">
        <v>0</v>
      </c>
      <c r="AD67" s="233">
        <v>0</v>
      </c>
      <c r="AE67" s="236"/>
      <c r="AF67" s="235"/>
      <c r="AG67" s="233">
        <v>0</v>
      </c>
      <c r="AH67" s="233">
        <v>0</v>
      </c>
      <c r="AI67" s="236"/>
      <c r="AJ67" s="235"/>
      <c r="AK67" s="233">
        <v>0</v>
      </c>
      <c r="AL67" s="233">
        <v>0</v>
      </c>
      <c r="AM67" s="236"/>
      <c r="AN67" s="235"/>
      <c r="AO67" s="233">
        <v>0</v>
      </c>
      <c r="AP67" s="233">
        <v>0</v>
      </c>
      <c r="AQ67" s="236"/>
      <c r="AR67" s="235"/>
      <c r="AS67" s="1027">
        <v>0</v>
      </c>
      <c r="AT67" s="235">
        <v>0</v>
      </c>
      <c r="AU67" s="236"/>
      <c r="AV67" s="235"/>
      <c r="AW67" s="1027"/>
      <c r="AX67" s="235">
        <v>0</v>
      </c>
      <c r="AY67" s="236"/>
      <c r="AZ67" s="235"/>
      <c r="BA67" s="235">
        <v>0</v>
      </c>
      <c r="BB67" s="235">
        <v>0</v>
      </c>
      <c r="BC67" s="235">
        <v>0</v>
      </c>
      <c r="BD67" s="1196">
        <v>0</v>
      </c>
      <c r="BE67" s="235">
        <v>0</v>
      </c>
      <c r="BF67" s="235">
        <v>0</v>
      </c>
      <c r="BG67" s="235">
        <v>0</v>
      </c>
      <c r="BH67" s="1196">
        <v>0</v>
      </c>
      <c r="BI67" s="235">
        <v>0</v>
      </c>
      <c r="BJ67" s="235">
        <v>0</v>
      </c>
      <c r="BK67" s="235">
        <v>0</v>
      </c>
      <c r="BL67" s="19"/>
      <c r="BM67" s="1027">
        <v>0</v>
      </c>
      <c r="BN67" s="238">
        <v>0</v>
      </c>
      <c r="BO67" s="238">
        <v>0</v>
      </c>
      <c r="BP67" s="238">
        <v>0</v>
      </c>
      <c r="BQ67" s="238">
        <v>0</v>
      </c>
      <c r="BR67" s="234">
        <v>0</v>
      </c>
      <c r="BS67" s="238">
        <v>0</v>
      </c>
      <c r="BT67" s="238">
        <v>0</v>
      </c>
      <c r="BU67" s="238">
        <v>0</v>
      </c>
      <c r="BV67" s="238">
        <v>0</v>
      </c>
      <c r="BW67" s="238">
        <v>0</v>
      </c>
      <c r="BX67" s="238">
        <v>0</v>
      </c>
      <c r="BY67" s="1027">
        <v>0</v>
      </c>
      <c r="BZ67" s="1027">
        <v>0</v>
      </c>
      <c r="CA67" s="1025">
        <v>0</v>
      </c>
      <c r="CB67" s="19"/>
      <c r="CC67" s="237">
        <v>0</v>
      </c>
      <c r="CD67" s="238">
        <v>0</v>
      </c>
      <c r="CE67" s="238">
        <v>0</v>
      </c>
      <c r="CF67" s="238">
        <v>0</v>
      </c>
      <c r="CG67" s="238">
        <v>0</v>
      </c>
      <c r="CH67" s="238">
        <v>0</v>
      </c>
      <c r="CI67" s="238">
        <v>0</v>
      </c>
      <c r="CJ67" s="238">
        <v>0</v>
      </c>
      <c r="CK67" s="238">
        <v>0</v>
      </c>
      <c r="CL67" s="238">
        <v>0</v>
      </c>
      <c r="CM67" s="1027">
        <v>0</v>
      </c>
      <c r="CN67" s="1027">
        <v>0</v>
      </c>
      <c r="CO67" s="1027">
        <v>0</v>
      </c>
      <c r="CP67" s="1025">
        <v>0</v>
      </c>
      <c r="CQ67" s="7"/>
    </row>
    <row r="68" spans="1:95" ht="14.25" customHeight="1">
      <c r="A68" s="7"/>
      <c r="B68" s="239" t="s">
        <v>91</v>
      </c>
      <c r="C68" s="240"/>
      <c r="D68" s="923">
        <f>D66/'AVGO IS'!D8</f>
        <v>2.2857142857142857E-2</v>
      </c>
      <c r="E68" s="923">
        <f>E66/'AVGO IS'!E8</f>
        <v>6.3535911602209949E-2</v>
      </c>
      <c r="F68" s="923">
        <f>F66/'AVGO IS'!F8</f>
        <v>5.3921568627450983E-2</v>
      </c>
      <c r="G68" s="924">
        <f>G66/'AVGO IS'!G8</f>
        <v>3.0534351145038167E-2</v>
      </c>
      <c r="H68" s="923">
        <f>H66/'AVGO IS'!H8</f>
        <v>2.9333333333333333E-2</v>
      </c>
      <c r="I68" s="923">
        <f>I66/'AVGO IS'!I8</f>
        <v>2.1052631578947368E-2</v>
      </c>
      <c r="J68" s="923">
        <f>J66/'AVGO IS'!J8</f>
        <v>2.0997375328083989E-2</v>
      </c>
      <c r="K68" s="924">
        <f>K66/'AVGO IS'!K8</f>
        <v>2.557544757033248E-2</v>
      </c>
      <c r="L68" s="923">
        <f>L66/'AVGO IS'!L8</f>
        <v>3.7313432835820892E-2</v>
      </c>
      <c r="M68" s="923">
        <f>M66/'AVGO IS'!M8</f>
        <v>3.1630170316301706E-2</v>
      </c>
      <c r="N68" s="923">
        <f>N66/'AVGO IS'!N8</f>
        <v>4.328018223234624E-2</v>
      </c>
      <c r="O68" s="924">
        <f>O66/'AVGO IS'!O8</f>
        <v>4.0268456375838924E-2</v>
      </c>
      <c r="P68" s="923">
        <f>P66/'AVGO IS'!P8</f>
        <v>3.2608695652173912E-2</v>
      </c>
      <c r="Q68" s="923">
        <f>Q66/'AVGO IS'!Q8</f>
        <v>0.04</v>
      </c>
      <c r="R68" s="923">
        <f>R66/'AVGO IS'!R8</f>
        <v>3.3057851239669422E-2</v>
      </c>
      <c r="S68" s="924">
        <f>S66/'AVGO IS'!S8</f>
        <v>4.6728971962616821E-2</v>
      </c>
      <c r="T68" s="923">
        <f>T66/'AVGO IS'!T8</f>
        <v>1.9736842105263157E-2</v>
      </c>
      <c r="U68" s="923">
        <f>U66/'AVGO IS'!U8</f>
        <v>3.4951456310679613E-2</v>
      </c>
      <c r="V68" s="923">
        <f>V66/'AVGO IS'!V8</f>
        <v>0.04</v>
      </c>
      <c r="W68" s="924">
        <f>W66/'AVGO IS'!W8</f>
        <v>5.2447552447552448E-2</v>
      </c>
      <c r="X68" s="923">
        <f>X66/'AVGO IS'!X8</f>
        <v>5.8181818181818182E-2</v>
      </c>
      <c r="Y68" s="923">
        <f>Y66/'AVGO IS'!Y8</f>
        <v>3.3928571428571426E-2</v>
      </c>
      <c r="Z68" s="923">
        <f>Z66/'AVGO IS'!Z8</f>
        <v>3.9800995024875621E-2</v>
      </c>
      <c r="AA68" s="924">
        <f>AA66/'AVGO IS'!AA8</f>
        <v>5.93900481540931E-2</v>
      </c>
      <c r="AB68" s="923">
        <f>AB66/'AVGO IS'!AB8</f>
        <v>8.348134991119005E-2</v>
      </c>
      <c r="AC68" s="923">
        <f>AC66/'AVGO IS'!AC8</f>
        <v>9.7053726169844021E-2</v>
      </c>
      <c r="AD68" s="923">
        <f>AD66/'AVGO IS'!AD8</f>
        <v>0.10726072607260725</v>
      </c>
      <c r="AE68" s="924">
        <f>AE66/'AVGO IS'!AE8</f>
        <v>0.11812297734627832</v>
      </c>
      <c r="AF68" s="923">
        <f>AF66/'AVGO IS'!AF8</f>
        <v>0.11631944444444445</v>
      </c>
      <c r="AG68" s="923">
        <f>AG66/'AVGO IS'!AG8</f>
        <v>8.3629893238434158E-2</v>
      </c>
      <c r="AH68" s="923">
        <f>AH66/'AVGO IS'!AH8</f>
        <v>0.10093167701863354</v>
      </c>
      <c r="AI68" s="924">
        <f>AI66/'AVGO IS'!AI8</f>
        <v>7.7235772357723581E-2</v>
      </c>
      <c r="AJ68" s="923">
        <f>AJ66/'AVGO IS'!AJ8</f>
        <v>7.334273624823695E-2</v>
      </c>
      <c r="AK68" s="923">
        <f>AK66/'AVGO IS'!AK8</f>
        <v>0.10413694721825963</v>
      </c>
      <c r="AL68" s="923">
        <f>AL66/'AVGO IS'!AL8</f>
        <v>7.486209613869188E-2</v>
      </c>
      <c r="AM68" s="924">
        <f>AM66/'AVGO IS'!AM8</f>
        <v>0.11886792452830189</v>
      </c>
      <c r="AN68" s="923">
        <f>AN66/'AVGO IS'!AN8</f>
        <v>9.9082568807339455E-2</v>
      </c>
      <c r="AO68" s="923">
        <f>AO66/'AVGO IS'!AO8</f>
        <v>0.10966542750929369</v>
      </c>
      <c r="AP68" s="923">
        <f>AP66/'AVGO IS'!AP8</f>
        <v>8.5302593659942361E-2</v>
      </c>
      <c r="AQ68" s="924">
        <f>AQ66/'AVGO IS'!AQ8</f>
        <v>5.7608695652173914E-2</v>
      </c>
      <c r="AR68" s="923">
        <f>AR66/'AVGO IS'!AR8</f>
        <v>7.9051383399209488E-2</v>
      </c>
      <c r="AS68" s="928">
        <f>AS66/'AVGO IS'!AS8</f>
        <v>4.4620163795537987E-2</v>
      </c>
      <c r="AT68" s="928">
        <f>AT66/'AVGO IS'!AT8</f>
        <v>6.118143459915612E-2</v>
      </c>
      <c r="AU68" s="924">
        <f>AU66/'AVGO IS'!AU8</f>
        <v>4.6663442940038685E-2</v>
      </c>
      <c r="AV68" s="923">
        <f>AV66/'AVGO IS'!AV8</f>
        <v>7.8521381976322788E-2</v>
      </c>
      <c r="AW68" s="928">
        <f>AW66/'AVGO IS'!AW8</f>
        <v>6.109785202863962E-2</v>
      </c>
      <c r="AX68" s="928">
        <f>AX66/'AVGO IS'!AX8</f>
        <v>5.713645529912615E-2</v>
      </c>
      <c r="AY68" s="924">
        <f>AY66/'AVGO IS'!AY8</f>
        <v>4.8100743187448392E-2</v>
      </c>
      <c r="AZ68" s="923">
        <f>AZ66/'AVGO IS'!AZ8</f>
        <v>4.1299042613103062E-2</v>
      </c>
      <c r="BA68" s="1266">
        <v>3.7999999999999999E-2</v>
      </c>
      <c r="BB68" s="1266">
        <v>0.03</v>
      </c>
      <c r="BC68" s="1266">
        <f>BB68</f>
        <v>0.03</v>
      </c>
      <c r="BD68" s="1372">
        <f>BC68</f>
        <v>0.03</v>
      </c>
      <c r="BE68" s="1369">
        <f t="shared" ref="BE68:BG68" si="287">BD68</f>
        <v>0.03</v>
      </c>
      <c r="BF68" s="1369">
        <f t="shared" si="287"/>
        <v>0.03</v>
      </c>
      <c r="BG68" s="1369">
        <f t="shared" si="287"/>
        <v>0.03</v>
      </c>
      <c r="BH68" s="1372">
        <f>BG68</f>
        <v>0.03</v>
      </c>
      <c r="BI68" s="1369">
        <f t="shared" ref="BI68" si="288">BH68</f>
        <v>0.03</v>
      </c>
      <c r="BJ68" s="1369">
        <f t="shared" ref="BJ68" si="289">BI68</f>
        <v>0.03</v>
      </c>
      <c r="BK68" s="1369">
        <f t="shared" ref="BK68" si="290">BJ68</f>
        <v>0.03</v>
      </c>
      <c r="BL68" s="19"/>
      <c r="BM68" s="928">
        <f>BM66/'AVGO IS'!BM8</f>
        <v>4.2961004626569731E-2</v>
      </c>
      <c r="BN68" s="928">
        <f>BN66/'AVGO IS'!BN8</f>
        <v>2.4230517354289455E-2</v>
      </c>
      <c r="BO68" s="928">
        <f>BO66/'AVGO IS'!BO8</f>
        <v>3.8257798705120659E-2</v>
      </c>
      <c r="BP68" s="928">
        <f>BP66/'AVGO IS'!BP8</f>
        <v>3.840970350404313E-2</v>
      </c>
      <c r="BQ68" s="928">
        <f>BQ66/'AVGO IS'!BQ8</f>
        <v>3.7744863831820352E-2</v>
      </c>
      <c r="BR68" s="924">
        <f>BR66/'AVGO IS'!BR8</f>
        <v>4.7945205479452052E-2</v>
      </c>
      <c r="BS68" s="928">
        <f>BS66/'AVGO IS'!BS8</f>
        <v>0.10194585448392555</v>
      </c>
      <c r="BT68" s="928">
        <f>BT66/'AVGO IS'!BT8</f>
        <v>9.3650793650793651E-2</v>
      </c>
      <c r="BU68" s="928">
        <f>BU66/'AVGO IS'!BU8</f>
        <v>9.5806980557507609E-2</v>
      </c>
      <c r="BV68" s="928">
        <f>BV66/'AVGO IS'!BV8</f>
        <v>8.6899179366940207E-2</v>
      </c>
      <c r="BW68" s="928">
        <f>BW66/'AVGO IS'!BW8</f>
        <v>5.460725075528701E-2</v>
      </c>
      <c r="BX68" s="928">
        <f>BX66/'AVGO IS'!BX8</f>
        <v>6.061465184849172E-2</v>
      </c>
      <c r="BY68" s="928">
        <f>BY66/'AVGO IS'!BY8</f>
        <v>3.4745089572179304E-2</v>
      </c>
      <c r="BZ68" s="928">
        <f>BZ66/'AVGO IS'!BZ8</f>
        <v>2.9999999999999992E-2</v>
      </c>
      <c r="CA68" s="924">
        <f>CA66/'AVGO IS'!CA8</f>
        <v>0.03</v>
      </c>
      <c r="CB68" s="19"/>
      <c r="CC68" s="629">
        <f>CC66/'AVGO IS'!CC8</f>
        <v>4.4213263979193757E-2</v>
      </c>
      <c r="CD68" s="241">
        <f>CD66/'AVGO IS'!CD8</f>
        <v>2.6383526383526385E-2</v>
      </c>
      <c r="CE68" s="241">
        <f>CE66/'AVGO IS'!CE8</f>
        <v>3.7237237237237236E-2</v>
      </c>
      <c r="CF68" s="241">
        <f>CF66/'AVGO IS'!CF8</f>
        <v>3.4351145038167941E-2</v>
      </c>
      <c r="CG68" s="87">
        <f>CG66/'AVGO IS'!CG8</f>
        <v>4.663923182441701E-2</v>
      </c>
      <c r="CH68" s="87">
        <f>CH66/'AVGO IS'!CH8</f>
        <v>5.4065559812686251E-2</v>
      </c>
      <c r="CI68" s="87">
        <f>CI66/'AVGO IS'!CI8</f>
        <v>0.10980227177114009</v>
      </c>
      <c r="CJ68" s="87">
        <f>CJ66/'AVGO IS'!CJ8</f>
        <v>8.3301922352054275E-2</v>
      </c>
      <c r="CK68" s="87">
        <f>CK66/'AVGO IS'!CK8</f>
        <v>9.9903753609239657E-2</v>
      </c>
      <c r="CL68" s="87">
        <f>CL66/'AVGO IS'!CL8</f>
        <v>8.2040229885057478E-2</v>
      </c>
      <c r="CM68" s="1308">
        <f>CM66/'AVGO IS'!CM8</f>
        <v>5.8175294720656072E-2</v>
      </c>
      <c r="CN68" s="1308">
        <f>CN66/'AVGO IS'!CN8</f>
        <v>5.1211219719507012E-2</v>
      </c>
      <c r="CO68" s="1308">
        <f>CO66/'AVGO IS'!CO8</f>
        <v>3.1896567477660058E-2</v>
      </c>
      <c r="CP68" s="1309">
        <f>CP66/'AVGO IS'!CP8</f>
        <v>3.0000000000000002E-2</v>
      </c>
      <c r="CQ68" s="7"/>
    </row>
    <row r="69" spans="1:95" ht="14.25" customHeight="1">
      <c r="A69" s="7"/>
      <c r="B69" s="14" t="s">
        <v>92</v>
      </c>
      <c r="C69" s="15"/>
      <c r="D69" s="242"/>
      <c r="E69" s="242"/>
      <c r="F69" s="244"/>
      <c r="G69" s="245"/>
      <c r="H69" s="242"/>
      <c r="I69" s="242"/>
      <c r="J69" s="244"/>
      <c r="K69" s="245"/>
      <c r="L69" s="242"/>
      <c r="M69" s="242"/>
      <c r="N69" s="244"/>
      <c r="O69" s="245"/>
      <c r="P69" s="242"/>
      <c r="Q69" s="242"/>
      <c r="R69" s="244"/>
      <c r="S69" s="245"/>
      <c r="T69" s="242"/>
      <c r="U69" s="242"/>
      <c r="V69" s="244"/>
      <c r="W69" s="245"/>
      <c r="X69" s="242"/>
      <c r="Y69" s="242"/>
      <c r="Z69" s="242"/>
      <c r="AA69" s="245">
        <f>AA14+AA30</f>
        <v>0</v>
      </c>
      <c r="AB69" s="246">
        <f>AB14+AB30</f>
        <v>0</v>
      </c>
      <c r="AC69" s="242"/>
      <c r="AD69" s="242"/>
      <c r="AE69" s="245">
        <f>AE14+AE30</f>
        <v>0</v>
      </c>
      <c r="AF69" s="246">
        <f>AF14+AF30</f>
        <v>0</v>
      </c>
      <c r="AG69" s="242"/>
      <c r="AH69" s="242"/>
      <c r="AI69" s="245">
        <f>AI14+AI30</f>
        <v>0</v>
      </c>
      <c r="AJ69" s="246">
        <f>AJ14+AJ30</f>
        <v>0</v>
      </c>
      <c r="AK69" s="246">
        <f>AK14+AK30</f>
        <v>0</v>
      </c>
      <c r="AL69" s="246"/>
      <c r="AM69" s="245">
        <f t="shared" ref="AM69:BC69" si="291">AM14+AM30</f>
        <v>450</v>
      </c>
      <c r="AN69" s="1029">
        <f>AN14+AN30</f>
        <v>650</v>
      </c>
      <c r="AO69" s="1029">
        <f>AO14+AO30</f>
        <v>37</v>
      </c>
      <c r="AP69" s="1029"/>
      <c r="AQ69" s="1028">
        <f t="shared" si="291"/>
        <v>47</v>
      </c>
      <c r="AR69" s="1029">
        <f>AR14+AR30</f>
        <v>0</v>
      </c>
      <c r="AS69" s="1029">
        <f>AS14+AS30</f>
        <v>0</v>
      </c>
      <c r="AT69" s="1029"/>
      <c r="AU69" s="1028">
        <f t="shared" ref="AU69" si="292">AU14+AU30</f>
        <v>0</v>
      </c>
      <c r="AV69" s="1029">
        <f t="shared" ref="AV69:AW69" si="293">AV14+AV30</f>
        <v>10</v>
      </c>
      <c r="AW69" s="1029">
        <f t="shared" si="293"/>
        <v>0</v>
      </c>
      <c r="AX69" s="1029"/>
      <c r="AY69" s="1028">
        <f t="shared" ref="AY69" si="294">AY14+AY30</f>
        <v>440</v>
      </c>
      <c r="AZ69" s="1029">
        <f t="shared" si="291"/>
        <v>1019</v>
      </c>
      <c r="BA69" s="246">
        <f t="shared" si="291"/>
        <v>0</v>
      </c>
      <c r="BB69" s="246">
        <f t="shared" si="291"/>
        <v>0</v>
      </c>
      <c r="BC69" s="1029">
        <f t="shared" si="291"/>
        <v>0</v>
      </c>
      <c r="BD69" s="1030">
        <f t="shared" ref="BD69:BG69" si="295">BD14+BD30</f>
        <v>0</v>
      </c>
      <c r="BE69" s="1029">
        <f t="shared" si="295"/>
        <v>0</v>
      </c>
      <c r="BF69" s="1029">
        <f t="shared" si="295"/>
        <v>0</v>
      </c>
      <c r="BG69" s="1029">
        <f t="shared" si="295"/>
        <v>0</v>
      </c>
      <c r="BH69" s="1030">
        <f t="shared" ref="BH69:BK69" si="296">BH14+BH30</f>
        <v>0</v>
      </c>
      <c r="BI69" s="1029">
        <f t="shared" si="296"/>
        <v>0</v>
      </c>
      <c r="BJ69" s="1029">
        <f t="shared" si="296"/>
        <v>0</v>
      </c>
      <c r="BK69" s="1029">
        <f t="shared" si="296"/>
        <v>0</v>
      </c>
      <c r="BL69" s="19"/>
      <c r="BM69" s="244">
        <f t="shared" ref="BM69:BY69" si="297">BM14</f>
        <v>5</v>
      </c>
      <c r="BN69" s="244">
        <f t="shared" si="297"/>
        <v>2</v>
      </c>
      <c r="BO69" s="244">
        <f t="shared" si="297"/>
        <v>2</v>
      </c>
      <c r="BP69" s="244">
        <f t="shared" si="297"/>
        <v>2</v>
      </c>
      <c r="BQ69" s="246">
        <f t="shared" si="297"/>
        <v>2</v>
      </c>
      <c r="BR69" s="245">
        <f t="shared" si="297"/>
        <v>1</v>
      </c>
      <c r="BS69" s="246">
        <f t="shared" si="297"/>
        <v>3</v>
      </c>
      <c r="BT69" s="246">
        <f t="shared" si="297"/>
        <v>0</v>
      </c>
      <c r="BU69" s="246">
        <f t="shared" si="297"/>
        <v>0</v>
      </c>
      <c r="BV69" s="246">
        <f t="shared" si="297"/>
        <v>0</v>
      </c>
      <c r="BW69" s="246">
        <f t="shared" si="297"/>
        <v>0</v>
      </c>
      <c r="BX69" s="246">
        <f t="shared" si="297"/>
        <v>0</v>
      </c>
      <c r="BY69" s="1029">
        <f t="shared" si="297"/>
        <v>0</v>
      </c>
      <c r="BZ69" s="1029">
        <f t="shared" ref="BZ69:CA69" si="298">BZ14</f>
        <v>0</v>
      </c>
      <c r="CA69" s="1028">
        <f t="shared" si="298"/>
        <v>0</v>
      </c>
      <c r="CB69" s="19"/>
      <c r="CC69" s="630">
        <f t="shared" ref="CC69:CN69" si="299">CC14</f>
        <v>5</v>
      </c>
      <c r="CD69" s="244">
        <f t="shared" si="299"/>
        <v>2</v>
      </c>
      <c r="CE69" s="244">
        <f t="shared" si="299"/>
        <v>2</v>
      </c>
      <c r="CF69" s="244">
        <f t="shared" si="299"/>
        <v>3</v>
      </c>
      <c r="CG69" s="246">
        <f t="shared" si="299"/>
        <v>1</v>
      </c>
      <c r="CH69" s="246">
        <f t="shared" si="299"/>
        <v>1</v>
      </c>
      <c r="CI69" s="246">
        <f t="shared" si="299"/>
        <v>3</v>
      </c>
      <c r="CJ69" s="246">
        <f t="shared" si="299"/>
        <v>0</v>
      </c>
      <c r="CK69" s="246">
        <f t="shared" si="299"/>
        <v>0</v>
      </c>
      <c r="CL69" s="246">
        <f t="shared" si="299"/>
        <v>0</v>
      </c>
      <c r="CM69" s="1029">
        <f t="shared" si="299"/>
        <v>0</v>
      </c>
      <c r="CN69" s="1029">
        <f t="shared" si="299"/>
        <v>0</v>
      </c>
      <c r="CO69" s="1029">
        <f t="shared" ref="CO69:CP69" si="300">CO14</f>
        <v>0</v>
      </c>
      <c r="CP69" s="1028">
        <f t="shared" si="300"/>
        <v>0</v>
      </c>
      <c r="CQ69" s="7"/>
    </row>
    <row r="70" spans="1:95" ht="14.25" customHeight="1">
      <c r="A70" s="7"/>
      <c r="B70" s="20" t="s">
        <v>93</v>
      </c>
      <c r="C70" s="232"/>
      <c r="D70" s="229">
        <f>E70-D66</f>
        <v>867</v>
      </c>
      <c r="E70" s="229">
        <f>F70-E66</f>
        <v>875</v>
      </c>
      <c r="F70" s="229">
        <f>G70-F66</f>
        <v>898</v>
      </c>
      <c r="G70" s="248">
        <f>AD70</f>
        <v>920</v>
      </c>
      <c r="H70" s="229">
        <f>I70-H66</f>
        <v>1140</v>
      </c>
      <c r="I70" s="229">
        <f>J70-I66</f>
        <v>1151</v>
      </c>
      <c r="J70" s="229">
        <f>K70-J66</f>
        <v>1159</v>
      </c>
      <c r="K70" s="248">
        <f>AH70</f>
        <v>1167</v>
      </c>
      <c r="L70" s="229">
        <f>M70-L66</f>
        <v>1405</v>
      </c>
      <c r="M70" s="229">
        <f>N70-M66</f>
        <v>1420</v>
      </c>
      <c r="N70" s="229">
        <f>O70-N66</f>
        <v>1433</v>
      </c>
      <c r="O70" s="248">
        <f>AL70</f>
        <v>1452</v>
      </c>
      <c r="P70" s="229">
        <f>Q70-P66</f>
        <v>460</v>
      </c>
      <c r="Q70" s="229">
        <f>R70-Q66</f>
        <v>472</v>
      </c>
      <c r="R70" s="229">
        <f>S70-R66</f>
        <v>485</v>
      </c>
      <c r="S70" s="248">
        <f>BM70</f>
        <v>497</v>
      </c>
      <c r="T70" s="229">
        <f>U70-T66</f>
        <v>591</v>
      </c>
      <c r="U70" s="229">
        <f>V70-U66</f>
        <v>600</v>
      </c>
      <c r="V70" s="229">
        <f>W70-V66</f>
        <v>618</v>
      </c>
      <c r="W70" s="248">
        <f>BQ70</f>
        <v>640</v>
      </c>
      <c r="X70" s="229">
        <f t="shared" ref="X70:AD70" si="301">W70+X66+X67-X69</f>
        <v>672</v>
      </c>
      <c r="Y70" s="229">
        <f t="shared" si="301"/>
        <v>691</v>
      </c>
      <c r="Z70" s="229">
        <f t="shared" si="301"/>
        <v>715</v>
      </c>
      <c r="AA70" s="230">
        <f t="shared" si="301"/>
        <v>752</v>
      </c>
      <c r="AB70" s="229">
        <f t="shared" si="301"/>
        <v>799</v>
      </c>
      <c r="AC70" s="229">
        <f t="shared" si="301"/>
        <v>855</v>
      </c>
      <c r="AD70" s="229">
        <f t="shared" si="301"/>
        <v>920</v>
      </c>
      <c r="AE70" s="236">
        <v>988</v>
      </c>
      <c r="AF70" s="229">
        <f>AE70+AF66+AF67-AF69</f>
        <v>1055</v>
      </c>
      <c r="AG70" s="229">
        <f>AF70+AG66+AG67-AG69</f>
        <v>1102</v>
      </c>
      <c r="AH70" s="229">
        <f>AG70+AH66+AH67-AH69</f>
        <v>1167</v>
      </c>
      <c r="AI70" s="236">
        <v>1232</v>
      </c>
      <c r="AJ70" s="229">
        <f>AI70+AJ66+AJ67-AJ69</f>
        <v>1284</v>
      </c>
      <c r="AK70" s="229">
        <f>AJ70+AK66+AK67-AK69</f>
        <v>1357</v>
      </c>
      <c r="AL70" s="229">
        <f>AK70+AL66+AL67-AL69</f>
        <v>1452</v>
      </c>
      <c r="AM70" s="236">
        <v>1851</v>
      </c>
      <c r="AN70" s="1147">
        <f>AM70+AN66+AN67-AN69</f>
        <v>1363</v>
      </c>
      <c r="AO70" s="1147">
        <f>AN70+AO66+AO67-AO69</f>
        <v>1503</v>
      </c>
      <c r="AP70" s="1147">
        <f>AO70+AP66+AP67-AP69</f>
        <v>1651</v>
      </c>
      <c r="AQ70" s="236">
        <v>2236</v>
      </c>
      <c r="AR70" s="1024">
        <f t="shared" ref="AR70:AZ70" si="302">AQ70+AR66+AR67-AR69</f>
        <v>2376</v>
      </c>
      <c r="AS70" s="1024">
        <f t="shared" si="302"/>
        <v>2534</v>
      </c>
      <c r="AT70" s="1147">
        <f t="shared" si="302"/>
        <v>2766</v>
      </c>
      <c r="AU70" s="236">
        <v>3638</v>
      </c>
      <c r="AV70" s="1147">
        <f t="shared" si="302"/>
        <v>3953</v>
      </c>
      <c r="AW70" s="1147">
        <f t="shared" si="302"/>
        <v>4209</v>
      </c>
      <c r="AX70" s="1147">
        <f t="shared" si="302"/>
        <v>4464</v>
      </c>
      <c r="AY70" s="236">
        <v>4092</v>
      </c>
      <c r="AZ70" s="1147">
        <f t="shared" si="302"/>
        <v>3293</v>
      </c>
      <c r="BA70" s="229">
        <f t="shared" ref="BA70:BC70" si="303">AZ70+BA66+BA67-BA69</f>
        <v>3483.4195199999999</v>
      </c>
      <c r="BB70" s="229">
        <f t="shared" si="303"/>
        <v>3639.7875690000001</v>
      </c>
      <c r="BC70" s="1147">
        <f t="shared" si="303"/>
        <v>3807.2704826849999</v>
      </c>
      <c r="BD70" s="1158">
        <f t="shared" ref="BD70" si="304">BC70+BD66+BD67-BD69</f>
        <v>3967.2073872972001</v>
      </c>
      <c r="BE70" s="1147">
        <f t="shared" ref="BE70" si="305">BD70+BE66+BE67-BE69</f>
        <v>4122.5542257191764</v>
      </c>
      <c r="BF70" s="1147">
        <f t="shared" ref="BF70" si="306">BE70+BF66+BF67-BF69</f>
        <v>4288.9709842377079</v>
      </c>
      <c r="BG70" s="1147">
        <f t="shared" ref="BG70" si="307">BF70+BG66+BG67-BG69</f>
        <v>4474.3003820453514</v>
      </c>
      <c r="BH70" s="1158">
        <f t="shared" ref="BH70" si="308">BG70+BH66+BH67-BH69</f>
        <v>4651.3701639288247</v>
      </c>
      <c r="BI70" s="1147">
        <f t="shared" ref="BI70" si="309">BH70+BI66+BI67-BI69</f>
        <v>4818.9644833990096</v>
      </c>
      <c r="BJ70" s="1147">
        <f t="shared" ref="BJ70" si="310">BI70+BJ66+BJ67-BJ69</f>
        <v>4993.3625878291414</v>
      </c>
      <c r="BK70" s="1147">
        <f t="shared" ref="BK70" si="311">BJ70+BK66+BK67-BK69</f>
        <v>5178.8320407848387</v>
      </c>
      <c r="BL70" s="19"/>
      <c r="BM70" s="929">
        <v>497</v>
      </c>
      <c r="BN70" s="929">
        <v>453</v>
      </c>
      <c r="BO70" s="929">
        <v>515</v>
      </c>
      <c r="BP70" s="929">
        <v>558</v>
      </c>
      <c r="BQ70" s="929">
        <v>640</v>
      </c>
      <c r="BR70" s="165">
        <f>AA70</f>
        <v>752</v>
      </c>
      <c r="BS70" s="164">
        <f>AE70</f>
        <v>988</v>
      </c>
      <c r="BT70" s="162">
        <f>AI70</f>
        <v>1232</v>
      </c>
      <c r="BU70" s="162">
        <f>AM70</f>
        <v>1851</v>
      </c>
      <c r="BV70" s="162">
        <f>AQ70</f>
        <v>2236</v>
      </c>
      <c r="BW70" s="162">
        <f>AU70</f>
        <v>3638</v>
      </c>
      <c r="BX70" s="162">
        <f>AY70</f>
        <v>4092</v>
      </c>
      <c r="BY70" s="1020">
        <f>BC70</f>
        <v>3807.2704826849999</v>
      </c>
      <c r="BZ70" s="1020">
        <f>BG70</f>
        <v>4474.3003820453514</v>
      </c>
      <c r="CA70" s="165">
        <f>BK70</f>
        <v>5178.8320407848387</v>
      </c>
      <c r="CB70" s="19"/>
      <c r="CC70" s="250">
        <f>H70</f>
        <v>1140</v>
      </c>
      <c r="CD70" s="249">
        <f>L70</f>
        <v>1405</v>
      </c>
      <c r="CE70" s="249">
        <f>P70</f>
        <v>460</v>
      </c>
      <c r="CF70" s="249">
        <f>T70</f>
        <v>591</v>
      </c>
      <c r="CG70" s="249">
        <f>X70</f>
        <v>672</v>
      </c>
      <c r="CH70" s="249">
        <f>AB70</f>
        <v>799</v>
      </c>
      <c r="CI70" s="249">
        <f>AF70</f>
        <v>1055</v>
      </c>
      <c r="CJ70" s="249">
        <f>AJ70</f>
        <v>1284</v>
      </c>
      <c r="CK70" s="249">
        <f>AN70</f>
        <v>1363</v>
      </c>
      <c r="CL70" s="249">
        <f>AR70</f>
        <v>2376</v>
      </c>
      <c r="CM70" s="1150">
        <f>AV70</f>
        <v>3953</v>
      </c>
      <c r="CN70" s="1150">
        <f>AZ70</f>
        <v>3293</v>
      </c>
      <c r="CO70" s="1150">
        <f>BD70</f>
        <v>3967.2073872972001</v>
      </c>
      <c r="CP70" s="1023">
        <f>BH70</f>
        <v>4651.3701639288247</v>
      </c>
      <c r="CQ70" s="7"/>
    </row>
    <row r="71" spans="1:95" ht="14.25" customHeight="1">
      <c r="A71" s="7"/>
      <c r="B71" s="239" t="s">
        <v>94</v>
      </c>
      <c r="C71" s="240"/>
      <c r="D71" s="923">
        <f>D70/'BS '!D20</f>
        <v>0.28986960882647944</v>
      </c>
      <c r="E71" s="923">
        <f>E70/'BS '!E20</f>
        <v>0.3458498023715415</v>
      </c>
      <c r="F71" s="923">
        <f>F70/'BS '!F20</f>
        <v>0.40414041404140416</v>
      </c>
      <c r="G71" s="924">
        <f>G70/'BS '!G20</f>
        <v>0.41497519170049618</v>
      </c>
      <c r="H71" s="923">
        <f>H70/'BS '!H20</f>
        <v>0.53672316384180796</v>
      </c>
      <c r="I71" s="923">
        <f>I70/'BS '!I20</f>
        <v>0.56256109481915939</v>
      </c>
      <c r="J71" s="923">
        <f>J70/'BS '!J20</f>
        <v>0.61128691983122363</v>
      </c>
      <c r="K71" s="924">
        <f>K70/'BS '!K20</f>
        <v>0.5981547924141466</v>
      </c>
      <c r="L71" s="923">
        <f>L70/'BS '!L20</f>
        <v>0.80933179723502302</v>
      </c>
      <c r="M71" s="923">
        <f>M70/'BS '!M20</f>
        <v>0.81562320505456631</v>
      </c>
      <c r="N71" s="923">
        <f>N70/'BS '!N20</f>
        <v>0.79258849557522126</v>
      </c>
      <c r="O71" s="924">
        <f>O70/'BS '!O20</f>
        <v>0.77605558524853024</v>
      </c>
      <c r="P71" s="923">
        <f>P70/'BS '!P20</f>
        <v>0.25219298245614036</v>
      </c>
      <c r="Q71" s="923">
        <f>Q70/'BS '!Q20</f>
        <v>0.26149584487534627</v>
      </c>
      <c r="R71" s="923">
        <f>R70/'BS '!R20</f>
        <v>0.27323943661971833</v>
      </c>
      <c r="S71" s="924">
        <f>S70/'BS '!S20</f>
        <v>0.25228426395939085</v>
      </c>
      <c r="T71" s="923">
        <f>T70/'BS '!T20</f>
        <v>0.36213235294117646</v>
      </c>
      <c r="U71" s="923">
        <f>U70/'BS '!U20</f>
        <v>0.33670033670033672</v>
      </c>
      <c r="V71" s="923">
        <f>V70/'BS '!V20</f>
        <v>0.32187500000000002</v>
      </c>
      <c r="W71" s="924">
        <f>W70/'BS '!W20</f>
        <v>0.29670839128419102</v>
      </c>
      <c r="X71" s="923">
        <f>X70/'BS '!X20</f>
        <v>0.34094368340943682</v>
      </c>
      <c r="Y71" s="923">
        <f>Y70/'BS '!Y20</f>
        <v>0.31740927882406983</v>
      </c>
      <c r="Z71" s="923">
        <f>Z70/'BS '!Z20</f>
        <v>0.31456225252969644</v>
      </c>
      <c r="AA71" s="924">
        <f>AA70/'BS '!AA20</f>
        <v>0.30744071954210955</v>
      </c>
      <c r="AB71" s="923">
        <f>AB70/'BS '!AB20</f>
        <v>0.32692307692307693</v>
      </c>
      <c r="AC71" s="923">
        <f>AC70/'BS '!AC20</f>
        <v>0.32746074301034084</v>
      </c>
      <c r="AD71" s="923">
        <f>AD70/'BS '!AD20</f>
        <v>0.33885819521178639</v>
      </c>
      <c r="AE71" s="924">
        <f>AE70/'BS '!AE20</f>
        <v>0.34521313766596784</v>
      </c>
      <c r="AF71" s="923">
        <f>AF70/'BS '!AF20</f>
        <v>0.3647994467496542</v>
      </c>
      <c r="AG71" s="923">
        <f>AG70/'BS '!AG20</f>
        <v>0.36261928265876936</v>
      </c>
      <c r="AH71" s="923">
        <f>AH70/'BS '!AH20</f>
        <v>0.36423220973782772</v>
      </c>
      <c r="AI71" s="924">
        <f>AI70/'BS '!AI20</f>
        <v>0.36076134699853585</v>
      </c>
      <c r="AJ71" s="923">
        <f>AJ70/'BS '!AJ20</f>
        <v>0.36981566820276496</v>
      </c>
      <c r="AK71" s="923">
        <f>AK70/'BS '!AK20</f>
        <v>0.3696540452192863</v>
      </c>
      <c r="AL71" s="923">
        <f>AL70/'BS '!AL20</f>
        <v>0.14149288637692459</v>
      </c>
      <c r="AM71" s="924">
        <f>AM70/'BS '!AM20</f>
        <v>0.17643694595367457</v>
      </c>
      <c r="AN71" s="923">
        <f>AN70/'BS '!AN20</f>
        <v>0.12741890249602691</v>
      </c>
      <c r="AO71" s="923">
        <f>AO70/'BS '!AO20</f>
        <v>0.14270793771363463</v>
      </c>
      <c r="AP71" s="923">
        <f>AP70/'BS '!AP20</f>
        <v>0.16529835802963555</v>
      </c>
      <c r="AQ71" s="924">
        <f>AQ70/'BS '!AQ20</f>
        <v>0.21110271903323263</v>
      </c>
      <c r="AR71" s="923">
        <f>AR70/'BS '!AR20</f>
        <v>0.22046951841885498</v>
      </c>
      <c r="AS71" s="923">
        <f>AS70/'BS '!AS20</f>
        <v>4.9292897854377807E-2</v>
      </c>
      <c r="AT71" s="928">
        <f>AT70/'BS '!AT20</f>
        <v>5.5595754944524844E-2</v>
      </c>
      <c r="AU71" s="924">
        <f>AU70/'BS '!AU20</f>
        <v>7.2809510467117644E-2</v>
      </c>
      <c r="AV71" s="923">
        <f>AV70/'BS '!AV20</f>
        <v>7.9670274301146787E-2</v>
      </c>
      <c r="AW71" s="923">
        <f>AW70/'BS '!AW20</f>
        <v>8.4434993680916365E-2</v>
      </c>
      <c r="AX71" s="928">
        <f>AX70/'BS '!AX20</f>
        <v>8.9383685074686636E-2</v>
      </c>
      <c r="AY71" s="924">
        <f>AY70/'BS '!AY20</f>
        <v>7.5195707302730716E-2</v>
      </c>
      <c r="AZ71" s="923">
        <f>AZ70/'BS '!AZ20</f>
        <v>6.0373276620709883E-2</v>
      </c>
      <c r="BA71" s="923">
        <f>BA70/'BS '!BA20</f>
        <v>6.2296170972448481E-2</v>
      </c>
      <c r="BB71" s="923">
        <f>BB70/'BS '!BB20</f>
        <v>6.3468094605959202E-2</v>
      </c>
      <c r="BC71" s="928">
        <f>BC70/'BS '!BC20</f>
        <v>6.4553515265044173E-2</v>
      </c>
      <c r="BD71" s="927">
        <f>BD70/'BS '!BD20</f>
        <v>6.5579142027240453E-2</v>
      </c>
      <c r="BE71" s="923">
        <f>BE70/'BS '!BE20</f>
        <v>6.6996681004915404E-2</v>
      </c>
      <c r="BF71" s="923">
        <f>BF70/'BS '!BF20</f>
        <v>6.8213764644029729E-2</v>
      </c>
      <c r="BG71" s="928">
        <f>BG70/'BS '!BG20</f>
        <v>6.9303661138953129E-2</v>
      </c>
      <c r="BH71" s="927">
        <f>BH70/'BS '!BH20</f>
        <v>7.0583697903595852E-2</v>
      </c>
      <c r="BI71" s="923">
        <f>BI70/'BS '!BI20</f>
        <v>7.1827105759046453E-2</v>
      </c>
      <c r="BJ71" s="923">
        <f>BJ70/'BS '!BJ20</f>
        <v>7.2871183903790882E-2</v>
      </c>
      <c r="BK71" s="928">
        <f>BK70/'BS '!BK20</f>
        <v>7.3807161112349862E-2</v>
      </c>
      <c r="BL71" s="19"/>
      <c r="BM71" s="928">
        <f>BM70/'BS '!BM20</f>
        <v>0.22417681551646368</v>
      </c>
      <c r="BN71" s="928">
        <f>BN70/'BS '!BN20</f>
        <v>0.23218862121988723</v>
      </c>
      <c r="BO71" s="928">
        <f>BO70/'BS '!BO20</f>
        <v>0.27525387493319081</v>
      </c>
      <c r="BP71" s="928">
        <f>BP70/'BS '!BP20</f>
        <v>0.28324873096446701</v>
      </c>
      <c r="BQ71" s="928">
        <f>BQ70/'BS '!BQ20</f>
        <v>0.29670839128419102</v>
      </c>
      <c r="BR71" s="924">
        <f>BR70/'BS '!BR20</f>
        <v>0.30744071954210955</v>
      </c>
      <c r="BS71" s="927">
        <f>BS70/'BS '!BS20</f>
        <v>0.34521313766596784</v>
      </c>
      <c r="BT71" s="928">
        <f>BT70/'BS '!BT20</f>
        <v>0.36076134699853585</v>
      </c>
      <c r="BU71" s="928">
        <f>BU70/'BS '!BU20</f>
        <v>0.17643694595367457</v>
      </c>
      <c r="BV71" s="928">
        <f>BV70/'BS '!BV20</f>
        <v>0.21110271903323263</v>
      </c>
      <c r="BW71" s="928">
        <f>BW70/'BS '!BW20</f>
        <v>7.2809510467117644E-2</v>
      </c>
      <c r="BX71" s="928">
        <f>BX70/'BS '!BX20</f>
        <v>7.5195707302730716E-2</v>
      </c>
      <c r="BY71" s="928">
        <f>BY70/'BS '!BY20</f>
        <v>6.4553515265044173E-2</v>
      </c>
      <c r="BZ71" s="928">
        <f>BZ70/'BS '!BZ20</f>
        <v>6.9303661138953129E-2</v>
      </c>
      <c r="CA71" s="924">
        <f>CA70/'BS '!CA20</f>
        <v>7.3807161112349862E-2</v>
      </c>
      <c r="CB71" s="19"/>
      <c r="CC71" s="149">
        <f>CC70/'BS '!CC20</f>
        <v>0.53672316384180796</v>
      </c>
      <c r="CD71" s="87">
        <f>CD70/'BS '!CD20</f>
        <v>0.80933179723502302</v>
      </c>
      <c r="CE71" s="87">
        <f>CE70/'BS '!CE20</f>
        <v>0.25219298245614036</v>
      </c>
      <c r="CF71" s="87">
        <f>CF70/'BS '!CF20</f>
        <v>0.36213235294117646</v>
      </c>
      <c r="CG71" s="87">
        <f>CG70/'BS '!CG20</f>
        <v>0.34094368340943682</v>
      </c>
      <c r="CH71" s="87">
        <f>CH70/'BS '!CH20</f>
        <v>0.32692307692307693</v>
      </c>
      <c r="CI71" s="87">
        <f>CI70/'BS '!CI20</f>
        <v>0.3647994467496542</v>
      </c>
      <c r="CJ71" s="87">
        <f>CJ70/'BS '!CJ20</f>
        <v>0.36981566820276496</v>
      </c>
      <c r="CK71" s="87">
        <f>CK70/'BS '!CK20</f>
        <v>0.12741890249602691</v>
      </c>
      <c r="CL71" s="87">
        <f>CL70/'BS '!CL20</f>
        <v>0.22046951841885498</v>
      </c>
      <c r="CM71" s="1308">
        <f>CM70/'BS '!CM20</f>
        <v>7.9670274301146787E-2</v>
      </c>
      <c r="CN71" s="1308">
        <f>CN70/'BS '!CN20</f>
        <v>6.0373276620709883E-2</v>
      </c>
      <c r="CO71" s="1308">
        <f>CO70/'BS '!CO20</f>
        <v>6.5579142027240453E-2</v>
      </c>
      <c r="CP71" s="1309">
        <f>CP70/'BS '!CP20</f>
        <v>7.0583697903595852E-2</v>
      </c>
      <c r="CQ71" s="7"/>
    </row>
    <row r="72" spans="1:95" ht="14.25" customHeight="1">
      <c r="A72" s="7"/>
      <c r="B72" s="14" t="s">
        <v>95</v>
      </c>
      <c r="C72" s="15"/>
      <c r="D72" s="229">
        <f>D70-'BS '!D16</f>
        <v>422</v>
      </c>
      <c r="E72" s="229">
        <f>E70-'BS '!E16</f>
        <v>439</v>
      </c>
      <c r="F72" s="229">
        <f>F70-'BS '!F16</f>
        <v>465</v>
      </c>
      <c r="G72" s="251">
        <f>G70-'BS '!G16</f>
        <v>503</v>
      </c>
      <c r="H72" s="229">
        <f>H70-'BS '!H16</f>
        <v>737</v>
      </c>
      <c r="I72" s="229">
        <f>I70-'BS '!I16</f>
        <v>763</v>
      </c>
      <c r="J72" s="229">
        <f>J70-'BS '!J16</f>
        <v>853</v>
      </c>
      <c r="K72" s="251">
        <f>K70-'BS '!K16</f>
        <v>875</v>
      </c>
      <c r="L72" s="229">
        <f>L70-'BS '!L16</f>
        <v>1112</v>
      </c>
      <c r="M72" s="229">
        <f>M70-'BS '!M16</f>
        <v>1131</v>
      </c>
      <c r="N72" s="229">
        <f>N70-'BS '!N16</f>
        <v>1145</v>
      </c>
      <c r="O72" s="251">
        <f>O70-'BS '!O16</f>
        <v>1153</v>
      </c>
      <c r="P72" s="229">
        <f>P70-'BS '!P16</f>
        <v>169</v>
      </c>
      <c r="Q72" s="229">
        <f>Q70-'BS '!Q16</f>
        <v>196</v>
      </c>
      <c r="R72" s="229">
        <f>R70-'BS '!R16</f>
        <v>212</v>
      </c>
      <c r="S72" s="251">
        <f>S70-'BS '!S16</f>
        <v>233</v>
      </c>
      <c r="T72" s="229">
        <f>T70-'BS '!T16</f>
        <v>337</v>
      </c>
      <c r="U72" s="229">
        <f>U70-'BS '!U16</f>
        <v>339</v>
      </c>
      <c r="V72" s="229">
        <f>V70-'BS '!V16</f>
        <v>352</v>
      </c>
      <c r="W72" s="251">
        <f>W70-'BS '!W16</f>
        <v>359</v>
      </c>
      <c r="X72" s="229">
        <f>X70-'BS '!X16</f>
        <v>391</v>
      </c>
      <c r="Y72" s="229">
        <f>Y70-'BS '!Y16</f>
        <v>406</v>
      </c>
      <c r="Z72" s="229">
        <f>Z70-'BS '!Z16</f>
        <v>419</v>
      </c>
      <c r="AA72" s="228">
        <f>AA70-'BS '!AA16</f>
        <v>436</v>
      </c>
      <c r="AB72" s="227">
        <f>AB70-'BS '!AB16</f>
        <v>445</v>
      </c>
      <c r="AC72" s="229">
        <f>AC70-'BS '!AC16</f>
        <v>453</v>
      </c>
      <c r="AD72" s="229">
        <f>AD70-'BS '!AD16</f>
        <v>467</v>
      </c>
      <c r="AE72" s="234">
        <v>485</v>
      </c>
      <c r="AF72" s="227">
        <f>AF70-'BS '!AF16</f>
        <v>526</v>
      </c>
      <c r="AG72" s="229">
        <f>AG70-'BS '!AG16</f>
        <v>541</v>
      </c>
      <c r="AH72" s="229">
        <f>AH70-'BS '!AH16</f>
        <v>547</v>
      </c>
      <c r="AI72" s="234">
        <v>571</v>
      </c>
      <c r="AJ72" s="227">
        <f>AJ70-'BS '!AJ16</f>
        <v>600</v>
      </c>
      <c r="AK72" s="227">
        <f>AK70-'BS '!AK16</f>
        <v>626</v>
      </c>
      <c r="AL72" s="227">
        <f>AL70-'BS '!AL16</f>
        <v>436</v>
      </c>
      <c r="AM72" s="234">
        <v>693</v>
      </c>
      <c r="AN72" s="227">
        <f>AN70-'BS '!AN16</f>
        <v>94</v>
      </c>
      <c r="AO72" s="227">
        <f>AO70-'BS '!AO16</f>
        <v>159</v>
      </c>
      <c r="AP72" s="227">
        <f>AP70-'BS '!AP16</f>
        <v>259</v>
      </c>
      <c r="AQ72" s="1025">
        <v>776</v>
      </c>
      <c r="AR72" s="227">
        <f>AR70-'BS '!AR16</f>
        <v>871</v>
      </c>
      <c r="AS72" s="1031">
        <f>AS70-'BS '!AS16</f>
        <v>48</v>
      </c>
      <c r="AT72" s="1150">
        <f>AT70-'BS '!AT16</f>
        <v>193</v>
      </c>
      <c r="AU72" s="1025">
        <v>1129</v>
      </c>
      <c r="AV72" s="227">
        <f>AV70-'BS '!AV16</f>
        <v>1307</v>
      </c>
      <c r="AW72" s="1150">
        <f>AW70-'BS '!AW16</f>
        <v>1447</v>
      </c>
      <c r="AX72" s="1150">
        <f>AX70-'BS '!AX16</f>
        <v>1555</v>
      </c>
      <c r="AY72" s="1025">
        <v>1493</v>
      </c>
      <c r="AZ72" s="227">
        <f>AZ70-'BS '!AZ16</f>
        <v>546</v>
      </c>
      <c r="BA72" s="1150">
        <f t="shared" ref="BA72:BC72" si="312">AZ72+BA70*BA81</f>
        <v>667.91968320000001</v>
      </c>
      <c r="BB72" s="1150">
        <f t="shared" si="312"/>
        <v>795.31224811499999</v>
      </c>
      <c r="BC72" s="1029">
        <f t="shared" si="312"/>
        <v>928.56671500897505</v>
      </c>
      <c r="BD72" s="1032">
        <f t="shared" ref="BD72" si="313">BC72+BD70*BD81</f>
        <v>1067.418973564377</v>
      </c>
      <c r="BE72" s="1150">
        <f t="shared" ref="BE72" si="314">BD72+BE70*BE81</f>
        <v>1211.7083714645482</v>
      </c>
      <c r="BF72" s="1150">
        <f t="shared" ref="BF72" si="315">BE72+BF70*BF81</f>
        <v>1353.2444139443926</v>
      </c>
      <c r="BG72" s="1029">
        <f t="shared" ref="BG72" si="316">BF72+BG70*BG81</f>
        <v>1500.8963265518892</v>
      </c>
      <c r="BH72" s="1032">
        <f t="shared" ref="BH72" si="317">BG72+BH70*BH81</f>
        <v>1640.4374314697538</v>
      </c>
      <c r="BI72" s="1150">
        <f t="shared" ref="BI72" si="318">BH72+BI70*BI81</f>
        <v>1785.0063659717241</v>
      </c>
      <c r="BJ72" s="1150">
        <f t="shared" ref="BJ72" si="319">BI72+BJ70*BJ81</f>
        <v>1934.8072436065984</v>
      </c>
      <c r="BK72" s="1029">
        <f t="shared" ref="BK72" si="320">BJ72+BK70*BK81</f>
        <v>2090.1722048301435</v>
      </c>
      <c r="BL72" s="19"/>
      <c r="BM72" s="759">
        <v>80</v>
      </c>
      <c r="BN72" s="252">
        <v>161</v>
      </c>
      <c r="BO72" s="252">
        <v>216</v>
      </c>
      <c r="BP72" s="252">
        <v>294</v>
      </c>
      <c r="BQ72" s="252">
        <v>359</v>
      </c>
      <c r="BR72" s="245">
        <f>BR70-'BS '!BR16</f>
        <v>436</v>
      </c>
      <c r="BS72" s="247">
        <f>BS70-'BS '!BS16</f>
        <v>485</v>
      </c>
      <c r="BT72" s="246">
        <f>BT70-'BS '!BT16</f>
        <v>571</v>
      </c>
      <c r="BU72" s="246">
        <f>BU70-'BS '!BU16</f>
        <v>693</v>
      </c>
      <c r="BV72" s="246">
        <f>BV70-'BS '!BV16</f>
        <v>776</v>
      </c>
      <c r="BW72" s="246">
        <f>BW70-'BS '!BW16</f>
        <v>1129</v>
      </c>
      <c r="BX72" s="246">
        <f>AY72</f>
        <v>1493</v>
      </c>
      <c r="BY72" s="1029">
        <f>BC72</f>
        <v>928.56671500897505</v>
      </c>
      <c r="BZ72" s="1029">
        <f>BG72</f>
        <v>1500.8963265518892</v>
      </c>
      <c r="CA72" s="1028">
        <f>BK72</f>
        <v>2090.1722048301435</v>
      </c>
      <c r="CB72" s="19"/>
      <c r="CC72" s="247">
        <f>H72</f>
        <v>737</v>
      </c>
      <c r="CD72" s="246">
        <f>L72</f>
        <v>1112</v>
      </c>
      <c r="CE72" s="246">
        <f>P72</f>
        <v>169</v>
      </c>
      <c r="CF72" s="246">
        <f>T72</f>
        <v>337</v>
      </c>
      <c r="CG72" s="246">
        <f>X72</f>
        <v>391</v>
      </c>
      <c r="CH72" s="246">
        <f>AB72</f>
        <v>445</v>
      </c>
      <c r="CI72" s="246">
        <f>AF72</f>
        <v>526</v>
      </c>
      <c r="CJ72" s="246">
        <f>AJ72</f>
        <v>600</v>
      </c>
      <c r="CK72" s="246">
        <f>AN72</f>
        <v>94</v>
      </c>
      <c r="CL72" s="246">
        <f>AR72</f>
        <v>871</v>
      </c>
      <c r="CM72" s="1029">
        <f>AV72</f>
        <v>1307</v>
      </c>
      <c r="CN72" s="1029">
        <f>AZ72</f>
        <v>546</v>
      </c>
      <c r="CO72" s="1029">
        <f>BD72</f>
        <v>1067.418973564377</v>
      </c>
      <c r="CP72" s="1028">
        <f>BH72</f>
        <v>1640.4374314697538</v>
      </c>
      <c r="CQ72" s="7"/>
    </row>
    <row r="73" spans="1:95" ht="14.25" customHeight="1">
      <c r="A73" s="7"/>
      <c r="B73" s="253" t="s">
        <v>96</v>
      </c>
      <c r="C73" s="254"/>
      <c r="D73" s="255">
        <f t="shared" ref="D73:S73" si="321">D70-D72</f>
        <v>445</v>
      </c>
      <c r="E73" s="255">
        <f t="shared" si="321"/>
        <v>436</v>
      </c>
      <c r="F73" s="255">
        <f t="shared" si="321"/>
        <v>433</v>
      </c>
      <c r="G73" s="256">
        <f t="shared" si="321"/>
        <v>417</v>
      </c>
      <c r="H73" s="255">
        <f t="shared" si="321"/>
        <v>403</v>
      </c>
      <c r="I73" s="255">
        <f t="shared" si="321"/>
        <v>388</v>
      </c>
      <c r="J73" s="255">
        <f t="shared" si="321"/>
        <v>306</v>
      </c>
      <c r="K73" s="256">
        <f t="shared" si="321"/>
        <v>292</v>
      </c>
      <c r="L73" s="255">
        <f t="shared" si="321"/>
        <v>293</v>
      </c>
      <c r="M73" s="255">
        <f t="shared" si="321"/>
        <v>289</v>
      </c>
      <c r="N73" s="255">
        <f t="shared" si="321"/>
        <v>288</v>
      </c>
      <c r="O73" s="256">
        <f t="shared" si="321"/>
        <v>299</v>
      </c>
      <c r="P73" s="255">
        <f t="shared" si="321"/>
        <v>291</v>
      </c>
      <c r="Q73" s="255">
        <f t="shared" si="321"/>
        <v>276</v>
      </c>
      <c r="R73" s="255">
        <f t="shared" si="321"/>
        <v>273</v>
      </c>
      <c r="S73" s="256">
        <f t="shared" si="321"/>
        <v>264</v>
      </c>
      <c r="T73" s="255">
        <f t="shared" ref="T73:AJ73" si="322">T70-T72</f>
        <v>254</v>
      </c>
      <c r="U73" s="255">
        <f t="shared" si="322"/>
        <v>261</v>
      </c>
      <c r="V73" s="255">
        <f t="shared" si="322"/>
        <v>266</v>
      </c>
      <c r="W73" s="256">
        <f t="shared" si="322"/>
        <v>281</v>
      </c>
      <c r="X73" s="255">
        <f>X70-X72</f>
        <v>281</v>
      </c>
      <c r="Y73" s="255">
        <f>Y70-Y72</f>
        <v>285</v>
      </c>
      <c r="Z73" s="255">
        <f>Z70-Z72</f>
        <v>296</v>
      </c>
      <c r="AA73" s="256">
        <f t="shared" si="322"/>
        <v>316</v>
      </c>
      <c r="AB73" s="255">
        <f t="shared" si="322"/>
        <v>354</v>
      </c>
      <c r="AC73" s="255">
        <f>AC70-AC72</f>
        <v>402</v>
      </c>
      <c r="AD73" s="255">
        <f>AD70-AD72</f>
        <v>453</v>
      </c>
      <c r="AE73" s="256">
        <f t="shared" si="322"/>
        <v>503</v>
      </c>
      <c r="AF73" s="255">
        <f t="shared" si="322"/>
        <v>529</v>
      </c>
      <c r="AG73" s="255">
        <f>AG70-AG72</f>
        <v>561</v>
      </c>
      <c r="AH73" s="255">
        <f>AH70-AH72</f>
        <v>620</v>
      </c>
      <c r="AI73" s="256">
        <f>AI70-AI72</f>
        <v>661</v>
      </c>
      <c r="AJ73" s="257">
        <f t="shared" si="322"/>
        <v>684</v>
      </c>
      <c r="AK73" s="255">
        <f>AK70-AK72</f>
        <v>731</v>
      </c>
      <c r="AL73" s="255">
        <f>AL70-AL72</f>
        <v>1016</v>
      </c>
      <c r="AM73" s="256">
        <f>AM70-AM72</f>
        <v>1158</v>
      </c>
      <c r="AN73" s="257">
        <f t="shared" ref="AN73" si="323">AN70-AN72</f>
        <v>1269</v>
      </c>
      <c r="AO73" s="255">
        <f>AO70-AO72</f>
        <v>1344</v>
      </c>
      <c r="AP73" s="255">
        <f>AP70-AP72</f>
        <v>1392</v>
      </c>
      <c r="AQ73" s="256">
        <f>AQ70-AQ72</f>
        <v>1460</v>
      </c>
      <c r="AR73" s="255">
        <f t="shared" ref="AR73" si="324">AR70-AR72</f>
        <v>1505</v>
      </c>
      <c r="AS73" s="255">
        <f>AS70-AS72</f>
        <v>2486</v>
      </c>
      <c r="AT73" s="255">
        <f>AT70-AT72</f>
        <v>2573</v>
      </c>
      <c r="AU73" s="256">
        <f t="shared" ref="AU73" si="325">AU70-AU72</f>
        <v>2509</v>
      </c>
      <c r="AV73" s="255">
        <f t="shared" ref="AV73:AW73" si="326">AV70-AV72</f>
        <v>2646</v>
      </c>
      <c r="AW73" s="255">
        <f t="shared" si="326"/>
        <v>2762</v>
      </c>
      <c r="AX73" s="255">
        <f>AX70-AX72</f>
        <v>2909</v>
      </c>
      <c r="AY73" s="256">
        <f t="shared" ref="AY73" si="327">AY70-AY72</f>
        <v>2599</v>
      </c>
      <c r="AZ73" s="255">
        <f t="shared" ref="AZ73:BC73" si="328">AZ70-AZ72</f>
        <v>2747</v>
      </c>
      <c r="BA73" s="255">
        <f t="shared" si="328"/>
        <v>2815.4998367999997</v>
      </c>
      <c r="BB73" s="255">
        <f t="shared" si="328"/>
        <v>2844.4753208850002</v>
      </c>
      <c r="BC73" s="255">
        <f t="shared" si="328"/>
        <v>2878.7037676760247</v>
      </c>
      <c r="BD73" s="257">
        <f t="shared" ref="BD73:BG73" si="329">BD70-BD72</f>
        <v>2899.7884137328228</v>
      </c>
      <c r="BE73" s="255">
        <f t="shared" si="329"/>
        <v>2910.8458542546282</v>
      </c>
      <c r="BF73" s="255">
        <f t="shared" si="329"/>
        <v>2935.7265702933155</v>
      </c>
      <c r="BG73" s="255">
        <f t="shared" si="329"/>
        <v>2973.4040554934622</v>
      </c>
      <c r="BH73" s="257">
        <f t="shared" ref="BH73:BK73" si="330">BH70-BH72</f>
        <v>3010.9327324590708</v>
      </c>
      <c r="BI73" s="255">
        <f t="shared" si="330"/>
        <v>3033.9581174272853</v>
      </c>
      <c r="BJ73" s="255">
        <f t="shared" si="330"/>
        <v>3058.5553442225428</v>
      </c>
      <c r="BK73" s="255">
        <f t="shared" si="330"/>
        <v>3088.6598359546952</v>
      </c>
      <c r="BL73" s="19"/>
      <c r="BM73" s="255">
        <f t="shared" ref="BM73:BW73" si="331">BM70-BM72</f>
        <v>417</v>
      </c>
      <c r="BN73" s="255">
        <f t="shared" si="331"/>
        <v>292</v>
      </c>
      <c r="BO73" s="255">
        <f t="shared" si="331"/>
        <v>299</v>
      </c>
      <c r="BP73" s="255">
        <f t="shared" si="331"/>
        <v>264</v>
      </c>
      <c r="BQ73" s="255">
        <f t="shared" si="331"/>
        <v>281</v>
      </c>
      <c r="BR73" s="256">
        <f t="shared" si="331"/>
        <v>316</v>
      </c>
      <c r="BS73" s="255">
        <f t="shared" si="331"/>
        <v>503</v>
      </c>
      <c r="BT73" s="255">
        <f t="shared" si="331"/>
        <v>661</v>
      </c>
      <c r="BU73" s="255">
        <f t="shared" si="331"/>
        <v>1158</v>
      </c>
      <c r="BV73" s="255">
        <f t="shared" si="331"/>
        <v>1460</v>
      </c>
      <c r="BW73" s="255">
        <f t="shared" si="331"/>
        <v>2509</v>
      </c>
      <c r="BX73" s="255">
        <f>BX70-BX72</f>
        <v>2599</v>
      </c>
      <c r="BY73" s="255">
        <f>BY70-BY72</f>
        <v>2878.7037676760247</v>
      </c>
      <c r="BZ73" s="255">
        <f>BZ70-BZ72</f>
        <v>2973.4040554934622</v>
      </c>
      <c r="CA73" s="255">
        <f>CA70-CA72</f>
        <v>3088.6598359546952</v>
      </c>
      <c r="CB73" s="19"/>
      <c r="CC73" s="257">
        <f t="shared" ref="CC73:CJ73" si="332">CC70-CC72</f>
        <v>403</v>
      </c>
      <c r="CD73" s="255">
        <f t="shared" si="332"/>
        <v>293</v>
      </c>
      <c r="CE73" s="255">
        <f t="shared" si="332"/>
        <v>291</v>
      </c>
      <c r="CF73" s="255">
        <f t="shared" si="332"/>
        <v>254</v>
      </c>
      <c r="CG73" s="255">
        <f t="shared" si="332"/>
        <v>281</v>
      </c>
      <c r="CH73" s="255">
        <f t="shared" si="332"/>
        <v>354</v>
      </c>
      <c r="CI73" s="255">
        <f t="shared" si="332"/>
        <v>529</v>
      </c>
      <c r="CJ73" s="255">
        <f t="shared" si="332"/>
        <v>684</v>
      </c>
      <c r="CK73" s="255">
        <f t="shared" ref="CK73:CP73" si="333">CK70-CK72</f>
        <v>1269</v>
      </c>
      <c r="CL73" s="255">
        <f t="shared" si="333"/>
        <v>1505</v>
      </c>
      <c r="CM73" s="255">
        <f t="shared" si="333"/>
        <v>2646</v>
      </c>
      <c r="CN73" s="255">
        <f t="shared" si="333"/>
        <v>2747</v>
      </c>
      <c r="CO73" s="255">
        <f t="shared" si="333"/>
        <v>2899.7884137328228</v>
      </c>
      <c r="CP73" s="256">
        <f t="shared" si="333"/>
        <v>3010.9327324590708</v>
      </c>
      <c r="CQ73" s="7"/>
    </row>
    <row r="74" spans="1:95" ht="14.25" customHeight="1">
      <c r="A74" s="7"/>
      <c r="B74" s="13"/>
      <c r="C74" s="13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  <c r="Q74" s="229"/>
      <c r="R74" s="229"/>
      <c r="S74" s="229"/>
      <c r="T74" s="229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29"/>
      <c r="AG74" s="229"/>
      <c r="AH74" s="229"/>
      <c r="AI74" s="229"/>
      <c r="AJ74" s="229"/>
      <c r="AK74" s="249"/>
      <c r="AL74" s="249"/>
      <c r="AM74" s="229"/>
      <c r="AN74" s="1147"/>
      <c r="AO74" s="1150"/>
      <c r="AP74" s="1150"/>
      <c r="AQ74" s="229"/>
      <c r="AR74" s="1024"/>
      <c r="AS74" s="1024"/>
      <c r="AT74" s="1147"/>
      <c r="AU74" s="1147"/>
      <c r="AV74" s="1147"/>
      <c r="AW74" s="1147"/>
      <c r="AX74" s="1147"/>
      <c r="AY74" s="1147"/>
      <c r="AZ74" s="1147"/>
      <c r="BA74" s="229"/>
      <c r="BB74" s="229"/>
      <c r="BC74" s="229"/>
      <c r="BD74" s="1147"/>
      <c r="BE74" s="1147"/>
      <c r="BF74" s="1147"/>
      <c r="BG74" s="1147"/>
      <c r="BH74" s="1147"/>
      <c r="BI74" s="1147"/>
      <c r="BJ74" s="1147"/>
      <c r="BK74" s="1147"/>
      <c r="BL74" s="19"/>
      <c r="BM74" s="258"/>
      <c r="BN74" s="258"/>
      <c r="BO74" s="258"/>
      <c r="BP74" s="229"/>
      <c r="BQ74" s="229"/>
      <c r="BR74" s="229"/>
      <c r="BS74" s="229"/>
      <c r="BT74" s="229"/>
      <c r="BU74" s="229"/>
      <c r="BV74" s="229"/>
      <c r="BW74" s="229"/>
      <c r="BX74" s="229"/>
      <c r="BY74" s="1147"/>
      <c r="BZ74" s="1147"/>
      <c r="CA74" s="1147"/>
      <c r="CB74" s="7"/>
      <c r="CC74" s="258"/>
      <c r="CD74" s="258"/>
      <c r="CE74" s="258"/>
      <c r="CF74" s="229"/>
      <c r="CG74" s="229"/>
      <c r="CH74" s="229"/>
      <c r="CI74" s="229"/>
      <c r="CJ74" s="229"/>
      <c r="CK74" s="229"/>
      <c r="CL74" s="229"/>
      <c r="CM74" s="1147"/>
      <c r="CN74" s="1147"/>
      <c r="CO74" s="1147"/>
      <c r="CP74" s="1147"/>
      <c r="CQ74" s="7"/>
    </row>
    <row r="75" spans="1:95" ht="14.25" customHeight="1">
      <c r="A75" s="7"/>
      <c r="B75" s="67" t="s">
        <v>62</v>
      </c>
      <c r="C75" s="216"/>
      <c r="D75" s="164">
        <f>'BS '!D16</f>
        <v>445</v>
      </c>
      <c r="E75" s="162">
        <f>'BS '!E16</f>
        <v>436</v>
      </c>
      <c r="F75" s="162">
        <f>'BS '!F16</f>
        <v>433</v>
      </c>
      <c r="G75" s="165">
        <f>'BS '!G16</f>
        <v>417</v>
      </c>
      <c r="H75" s="164">
        <f>'BS '!H16</f>
        <v>403</v>
      </c>
      <c r="I75" s="162">
        <f>'BS '!I16</f>
        <v>388</v>
      </c>
      <c r="J75" s="162">
        <f>'BS '!J16</f>
        <v>306</v>
      </c>
      <c r="K75" s="165">
        <f>'BS '!K16</f>
        <v>292</v>
      </c>
      <c r="L75" s="164">
        <f>'BS '!L16</f>
        <v>293</v>
      </c>
      <c r="M75" s="162">
        <f>'BS '!M16</f>
        <v>289</v>
      </c>
      <c r="N75" s="162">
        <f>'BS '!N16</f>
        <v>288</v>
      </c>
      <c r="O75" s="165">
        <f>'BS '!O16</f>
        <v>299</v>
      </c>
      <c r="P75" s="164">
        <f>'BS '!P16</f>
        <v>291</v>
      </c>
      <c r="Q75" s="162">
        <f>'BS '!Q16</f>
        <v>276</v>
      </c>
      <c r="R75" s="162">
        <f>'BS '!R16</f>
        <v>273</v>
      </c>
      <c r="S75" s="165">
        <f>'BS '!S16</f>
        <v>264</v>
      </c>
      <c r="T75" s="164">
        <f>'BS '!T16</f>
        <v>254</v>
      </c>
      <c r="U75" s="162">
        <f>'BS '!U16</f>
        <v>261</v>
      </c>
      <c r="V75" s="162">
        <f>'BS '!V16</f>
        <v>266</v>
      </c>
      <c r="W75" s="165">
        <f>'BS '!W16</f>
        <v>281</v>
      </c>
      <c r="X75" s="164">
        <f>'BS '!X16</f>
        <v>281</v>
      </c>
      <c r="Y75" s="162">
        <f>'BS '!Y16</f>
        <v>285</v>
      </c>
      <c r="Z75" s="162">
        <f>'BS '!Z16</f>
        <v>296</v>
      </c>
      <c r="AA75" s="163">
        <f>'BS '!AA16</f>
        <v>316</v>
      </c>
      <c r="AB75" s="162">
        <f>'BS '!AB16</f>
        <v>354</v>
      </c>
      <c r="AC75" s="162">
        <f>'BS '!AC16</f>
        <v>402</v>
      </c>
      <c r="AD75" s="162">
        <f>'BS '!AD16</f>
        <v>453</v>
      </c>
      <c r="AE75" s="163">
        <f>'BS '!AE16</f>
        <v>503</v>
      </c>
      <c r="AF75" s="162">
        <f>'BS '!AF16</f>
        <v>529</v>
      </c>
      <c r="AG75" s="162">
        <f>'BS '!AG16</f>
        <v>561</v>
      </c>
      <c r="AH75" s="162">
        <f>'BS '!AH16</f>
        <v>620</v>
      </c>
      <c r="AI75" s="163">
        <f>'BS '!AI16</f>
        <v>661</v>
      </c>
      <c r="AJ75" s="162">
        <f>'BS '!AJ16</f>
        <v>684</v>
      </c>
      <c r="AK75" s="162">
        <f>'BS '!AK16</f>
        <v>731</v>
      </c>
      <c r="AL75" s="162">
        <f>'BS '!AL16</f>
        <v>1016</v>
      </c>
      <c r="AM75" s="163">
        <f>'BS '!AM16</f>
        <v>1158</v>
      </c>
      <c r="AN75" s="1020">
        <f>'BS '!AN16</f>
        <v>1269</v>
      </c>
      <c r="AO75" s="1020">
        <f>'BS '!AO16</f>
        <v>1344</v>
      </c>
      <c r="AP75" s="1020">
        <f>'BS '!AP16</f>
        <v>1392</v>
      </c>
      <c r="AQ75" s="163">
        <f>'BS '!AQ16</f>
        <v>1460</v>
      </c>
      <c r="AR75" s="1020">
        <f>'BS '!AR16</f>
        <v>1505</v>
      </c>
      <c r="AS75" s="1020">
        <f>'BS '!AS16</f>
        <v>2486</v>
      </c>
      <c r="AT75" s="1020">
        <f>'BS '!AT16</f>
        <v>2573</v>
      </c>
      <c r="AU75" s="1021">
        <f>'BS '!AU16</f>
        <v>2509</v>
      </c>
      <c r="AV75" s="1020">
        <f>'BS '!AV16</f>
        <v>2646</v>
      </c>
      <c r="AW75" s="1020">
        <f>'BS '!AW16</f>
        <v>2762</v>
      </c>
      <c r="AX75" s="1020">
        <f>'BS '!AX16</f>
        <v>2909</v>
      </c>
      <c r="AY75" s="1021">
        <f>'BS '!AY16</f>
        <v>2599</v>
      </c>
      <c r="AZ75" s="1020">
        <f>'BS '!AZ16</f>
        <v>2747</v>
      </c>
      <c r="BA75" s="162">
        <f>'BS '!BA16</f>
        <v>2815.4998367999997</v>
      </c>
      <c r="BB75" s="162">
        <f>'BS '!BB16</f>
        <v>2844.4753208850002</v>
      </c>
      <c r="BC75" s="163">
        <f>'BS '!BC16</f>
        <v>2878.7037676760247</v>
      </c>
      <c r="BD75" s="1020">
        <f>'BS '!BD16</f>
        <v>2899.7884137328228</v>
      </c>
      <c r="BE75" s="1020">
        <f>'BS '!BE16</f>
        <v>2910.8458542546282</v>
      </c>
      <c r="BF75" s="1020">
        <f>'BS '!BF16</f>
        <v>2935.7265702933155</v>
      </c>
      <c r="BG75" s="1021">
        <f>'BS '!BG16</f>
        <v>2973.4040554934622</v>
      </c>
      <c r="BH75" s="1020">
        <f>'BS '!BH16</f>
        <v>3010.9327324590708</v>
      </c>
      <c r="BI75" s="1020">
        <f>'BS '!BI16</f>
        <v>3033.9581174272853</v>
      </c>
      <c r="BJ75" s="1020">
        <f>'BS '!BJ16</f>
        <v>3058.5553442225428</v>
      </c>
      <c r="BK75" s="1022">
        <f>'BS '!BK16</f>
        <v>3088.6598359546952</v>
      </c>
      <c r="BL75" s="166"/>
      <c r="BM75" s="164">
        <f>'BS '!BM16</f>
        <v>417</v>
      </c>
      <c r="BN75" s="162">
        <f>'BS '!BN16</f>
        <v>292</v>
      </c>
      <c r="BO75" s="162">
        <f>'BS '!BO16</f>
        <v>299</v>
      </c>
      <c r="BP75" s="162">
        <f>'BS '!BP16</f>
        <v>264</v>
      </c>
      <c r="BQ75" s="162">
        <f>'BS '!BQ16</f>
        <v>281</v>
      </c>
      <c r="BR75" s="165">
        <f>'BS '!BR16</f>
        <v>316</v>
      </c>
      <c r="BS75" s="162">
        <f>'BS '!BS16</f>
        <v>503</v>
      </c>
      <c r="BT75" s="162">
        <f>'BS '!BT16</f>
        <v>661</v>
      </c>
      <c r="BU75" s="162">
        <f>'BS '!BU16</f>
        <v>1158</v>
      </c>
      <c r="BV75" s="162">
        <f>'BS '!BV16</f>
        <v>1460</v>
      </c>
      <c r="BW75" s="162">
        <f>'BS '!BW16</f>
        <v>2509</v>
      </c>
      <c r="BX75" s="162">
        <f>'BS '!BX16</f>
        <v>2599</v>
      </c>
      <c r="BY75" s="1020">
        <f>'BS '!BY16</f>
        <v>2878.7037676760247</v>
      </c>
      <c r="BZ75" s="1020">
        <f>'BS '!BZ16</f>
        <v>2973.4040554934622</v>
      </c>
      <c r="CA75" s="165">
        <f>'BS '!CA16</f>
        <v>3088.6598359546952</v>
      </c>
      <c r="CB75" s="19"/>
      <c r="CC75" s="164">
        <f>'BS '!CC16</f>
        <v>403</v>
      </c>
      <c r="CD75" s="162">
        <f>'BS '!CD16</f>
        <v>293</v>
      </c>
      <c r="CE75" s="162">
        <f>'BS '!CE16</f>
        <v>291</v>
      </c>
      <c r="CF75" s="162">
        <f>'BS '!CF16</f>
        <v>254</v>
      </c>
      <c r="CG75" s="162">
        <f>'BS '!CG16</f>
        <v>281</v>
      </c>
      <c r="CH75" s="162">
        <f>'BS '!CH16</f>
        <v>354</v>
      </c>
      <c r="CI75" s="162">
        <f>'BS '!CI16</f>
        <v>529</v>
      </c>
      <c r="CJ75" s="162">
        <f>'BS '!CJ16</f>
        <v>684</v>
      </c>
      <c r="CK75" s="162">
        <f>'BS '!CK16</f>
        <v>1269</v>
      </c>
      <c r="CL75" s="162">
        <f>'BS '!CL16</f>
        <v>1505</v>
      </c>
      <c r="CM75" s="1020">
        <f>'BS '!CM16</f>
        <v>2646</v>
      </c>
      <c r="CN75" s="1020">
        <f>'BS '!CN16</f>
        <v>2747</v>
      </c>
      <c r="CO75" s="1020">
        <f>'BS '!CO16</f>
        <v>2899.7884137328228</v>
      </c>
      <c r="CP75" s="165">
        <f>'BS '!CP16</f>
        <v>3010.9327324590708</v>
      </c>
      <c r="CQ75" s="7"/>
    </row>
    <row r="76" spans="1:95" ht="14.25" customHeight="1">
      <c r="A76" s="7"/>
      <c r="B76" s="136" t="s">
        <v>44</v>
      </c>
      <c r="C76" s="137"/>
      <c r="D76" s="140">
        <f t="shared" ref="D76:S76" si="334">IF(ROUND(D75,4)=ROUND(D73,4),0,(D75-D73))</f>
        <v>0</v>
      </c>
      <c r="E76" s="138">
        <f t="shared" si="334"/>
        <v>0</v>
      </c>
      <c r="F76" s="167">
        <f t="shared" si="334"/>
        <v>0</v>
      </c>
      <c r="G76" s="139">
        <f t="shared" si="334"/>
        <v>0</v>
      </c>
      <c r="H76" s="140">
        <f t="shared" si="334"/>
        <v>0</v>
      </c>
      <c r="I76" s="138">
        <f t="shared" si="334"/>
        <v>0</v>
      </c>
      <c r="J76" s="167">
        <f t="shared" si="334"/>
        <v>0</v>
      </c>
      <c r="K76" s="139">
        <f t="shared" si="334"/>
        <v>0</v>
      </c>
      <c r="L76" s="140">
        <f t="shared" si="334"/>
        <v>0</v>
      </c>
      <c r="M76" s="138">
        <f t="shared" si="334"/>
        <v>0</v>
      </c>
      <c r="N76" s="167">
        <f t="shared" si="334"/>
        <v>0</v>
      </c>
      <c r="O76" s="139">
        <f t="shared" si="334"/>
        <v>0</v>
      </c>
      <c r="P76" s="140">
        <f t="shared" si="334"/>
        <v>0</v>
      </c>
      <c r="Q76" s="138">
        <f t="shared" si="334"/>
        <v>0</v>
      </c>
      <c r="R76" s="167">
        <f t="shared" si="334"/>
        <v>0</v>
      </c>
      <c r="S76" s="139">
        <f t="shared" si="334"/>
        <v>0</v>
      </c>
      <c r="T76" s="140">
        <f t="shared" ref="T76:AK76" si="335">IF(ROUND(T75,4)=ROUND(T73,4),0,(T75-T73))</f>
        <v>0</v>
      </c>
      <c r="U76" s="138">
        <f t="shared" si="335"/>
        <v>0</v>
      </c>
      <c r="V76" s="167">
        <f>IF(ROUND(V75,4)=ROUND(V73,4),0,(V75-V73))</f>
        <v>0</v>
      </c>
      <c r="W76" s="139">
        <f t="shared" si="335"/>
        <v>0</v>
      </c>
      <c r="X76" s="138">
        <f>IF(ROUND(X75,4)=ROUND(X73,4),0,(X75-X73))</f>
        <v>0</v>
      </c>
      <c r="Y76" s="138">
        <f>IF(ROUND(Y75,4)=ROUND(Y73,4),0,(Y75-Y73))</f>
        <v>0</v>
      </c>
      <c r="Z76" s="138">
        <f>IF(ROUND(Z75,4)=ROUND(Z73,4),0,(Z75-Z73))</f>
        <v>0</v>
      </c>
      <c r="AA76" s="139">
        <f t="shared" si="335"/>
        <v>0</v>
      </c>
      <c r="AB76" s="140">
        <f t="shared" si="335"/>
        <v>0</v>
      </c>
      <c r="AC76" s="138">
        <f>IF(ROUND(AC75,4)=ROUND(AC73,4),0,(AC75-AC73))</f>
        <v>0</v>
      </c>
      <c r="AD76" s="138">
        <f>IF(ROUND(AD75,4)=ROUND(AD73,4),0,(AD75-AD73))</f>
        <v>0</v>
      </c>
      <c r="AE76" s="139">
        <f t="shared" si="335"/>
        <v>0</v>
      </c>
      <c r="AF76" s="140">
        <f t="shared" si="335"/>
        <v>0</v>
      </c>
      <c r="AG76" s="138">
        <f>IF(ROUND(AG75,4)=ROUND(AG73,4),0,(AG75-AG73))</f>
        <v>0</v>
      </c>
      <c r="AH76" s="138">
        <f>IF(ROUND(AH75,4)=ROUND(AH73,4),0,(AH75-AH73))</f>
        <v>0</v>
      </c>
      <c r="AI76" s="139">
        <f t="shared" si="335"/>
        <v>0</v>
      </c>
      <c r="AJ76" s="140">
        <f t="shared" si="335"/>
        <v>0</v>
      </c>
      <c r="AK76" s="138">
        <f t="shared" si="335"/>
        <v>0</v>
      </c>
      <c r="AL76" s="138">
        <f>IF(ROUND(AL75,4)=ROUND(AL73,4),0,(AL75-AL73))</f>
        <v>0</v>
      </c>
      <c r="AM76" s="139">
        <f>IF(ROUND(AM75,4)=ROUND(AM73,4),0,(AM75-AM73))</f>
        <v>0</v>
      </c>
      <c r="AN76" s="140">
        <f t="shared" ref="AN76:AO76" si="336">IF(ROUND(AN75,4)=ROUND(AN73,4),0,(AN75-AN73))</f>
        <v>0</v>
      </c>
      <c r="AO76" s="138">
        <f t="shared" si="336"/>
        <v>0</v>
      </c>
      <c r="AP76" s="138">
        <f>IF(ROUND(AP75,4)=ROUND(AP73,4),0,(AP75-AP73))</f>
        <v>0</v>
      </c>
      <c r="AQ76" s="139">
        <f>IF(ROUND(AQ75,4)=ROUND(AQ73,4),0,(AQ75-AQ73))</f>
        <v>0</v>
      </c>
      <c r="AR76" s="140">
        <f t="shared" ref="AR76:AS76" si="337">IF(ROUND(AR75,4)=ROUND(AR73,4),0,(AR75-AR73))</f>
        <v>0</v>
      </c>
      <c r="AS76" s="138">
        <f t="shared" si="337"/>
        <v>0</v>
      </c>
      <c r="AT76" s="138">
        <f>IF(ROUND(AT75,4)=ROUND(AT73,4),0,(AT75-AT73))</f>
        <v>0</v>
      </c>
      <c r="AU76" s="139">
        <f>IF(ROUND(AU75,4)=ROUND(AU73,4),0,(AU75-AU73))</f>
        <v>0</v>
      </c>
      <c r="AV76" s="140">
        <f t="shared" ref="AV76:AW76" si="338">IF(ROUND(AV75,4)=ROUND(AV73,4),0,(AV75-AV73))</f>
        <v>0</v>
      </c>
      <c r="AW76" s="138">
        <f t="shared" si="338"/>
        <v>0</v>
      </c>
      <c r="AX76" s="138">
        <f>IF(ROUND(AX75,4)=ROUND(AX73,4),0,(AX75-AX73))</f>
        <v>0</v>
      </c>
      <c r="AY76" s="139">
        <f>IF(ROUND(AY75,4)=ROUND(AY73,4),0,(AY75-AY73))</f>
        <v>0</v>
      </c>
      <c r="AZ76" s="140">
        <f t="shared" ref="AZ76:BC76" si="339">IF(ROUND(AZ75,4)=ROUND(AZ73,4),0,(AZ75-AZ73))</f>
        <v>0</v>
      </c>
      <c r="BA76" s="138">
        <f t="shared" si="339"/>
        <v>0</v>
      </c>
      <c r="BB76" s="138">
        <f t="shared" si="339"/>
        <v>0</v>
      </c>
      <c r="BC76" s="139">
        <f t="shared" si="339"/>
        <v>0</v>
      </c>
      <c r="BD76" s="140">
        <f t="shared" ref="BD76:BG76" si="340">IF(ROUND(BD75,4)=ROUND(BD73,4),0,(BD75-BD73))</f>
        <v>0</v>
      </c>
      <c r="BE76" s="138">
        <f t="shared" si="340"/>
        <v>0</v>
      </c>
      <c r="BF76" s="138">
        <f t="shared" si="340"/>
        <v>0</v>
      </c>
      <c r="BG76" s="139">
        <f t="shared" si="340"/>
        <v>0</v>
      </c>
      <c r="BH76" s="140">
        <f t="shared" ref="BH76:BK76" si="341">IF(ROUND(BH75,4)=ROUND(BH73,4),0,(BH75-BH73))</f>
        <v>0</v>
      </c>
      <c r="BI76" s="138">
        <f t="shared" si="341"/>
        <v>0</v>
      </c>
      <c r="BJ76" s="138">
        <f t="shared" si="341"/>
        <v>0</v>
      </c>
      <c r="BK76" s="138">
        <f t="shared" si="341"/>
        <v>0</v>
      </c>
      <c r="BL76" s="166"/>
      <c r="BM76" s="140">
        <f t="shared" ref="BM76:BW76" si="342">IF(ROUND(BM75,4)=ROUND(BM73,4),0,(BM75-BM73))</f>
        <v>0</v>
      </c>
      <c r="BN76" s="138">
        <f t="shared" si="342"/>
        <v>0</v>
      </c>
      <c r="BO76" s="138">
        <f t="shared" si="342"/>
        <v>0</v>
      </c>
      <c r="BP76" s="138">
        <f t="shared" si="342"/>
        <v>0</v>
      </c>
      <c r="BQ76" s="138">
        <f t="shared" si="342"/>
        <v>0</v>
      </c>
      <c r="BR76" s="139">
        <f t="shared" si="342"/>
        <v>0</v>
      </c>
      <c r="BS76" s="138">
        <f t="shared" si="342"/>
        <v>0</v>
      </c>
      <c r="BT76" s="138">
        <f t="shared" si="342"/>
        <v>0</v>
      </c>
      <c r="BU76" s="138">
        <f t="shared" si="342"/>
        <v>0</v>
      </c>
      <c r="BV76" s="138">
        <f t="shared" si="342"/>
        <v>0</v>
      </c>
      <c r="BW76" s="138">
        <f t="shared" si="342"/>
        <v>0</v>
      </c>
      <c r="BX76" s="138">
        <f>IF(ROUND(BX75,4)=ROUND(BX73,4),0,(BX75-BX73))</f>
        <v>0</v>
      </c>
      <c r="BY76" s="138">
        <f>IF(ROUND(BY75,4)=ROUND(BY73,4),0,(BY75-BY73))</f>
        <v>0</v>
      </c>
      <c r="BZ76" s="138">
        <f>IF(ROUND(BZ75,4)=ROUND(BZ73,4),0,(BZ75-BZ73))</f>
        <v>0</v>
      </c>
      <c r="CA76" s="139">
        <f>IF(ROUND(CA75,4)=ROUND(CA73,4),0,(CA75-CA73))</f>
        <v>0</v>
      </c>
      <c r="CB76" s="19"/>
      <c r="CC76" s="140">
        <f t="shared" ref="CC76:CJ76" si="343">IF(ROUND(CC75,4)=ROUND(CC73,4),0,(CC75-CC73))</f>
        <v>0</v>
      </c>
      <c r="CD76" s="138">
        <f t="shared" si="343"/>
        <v>0</v>
      </c>
      <c r="CE76" s="138">
        <f t="shared" si="343"/>
        <v>0</v>
      </c>
      <c r="CF76" s="138">
        <f t="shared" si="343"/>
        <v>0</v>
      </c>
      <c r="CG76" s="138">
        <f t="shared" si="343"/>
        <v>0</v>
      </c>
      <c r="CH76" s="138">
        <f t="shared" si="343"/>
        <v>0</v>
      </c>
      <c r="CI76" s="138">
        <f t="shared" si="343"/>
        <v>0</v>
      </c>
      <c r="CJ76" s="138">
        <f t="shared" si="343"/>
        <v>0</v>
      </c>
      <c r="CK76" s="138">
        <f t="shared" ref="CK76:CP76" si="344">IF(ROUND(CK75,4)=ROUND(CK73,4),0,(CK75-CK73))</f>
        <v>0</v>
      </c>
      <c r="CL76" s="138">
        <f t="shared" si="344"/>
        <v>0</v>
      </c>
      <c r="CM76" s="138">
        <f t="shared" si="344"/>
        <v>0</v>
      </c>
      <c r="CN76" s="138">
        <f t="shared" si="344"/>
        <v>0</v>
      </c>
      <c r="CO76" s="138">
        <f t="shared" si="344"/>
        <v>0</v>
      </c>
      <c r="CP76" s="139">
        <f t="shared" si="344"/>
        <v>0</v>
      </c>
      <c r="CQ76" s="7"/>
    </row>
    <row r="77" spans="1:95" ht="14.25" customHeight="1">
      <c r="A77" s="7"/>
      <c r="B77" s="13"/>
      <c r="C77" s="13"/>
      <c r="D77" s="260"/>
      <c r="E77" s="260"/>
      <c r="F77" s="260"/>
      <c r="G77" s="259"/>
      <c r="H77" s="260"/>
      <c r="I77" s="260"/>
      <c r="J77" s="260"/>
      <c r="K77" s="259"/>
      <c r="L77" s="260"/>
      <c r="M77" s="260"/>
      <c r="N77" s="260"/>
      <c r="O77" s="259"/>
      <c r="P77" s="260"/>
      <c r="Q77" s="260"/>
      <c r="R77" s="260"/>
      <c r="S77" s="259"/>
      <c r="T77" s="260"/>
      <c r="U77" s="260"/>
      <c r="V77" s="260"/>
      <c r="W77" s="259"/>
      <c r="X77" s="261"/>
      <c r="Y77" s="261"/>
      <c r="Z77" s="261"/>
      <c r="AA77" s="261"/>
      <c r="AB77" s="261"/>
      <c r="AC77" s="261"/>
      <c r="AD77" s="261"/>
      <c r="AE77" s="261"/>
      <c r="AF77" s="261"/>
      <c r="AG77" s="261"/>
      <c r="AH77" s="261"/>
      <c r="AI77" s="261"/>
      <c r="AJ77" s="261"/>
      <c r="AK77" s="261"/>
      <c r="AL77" s="261"/>
      <c r="AM77" s="261"/>
      <c r="AN77" s="261"/>
      <c r="AO77" s="261"/>
      <c r="AP77" s="261"/>
      <c r="AQ77" s="261"/>
      <c r="AR77" s="261"/>
      <c r="AS77" s="261"/>
      <c r="AT77" s="261"/>
      <c r="AU77" s="261"/>
      <c r="AV77" s="261"/>
      <c r="AW77" s="261"/>
      <c r="AX77" s="261"/>
      <c r="AY77" s="261"/>
      <c r="AZ77" s="261"/>
      <c r="BA77" s="261"/>
      <c r="BB77" s="261"/>
      <c r="BC77" s="261"/>
      <c r="BD77" s="261"/>
      <c r="BE77" s="261"/>
      <c r="BF77" s="261"/>
      <c r="BG77" s="261"/>
      <c r="BH77" s="261"/>
      <c r="BI77" s="261"/>
      <c r="BJ77" s="261"/>
      <c r="BK77" s="261"/>
      <c r="BL77" s="7"/>
      <c r="BM77" s="222"/>
      <c r="BN77" s="222"/>
      <c r="BO77" s="222"/>
      <c r="BP77" s="222"/>
      <c r="BQ77" s="222"/>
      <c r="BR77" s="222"/>
      <c r="BS77" s="222"/>
      <c r="BT77" s="222"/>
      <c r="BU77" s="222"/>
      <c r="BV77" s="222"/>
      <c r="BW77" s="222"/>
      <c r="BX77" s="964"/>
      <c r="BY77" s="964"/>
      <c r="BZ77" s="964"/>
      <c r="CA77" s="222"/>
      <c r="CB77" s="7"/>
      <c r="CC77" s="222"/>
      <c r="CD77" s="222"/>
      <c r="CE77" s="222"/>
      <c r="CF77" s="222"/>
      <c r="CG77" s="222"/>
      <c r="CH77" s="222"/>
      <c r="CI77" s="222"/>
      <c r="CJ77" s="222"/>
      <c r="CK77" s="222"/>
      <c r="CL77" s="222"/>
      <c r="CM77" s="222"/>
      <c r="CN77" s="222"/>
      <c r="CO77" s="222"/>
      <c r="CP77" s="222"/>
      <c r="CQ77" s="7"/>
    </row>
    <row r="78" spans="1:95" ht="14.25" customHeight="1">
      <c r="A78" s="7"/>
      <c r="B78" s="13"/>
      <c r="C78" s="13"/>
      <c r="D78" s="222"/>
      <c r="E78" s="222"/>
      <c r="F78" s="222"/>
      <c r="G78" s="262"/>
      <c r="H78" s="222"/>
      <c r="I78" s="222"/>
      <c r="J78" s="222"/>
      <c r="K78" s="262"/>
      <c r="L78" s="222"/>
      <c r="M78" s="222"/>
      <c r="N78" s="222"/>
      <c r="O78" s="262"/>
      <c r="P78" s="222"/>
      <c r="Q78" s="222"/>
      <c r="R78" s="222"/>
      <c r="S78" s="262"/>
      <c r="T78" s="222"/>
      <c r="U78" s="222"/>
      <c r="V78" s="222"/>
      <c r="W78" s="26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765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7"/>
      <c r="BM78" s="222"/>
      <c r="BN78" s="222"/>
      <c r="BO78" s="222"/>
      <c r="BP78" s="222"/>
      <c r="BQ78" s="222"/>
      <c r="BR78" s="222"/>
      <c r="BS78" s="222"/>
      <c r="BT78" s="222"/>
      <c r="BU78" s="222"/>
      <c r="BV78" s="222"/>
      <c r="BW78" s="222"/>
      <c r="BX78" s="964"/>
      <c r="BY78" s="964"/>
      <c r="BZ78" s="964"/>
      <c r="CA78" s="222"/>
      <c r="CB78" s="7"/>
      <c r="CC78" s="222"/>
      <c r="CD78" s="222"/>
      <c r="CE78" s="222"/>
      <c r="CF78" s="222"/>
      <c r="CG78" s="222"/>
      <c r="CH78" s="222"/>
      <c r="CI78" s="222"/>
      <c r="CJ78" s="222"/>
      <c r="CK78" s="222"/>
      <c r="CL78" s="222"/>
      <c r="CM78" s="222"/>
      <c r="CN78" s="222"/>
      <c r="CO78" s="222"/>
      <c r="CP78" s="222"/>
      <c r="CQ78" s="7"/>
    </row>
    <row r="79" spans="1:95" ht="14.25" customHeight="1">
      <c r="A79" s="7"/>
      <c r="B79" s="146" t="s">
        <v>97</v>
      </c>
      <c r="C79" s="147"/>
      <c r="D79" s="263" t="str">
        <f t="shared" ref="D79:S79" si="345">D65</f>
        <v>F1Q06</v>
      </c>
      <c r="E79" s="224" t="str">
        <f t="shared" si="345"/>
        <v>F2Q06</v>
      </c>
      <c r="F79" s="224" t="str">
        <f t="shared" si="345"/>
        <v>F3Q06</v>
      </c>
      <c r="G79" s="225" t="str">
        <f t="shared" si="345"/>
        <v>F4Q06</v>
      </c>
      <c r="H79" s="263" t="str">
        <f t="shared" si="345"/>
        <v>F1Q07</v>
      </c>
      <c r="I79" s="224" t="str">
        <f t="shared" si="345"/>
        <v>F2Q07</v>
      </c>
      <c r="J79" s="224" t="str">
        <f t="shared" si="345"/>
        <v>F3Q07</v>
      </c>
      <c r="K79" s="225" t="str">
        <f t="shared" si="345"/>
        <v>F4Q07</v>
      </c>
      <c r="L79" s="263" t="str">
        <f t="shared" si="345"/>
        <v>F1Q08</v>
      </c>
      <c r="M79" s="224" t="str">
        <f t="shared" si="345"/>
        <v>F2Q08</v>
      </c>
      <c r="N79" s="224" t="str">
        <f t="shared" si="345"/>
        <v>F3Q08</v>
      </c>
      <c r="O79" s="225" t="str">
        <f t="shared" si="345"/>
        <v>F4Q08</v>
      </c>
      <c r="P79" s="263" t="str">
        <f t="shared" si="345"/>
        <v>F1Q09</v>
      </c>
      <c r="Q79" s="224" t="str">
        <f t="shared" si="345"/>
        <v>F2Q09</v>
      </c>
      <c r="R79" s="224" t="str">
        <f t="shared" si="345"/>
        <v>F3Q09</v>
      </c>
      <c r="S79" s="225" t="str">
        <f t="shared" si="345"/>
        <v>F4Q09</v>
      </c>
      <c r="T79" s="263" t="str">
        <f t="shared" ref="T79:AM79" si="346">T65</f>
        <v>F1Q10</v>
      </c>
      <c r="U79" s="224" t="str">
        <f t="shared" si="346"/>
        <v>F2Q10</v>
      </c>
      <c r="V79" s="224" t="str">
        <f t="shared" si="346"/>
        <v>F3Q10</v>
      </c>
      <c r="W79" s="225" t="str">
        <f t="shared" si="346"/>
        <v>F4Q10</v>
      </c>
      <c r="X79" s="263" t="str">
        <f t="shared" si="346"/>
        <v>F1Q11</v>
      </c>
      <c r="Y79" s="224" t="str">
        <f t="shared" si="346"/>
        <v>F2Q11</v>
      </c>
      <c r="Z79" s="224" t="str">
        <f>Z65</f>
        <v>F3Q11</v>
      </c>
      <c r="AA79" s="225" t="str">
        <f t="shared" si="346"/>
        <v>F4Q11</v>
      </c>
      <c r="AB79" s="263" t="str">
        <f t="shared" si="346"/>
        <v>F1Q12</v>
      </c>
      <c r="AC79" s="224" t="str">
        <f>AC65</f>
        <v>F2Q12</v>
      </c>
      <c r="AD79" s="224" t="str">
        <f>AD65</f>
        <v>F3Q12</v>
      </c>
      <c r="AE79" s="225" t="str">
        <f>AE65</f>
        <v>F4Q12</v>
      </c>
      <c r="AF79" s="263" t="str">
        <f>AF65</f>
        <v>F1Q13</v>
      </c>
      <c r="AG79" s="224" t="str">
        <f t="shared" si="346"/>
        <v>F2Q13</v>
      </c>
      <c r="AH79" s="224" t="str">
        <f t="shared" si="346"/>
        <v>F3Q13</v>
      </c>
      <c r="AI79" s="225" t="str">
        <f t="shared" si="346"/>
        <v>F4Q13</v>
      </c>
      <c r="AJ79" s="263" t="str">
        <f t="shared" si="346"/>
        <v>F1Q14</v>
      </c>
      <c r="AK79" s="224" t="str">
        <f t="shared" si="346"/>
        <v>F2Q14A</v>
      </c>
      <c r="AL79" s="224" t="str">
        <f t="shared" si="346"/>
        <v>F3Q14A</v>
      </c>
      <c r="AM79" s="225" t="str">
        <f t="shared" si="346"/>
        <v>F4Q14A</v>
      </c>
      <c r="AN79" s="263" t="str">
        <f t="shared" ref="AN79:AQ79" si="347">AN65</f>
        <v>F1Q15A</v>
      </c>
      <c r="AO79" s="224" t="str">
        <f t="shared" si="347"/>
        <v>F2Q15A</v>
      </c>
      <c r="AP79" s="224" t="str">
        <f t="shared" si="347"/>
        <v>F3Q15A</v>
      </c>
      <c r="AQ79" s="225" t="str">
        <f t="shared" si="347"/>
        <v>F4Q15A</v>
      </c>
      <c r="AR79" s="263" t="str">
        <f t="shared" ref="AR79:AU79" si="348">AR65</f>
        <v>F1Q16A</v>
      </c>
      <c r="AS79" s="224" t="str">
        <f t="shared" si="348"/>
        <v>F2Q16A</v>
      </c>
      <c r="AT79" s="1145" t="str">
        <f t="shared" si="348"/>
        <v>F3Q16A</v>
      </c>
      <c r="AU79" s="1146" t="str">
        <f t="shared" si="348"/>
        <v>F4Q16A</v>
      </c>
      <c r="AV79" s="1151" t="str">
        <f t="shared" ref="AV79" si="349">AV65</f>
        <v>F1Q17A</v>
      </c>
      <c r="AW79" s="1145" t="str">
        <f t="shared" ref="AW79:BC79" si="350">AW65</f>
        <v>F2Q17A</v>
      </c>
      <c r="AX79" s="224" t="str">
        <f t="shared" si="350"/>
        <v>F3Q17A</v>
      </c>
      <c r="AY79" s="1145" t="str">
        <f t="shared" si="350"/>
        <v>F4Q17A</v>
      </c>
      <c r="AZ79" s="1151" t="str">
        <f t="shared" si="350"/>
        <v>F1Q18A</v>
      </c>
      <c r="BA79" s="1145" t="str">
        <f t="shared" si="350"/>
        <v>F2Q18E</v>
      </c>
      <c r="BB79" s="1145" t="str">
        <f t="shared" si="350"/>
        <v>F3Q18E</v>
      </c>
      <c r="BC79" s="1146" t="str">
        <f t="shared" si="350"/>
        <v>F4Q18E</v>
      </c>
      <c r="BD79" s="1151" t="str">
        <f t="shared" ref="BD79:BG79" si="351">BD65</f>
        <v>F1Q19E</v>
      </c>
      <c r="BE79" s="1145" t="str">
        <f t="shared" si="351"/>
        <v>F2Q19E</v>
      </c>
      <c r="BF79" s="1145" t="str">
        <f t="shared" si="351"/>
        <v>F3Q19E</v>
      </c>
      <c r="BG79" s="1146" t="str">
        <f t="shared" si="351"/>
        <v>F4Q19E</v>
      </c>
      <c r="BH79" s="1151" t="str">
        <f t="shared" ref="BH79:BK79" si="352">BH65</f>
        <v>F1Q20E</v>
      </c>
      <c r="BI79" s="1145" t="str">
        <f t="shared" si="352"/>
        <v>F2Q20E</v>
      </c>
      <c r="BJ79" s="1145" t="str">
        <f t="shared" si="352"/>
        <v>F3Q20E</v>
      </c>
      <c r="BK79" s="1146" t="str">
        <f t="shared" si="352"/>
        <v>F4Q20E</v>
      </c>
      <c r="BL79" s="19"/>
      <c r="BM79" s="16" t="str">
        <f>BM65</f>
        <v>FY2006</v>
      </c>
      <c r="BN79" s="17" t="str">
        <f>BN65</f>
        <v>FY2007</v>
      </c>
      <c r="BO79" s="17" t="str">
        <f>BO65</f>
        <v>FY2008</v>
      </c>
      <c r="BP79" s="17" t="str">
        <f t="shared" ref="BP79:BU79" si="353">BP65</f>
        <v>FY2009</v>
      </c>
      <c r="BQ79" s="17" t="str">
        <f t="shared" si="353"/>
        <v>FY2010</v>
      </c>
      <c r="BR79" s="18" t="str">
        <f t="shared" si="353"/>
        <v>FY2011</v>
      </c>
      <c r="BS79" s="17" t="str">
        <f t="shared" si="353"/>
        <v>FY2012</v>
      </c>
      <c r="BT79" s="17" t="str">
        <f t="shared" si="353"/>
        <v>FY2013</v>
      </c>
      <c r="BU79" s="17" t="str">
        <f t="shared" si="353"/>
        <v>FY2014A</v>
      </c>
      <c r="BV79" s="17" t="str">
        <f t="shared" ref="BV79:CA79" si="354">BV65</f>
        <v>FY2015A</v>
      </c>
      <c r="BW79" s="17" t="str">
        <f t="shared" si="354"/>
        <v>FY2016A</v>
      </c>
      <c r="BX79" s="951" t="str">
        <f t="shared" si="354"/>
        <v>FY2017A</v>
      </c>
      <c r="BY79" s="1362" t="str">
        <f t="shared" si="354"/>
        <v>FY2018E</v>
      </c>
      <c r="BZ79" s="1362" t="str">
        <f t="shared" si="354"/>
        <v>FY2019E</v>
      </c>
      <c r="CA79" s="1363" t="str">
        <f t="shared" si="354"/>
        <v>FY2020E</v>
      </c>
      <c r="CB79" s="19"/>
      <c r="CC79" s="16" t="str">
        <f t="shared" ref="CC79:CJ79" si="355">CC65</f>
        <v>CY2006</v>
      </c>
      <c r="CD79" s="17" t="str">
        <f t="shared" si="355"/>
        <v>CY2007</v>
      </c>
      <c r="CE79" s="17" t="str">
        <f t="shared" si="355"/>
        <v>CY2008</v>
      </c>
      <c r="CF79" s="17" t="str">
        <f t="shared" si="355"/>
        <v>CY2009</v>
      </c>
      <c r="CG79" s="17" t="str">
        <f t="shared" si="355"/>
        <v>CY2010</v>
      </c>
      <c r="CH79" s="17" t="str">
        <f t="shared" si="355"/>
        <v>CY2011</v>
      </c>
      <c r="CI79" s="17" t="str">
        <f t="shared" si="355"/>
        <v>CY2012</v>
      </c>
      <c r="CJ79" s="17" t="str">
        <f t="shared" si="355"/>
        <v>CY2013</v>
      </c>
      <c r="CK79" s="17" t="str">
        <f t="shared" ref="CK79:CP79" si="356">CK65</f>
        <v>CY2014A</v>
      </c>
      <c r="CL79" s="17" t="str">
        <f t="shared" si="356"/>
        <v>CY2015A</v>
      </c>
      <c r="CM79" s="1362" t="str">
        <f t="shared" si="356"/>
        <v>CY2016A</v>
      </c>
      <c r="CN79" s="1362" t="str">
        <f t="shared" si="356"/>
        <v>CY2017A</v>
      </c>
      <c r="CO79" s="1362" t="str">
        <f t="shared" si="356"/>
        <v>CY2018E</v>
      </c>
      <c r="CP79" s="1363" t="str">
        <f t="shared" si="356"/>
        <v>CY2019E</v>
      </c>
      <c r="CQ79" s="7"/>
    </row>
    <row r="80" spans="1:95" ht="14.25" customHeight="1">
      <c r="A80" s="7"/>
      <c r="B80" s="264" t="s">
        <v>393</v>
      </c>
      <c r="C80" s="9"/>
      <c r="D80" s="229">
        <f t="shared" ref="D80:AT80" si="357">D70*D81</f>
        <v>52</v>
      </c>
      <c r="E80" s="229">
        <f t="shared" si="357"/>
        <v>61</v>
      </c>
      <c r="F80" s="229">
        <f t="shared" si="357"/>
        <v>52</v>
      </c>
      <c r="G80" s="230">
        <f t="shared" si="357"/>
        <v>51</v>
      </c>
      <c r="H80" s="229">
        <f t="shared" si="357"/>
        <v>45</v>
      </c>
      <c r="I80" s="229">
        <f t="shared" si="357"/>
        <v>44</v>
      </c>
      <c r="J80" s="229">
        <f t="shared" si="357"/>
        <v>45</v>
      </c>
      <c r="K80" s="230">
        <f t="shared" si="357"/>
        <v>42</v>
      </c>
      <c r="L80" s="229">
        <f t="shared" si="357"/>
        <v>39</v>
      </c>
      <c r="M80" s="229">
        <f t="shared" si="357"/>
        <v>38</v>
      </c>
      <c r="N80" s="229">
        <f t="shared" si="357"/>
        <v>40</v>
      </c>
      <c r="O80" s="230">
        <f t="shared" si="357"/>
        <v>42</v>
      </c>
      <c r="P80" s="229">
        <f t="shared" si="357"/>
        <v>41</v>
      </c>
      <c r="Q80" s="229">
        <f t="shared" si="357"/>
        <v>39</v>
      </c>
      <c r="R80" s="229">
        <f t="shared" si="357"/>
        <v>40</v>
      </c>
      <c r="S80" s="230">
        <f t="shared" si="357"/>
        <v>40</v>
      </c>
      <c r="T80" s="229">
        <f t="shared" si="357"/>
        <v>39</v>
      </c>
      <c r="U80" s="229">
        <f t="shared" si="357"/>
        <v>40</v>
      </c>
      <c r="V80" s="229">
        <f t="shared" si="357"/>
        <v>40</v>
      </c>
      <c r="W80" s="230">
        <f t="shared" si="357"/>
        <v>40</v>
      </c>
      <c r="X80" s="229">
        <f t="shared" si="357"/>
        <v>41</v>
      </c>
      <c r="Y80" s="229">
        <f t="shared" si="357"/>
        <v>38</v>
      </c>
      <c r="Z80" s="229">
        <f t="shared" si="357"/>
        <v>39</v>
      </c>
      <c r="AA80" s="230">
        <f t="shared" si="357"/>
        <v>39</v>
      </c>
      <c r="AB80" s="229">
        <f t="shared" si="357"/>
        <v>37</v>
      </c>
      <c r="AC80" s="229">
        <f t="shared" si="357"/>
        <v>38</v>
      </c>
      <c r="AD80" s="229">
        <f t="shared" si="357"/>
        <v>40</v>
      </c>
      <c r="AE80" s="230">
        <f t="shared" si="357"/>
        <v>40</v>
      </c>
      <c r="AF80" s="229">
        <f t="shared" si="357"/>
        <v>41</v>
      </c>
      <c r="AG80" s="229">
        <f t="shared" si="357"/>
        <v>42</v>
      </c>
      <c r="AH80" s="229">
        <f t="shared" si="357"/>
        <v>46.000000000000007</v>
      </c>
      <c r="AI80" s="230">
        <f t="shared" si="357"/>
        <v>58</v>
      </c>
      <c r="AJ80" s="229">
        <f t="shared" si="357"/>
        <v>57</v>
      </c>
      <c r="AK80" s="229">
        <f t="shared" si="357"/>
        <v>61</v>
      </c>
      <c r="AL80" s="229">
        <f t="shared" si="357"/>
        <v>257</v>
      </c>
      <c r="AM80" s="230">
        <f t="shared" si="357"/>
        <v>250</v>
      </c>
      <c r="AN80" s="229">
        <f t="shared" si="357"/>
        <v>226</v>
      </c>
      <c r="AO80" s="229">
        <f t="shared" si="357"/>
        <v>230</v>
      </c>
      <c r="AP80" s="229">
        <f t="shared" si="357"/>
        <v>256</v>
      </c>
      <c r="AQ80" s="230">
        <f t="shared" si="357"/>
        <v>250</v>
      </c>
      <c r="AR80" s="1024">
        <f t="shared" si="357"/>
        <v>244</v>
      </c>
      <c r="AS80" s="1024">
        <f t="shared" si="357"/>
        <v>1040</v>
      </c>
      <c r="AT80" s="1147">
        <f t="shared" si="357"/>
        <v>1058</v>
      </c>
      <c r="AU80" s="1148">
        <f t="shared" ref="AU80:AX80" si="358">AU70*AU81</f>
        <v>700</v>
      </c>
      <c r="AV80" s="1147">
        <f t="shared" si="358"/>
        <v>1114</v>
      </c>
      <c r="AW80" s="1147">
        <f t="shared" si="358"/>
        <v>1193.0000000000002</v>
      </c>
      <c r="AX80" s="1147">
        <f t="shared" si="358"/>
        <v>1211</v>
      </c>
      <c r="AY80" s="248">
        <f t="shared" ref="AY80:AZ80" si="359">AY70*AY81</f>
        <v>1219</v>
      </c>
      <c r="AZ80" s="1147">
        <f t="shared" si="359"/>
        <v>1184</v>
      </c>
      <c r="BA80" s="1147">
        <f t="shared" ref="BA80:BK80" si="360">BA70*BA81</f>
        <v>121.91968320000001</v>
      </c>
      <c r="BB80" s="1147">
        <f t="shared" si="360"/>
        <v>127.39256491500001</v>
      </c>
      <c r="BC80" s="248">
        <f t="shared" si="360"/>
        <v>133.25446689397501</v>
      </c>
      <c r="BD80" s="1147">
        <f t="shared" si="360"/>
        <v>138.85225855540202</v>
      </c>
      <c r="BE80" s="1147">
        <f t="shared" si="360"/>
        <v>144.2893979001712</v>
      </c>
      <c r="BF80" s="1147">
        <f t="shared" si="360"/>
        <v>141.53604247984435</v>
      </c>
      <c r="BG80" s="248">
        <f t="shared" si="360"/>
        <v>147.6519126074966</v>
      </c>
      <c r="BH80" s="1147">
        <f t="shared" si="360"/>
        <v>139.54110491786474</v>
      </c>
      <c r="BI80" s="1147">
        <f t="shared" si="360"/>
        <v>144.56893450197029</v>
      </c>
      <c r="BJ80" s="1147">
        <f t="shared" si="360"/>
        <v>149.80087763487424</v>
      </c>
      <c r="BK80" s="1147">
        <f t="shared" si="360"/>
        <v>155.36496122354515</v>
      </c>
      <c r="BL80" s="19"/>
      <c r="BM80" s="628">
        <f t="shared" ref="BM80:BY80" si="361">BM70*BM81</f>
        <v>216</v>
      </c>
      <c r="BN80" s="231">
        <f t="shared" si="361"/>
        <v>176</v>
      </c>
      <c r="BO80" s="231">
        <f t="shared" si="361"/>
        <v>159</v>
      </c>
      <c r="BP80" s="231">
        <f t="shared" si="361"/>
        <v>160</v>
      </c>
      <c r="BQ80" s="162">
        <f t="shared" si="361"/>
        <v>159</v>
      </c>
      <c r="BR80" s="165">
        <f t="shared" si="361"/>
        <v>157</v>
      </c>
      <c r="BS80" s="162">
        <f t="shared" si="361"/>
        <v>155</v>
      </c>
      <c r="BT80" s="162">
        <f t="shared" si="361"/>
        <v>186.99999999999997</v>
      </c>
      <c r="BU80" s="162">
        <f t="shared" si="361"/>
        <v>625</v>
      </c>
      <c r="BV80" s="162">
        <f t="shared" si="361"/>
        <v>962</v>
      </c>
      <c r="BW80" s="162">
        <f t="shared" si="361"/>
        <v>3042</v>
      </c>
      <c r="BX80" s="162">
        <f t="shared" si="361"/>
        <v>4737</v>
      </c>
      <c r="BY80" s="1020">
        <f t="shared" si="361"/>
        <v>1566.5667150089751</v>
      </c>
      <c r="BZ80" s="1020">
        <f t="shared" ref="BZ80:CA80" si="362">BZ70*BZ81</f>
        <v>572.32961154291411</v>
      </c>
      <c r="CA80" s="165">
        <f t="shared" si="362"/>
        <v>589.27587827825448</v>
      </c>
      <c r="CB80" s="19"/>
      <c r="CC80" s="628">
        <f t="shared" ref="CC80:CN80" si="363">CC70*CC81</f>
        <v>208.99999999999997</v>
      </c>
      <c r="CD80" s="231">
        <f t="shared" si="363"/>
        <v>170</v>
      </c>
      <c r="CE80" s="231">
        <f t="shared" si="363"/>
        <v>161</v>
      </c>
      <c r="CF80" s="231">
        <f t="shared" si="363"/>
        <v>158</v>
      </c>
      <c r="CG80" s="162">
        <f t="shared" si="363"/>
        <v>161</v>
      </c>
      <c r="CH80" s="162">
        <f t="shared" si="363"/>
        <v>153</v>
      </c>
      <c r="CI80" s="162">
        <f t="shared" si="363"/>
        <v>159</v>
      </c>
      <c r="CJ80" s="162">
        <f t="shared" si="363"/>
        <v>203</v>
      </c>
      <c r="CK80" s="162">
        <f t="shared" si="363"/>
        <v>794.00000000000011</v>
      </c>
      <c r="CL80" s="162">
        <f t="shared" si="363"/>
        <v>980</v>
      </c>
      <c r="CM80" s="1020">
        <f t="shared" si="363"/>
        <v>3912</v>
      </c>
      <c r="CN80" s="1020">
        <f t="shared" si="363"/>
        <v>4807</v>
      </c>
      <c r="CO80" s="1020">
        <f t="shared" ref="CO80:CP80" si="364">CO70*CO81</f>
        <v>521.4189735643771</v>
      </c>
      <c r="CP80" s="165">
        <f t="shared" si="364"/>
        <v>573.01845790537686</v>
      </c>
      <c r="CQ80" s="7"/>
    </row>
    <row r="81" spans="1:95" ht="14.25" customHeight="1">
      <c r="A81" s="7"/>
      <c r="B81" s="265" t="s">
        <v>98</v>
      </c>
      <c r="C81" s="266"/>
      <c r="D81" s="269">
        <f t="shared" ref="D81:AI81" si="365">D83/D70</f>
        <v>5.9976931949250287E-2</v>
      </c>
      <c r="E81" s="267">
        <f t="shared" si="365"/>
        <v>6.9714285714285715E-2</v>
      </c>
      <c r="F81" s="267">
        <f t="shared" si="365"/>
        <v>5.7906458797327393E-2</v>
      </c>
      <c r="G81" s="268">
        <f t="shared" si="365"/>
        <v>5.5434782608695651E-2</v>
      </c>
      <c r="H81" s="269">
        <f t="shared" si="365"/>
        <v>3.9473684210526314E-2</v>
      </c>
      <c r="I81" s="267">
        <f t="shared" si="365"/>
        <v>3.8227628149435276E-2</v>
      </c>
      <c r="J81" s="267">
        <f t="shared" si="365"/>
        <v>3.8826574633304571E-2</v>
      </c>
      <c r="K81" s="268">
        <f t="shared" si="365"/>
        <v>3.5989717223650387E-2</v>
      </c>
      <c r="L81" s="269">
        <f t="shared" si="365"/>
        <v>2.7758007117437724E-2</v>
      </c>
      <c r="M81" s="267">
        <f t="shared" si="365"/>
        <v>2.6760563380281689E-2</v>
      </c>
      <c r="N81" s="267">
        <f t="shared" si="365"/>
        <v>2.7913468248429867E-2</v>
      </c>
      <c r="O81" s="268">
        <f t="shared" si="365"/>
        <v>2.8925619834710745E-2</v>
      </c>
      <c r="P81" s="269">
        <f t="shared" si="365"/>
        <v>8.9130434782608695E-2</v>
      </c>
      <c r="Q81" s="267">
        <f t="shared" si="365"/>
        <v>8.2627118644067798E-2</v>
      </c>
      <c r="R81" s="267">
        <f t="shared" si="365"/>
        <v>8.247422680412371E-2</v>
      </c>
      <c r="S81" s="268">
        <f t="shared" si="365"/>
        <v>8.0482897384305835E-2</v>
      </c>
      <c r="T81" s="269">
        <f t="shared" si="365"/>
        <v>6.5989847715736044E-2</v>
      </c>
      <c r="U81" s="267">
        <f t="shared" si="365"/>
        <v>6.6666666666666666E-2</v>
      </c>
      <c r="V81" s="267">
        <f t="shared" si="365"/>
        <v>6.4724919093851127E-2</v>
      </c>
      <c r="W81" s="268">
        <f t="shared" si="365"/>
        <v>6.25E-2</v>
      </c>
      <c r="X81" s="269">
        <f t="shared" si="365"/>
        <v>6.101190476190476E-2</v>
      </c>
      <c r="Y81" s="267">
        <f t="shared" si="365"/>
        <v>5.4992764109985527E-2</v>
      </c>
      <c r="Z81" s="267">
        <f t="shared" si="365"/>
        <v>5.4545454545454543E-2</v>
      </c>
      <c r="AA81" s="243">
        <f t="shared" si="365"/>
        <v>5.1861702127659573E-2</v>
      </c>
      <c r="AB81" s="269">
        <f t="shared" si="365"/>
        <v>4.630788485607009E-2</v>
      </c>
      <c r="AC81" s="267">
        <f t="shared" si="365"/>
        <v>4.4444444444444446E-2</v>
      </c>
      <c r="AD81" s="267">
        <f t="shared" si="365"/>
        <v>4.3478260869565216E-2</v>
      </c>
      <c r="AE81" s="243">
        <f t="shared" si="365"/>
        <v>4.048582995951417E-2</v>
      </c>
      <c r="AF81" s="269">
        <f t="shared" si="365"/>
        <v>3.886255924170616E-2</v>
      </c>
      <c r="AG81" s="267">
        <f t="shared" si="365"/>
        <v>3.8112522686025406E-2</v>
      </c>
      <c r="AH81" s="267">
        <f t="shared" si="365"/>
        <v>3.9417309340188521E-2</v>
      </c>
      <c r="AI81" s="243">
        <f t="shared" si="365"/>
        <v>4.707792207792208E-2</v>
      </c>
      <c r="AJ81" s="269">
        <f t="shared" ref="AJ81:AT81" si="366">AJ83/AJ70</f>
        <v>4.4392523364485979E-2</v>
      </c>
      <c r="AK81" s="267">
        <f t="shared" si="366"/>
        <v>4.4952100221075902E-2</v>
      </c>
      <c r="AL81" s="267">
        <f t="shared" si="366"/>
        <v>0.17699724517906337</v>
      </c>
      <c r="AM81" s="243">
        <f t="shared" si="366"/>
        <v>0.1350621285791464</v>
      </c>
      <c r="AN81" s="269">
        <f t="shared" si="366"/>
        <v>0.16581071166544387</v>
      </c>
      <c r="AO81" s="267">
        <f t="shared" si="366"/>
        <v>0.15302727877578176</v>
      </c>
      <c r="AP81" s="267">
        <f t="shared" si="366"/>
        <v>0.15505754088431253</v>
      </c>
      <c r="AQ81" s="243">
        <f t="shared" si="366"/>
        <v>0.11180679785330948</v>
      </c>
      <c r="AR81" s="1179">
        <f t="shared" si="366"/>
        <v>0.1026936026936027</v>
      </c>
      <c r="AS81" s="1178">
        <f t="shared" si="366"/>
        <v>0.41041831097079717</v>
      </c>
      <c r="AT81" s="1178">
        <f t="shared" si="366"/>
        <v>0.38250180766449748</v>
      </c>
      <c r="AU81" s="243">
        <f t="shared" ref="AU81:AX81" si="367">AU83/AU70</f>
        <v>0.19241341396371633</v>
      </c>
      <c r="AV81" s="1241">
        <f t="shared" si="367"/>
        <v>0.28181128257019983</v>
      </c>
      <c r="AW81" s="1239">
        <f t="shared" si="367"/>
        <v>0.28344024708957</v>
      </c>
      <c r="AX81" s="1239">
        <f t="shared" si="367"/>
        <v>0.27128136200716846</v>
      </c>
      <c r="AY81" s="1240">
        <f t="shared" ref="AY81:AZ81" si="368">AY83/AY70</f>
        <v>0.29789833822091888</v>
      </c>
      <c r="AZ81" s="1241">
        <f t="shared" si="368"/>
        <v>0.3595505617977528</v>
      </c>
      <c r="BA81" s="1267">
        <v>3.5000000000000003E-2</v>
      </c>
      <c r="BB81" s="1267">
        <f t="shared" ref="BB81:BK81" si="369">BA81</f>
        <v>3.5000000000000003E-2</v>
      </c>
      <c r="BC81" s="1268">
        <f t="shared" si="369"/>
        <v>3.5000000000000003E-2</v>
      </c>
      <c r="BD81" s="1267">
        <v>3.5000000000000003E-2</v>
      </c>
      <c r="BE81" s="1267">
        <f t="shared" si="369"/>
        <v>3.5000000000000003E-2</v>
      </c>
      <c r="BF81" s="1267">
        <v>3.3000000000000002E-2</v>
      </c>
      <c r="BG81" s="1268">
        <f t="shared" si="369"/>
        <v>3.3000000000000002E-2</v>
      </c>
      <c r="BH81" s="1267">
        <v>0.03</v>
      </c>
      <c r="BI81" s="1267">
        <f t="shared" si="369"/>
        <v>0.03</v>
      </c>
      <c r="BJ81" s="1267">
        <f t="shared" si="369"/>
        <v>0.03</v>
      </c>
      <c r="BK81" s="1268">
        <f t="shared" si="369"/>
        <v>0.03</v>
      </c>
      <c r="BL81" s="19"/>
      <c r="BM81" s="269">
        <f t="shared" ref="BM81:BY81" si="370">BM83/BM70</f>
        <v>0.43460764587525152</v>
      </c>
      <c r="BN81" s="267">
        <f t="shared" si="370"/>
        <v>0.38852097130242824</v>
      </c>
      <c r="BO81" s="267">
        <f t="shared" si="370"/>
        <v>0.3087378640776699</v>
      </c>
      <c r="BP81" s="267">
        <f t="shared" si="370"/>
        <v>0.28673835125448027</v>
      </c>
      <c r="BQ81" s="242">
        <f t="shared" si="370"/>
        <v>0.24843750000000001</v>
      </c>
      <c r="BR81" s="243">
        <f t="shared" si="370"/>
        <v>0.20877659574468085</v>
      </c>
      <c r="BS81" s="242">
        <f t="shared" si="370"/>
        <v>0.15688259109311742</v>
      </c>
      <c r="BT81" s="242">
        <f t="shared" si="370"/>
        <v>0.15178571428571427</v>
      </c>
      <c r="BU81" s="242">
        <f t="shared" si="370"/>
        <v>0.33765532144786603</v>
      </c>
      <c r="BV81" s="242">
        <f t="shared" si="370"/>
        <v>0.43023255813953487</v>
      </c>
      <c r="BW81" s="242">
        <f t="shared" si="370"/>
        <v>0.83617372182517868</v>
      </c>
      <c r="BX81" s="242">
        <f t="shared" si="370"/>
        <v>1.1576246334310851</v>
      </c>
      <c r="BY81" s="242">
        <f t="shared" si="370"/>
        <v>0.4114671448045335</v>
      </c>
      <c r="BZ81" s="242">
        <f t="shared" ref="BZ81:CA81" si="371">BZ83/BZ70</f>
        <v>0.12791488337251136</v>
      </c>
      <c r="CA81" s="243">
        <f t="shared" si="371"/>
        <v>0.113785477813826</v>
      </c>
      <c r="CB81" s="19"/>
      <c r="CC81" s="269">
        <f t="shared" ref="CC81:CN81" si="372">CC83/CC70</f>
        <v>0.18333333333333332</v>
      </c>
      <c r="CD81" s="267">
        <f t="shared" si="372"/>
        <v>0.12099644128113879</v>
      </c>
      <c r="CE81" s="267">
        <f t="shared" si="372"/>
        <v>0.35</v>
      </c>
      <c r="CF81" s="267">
        <f t="shared" si="372"/>
        <v>0.2673434856175973</v>
      </c>
      <c r="CG81" s="242">
        <f t="shared" si="372"/>
        <v>0.23958333333333334</v>
      </c>
      <c r="CH81" s="242">
        <f t="shared" si="372"/>
        <v>0.19148936170212766</v>
      </c>
      <c r="CI81" s="242">
        <f t="shared" si="372"/>
        <v>0.15071090047393365</v>
      </c>
      <c r="CJ81" s="242">
        <f t="shared" si="372"/>
        <v>0.15809968847352024</v>
      </c>
      <c r="CK81" s="242">
        <f t="shared" si="372"/>
        <v>0.58253851797505507</v>
      </c>
      <c r="CL81" s="242">
        <f t="shared" si="372"/>
        <v>0.41245791245791247</v>
      </c>
      <c r="CM81" s="242">
        <f t="shared" si="372"/>
        <v>0.98962813053377185</v>
      </c>
      <c r="CN81" s="242">
        <f t="shared" si="372"/>
        <v>1.4597631339204373</v>
      </c>
      <c r="CO81" s="242">
        <f t="shared" ref="CO81:CP81" si="373">CO83/CO70</f>
        <v>0.13143224506839107</v>
      </c>
      <c r="CP81" s="243">
        <f t="shared" si="373"/>
        <v>0.12319347583839066</v>
      </c>
      <c r="CQ81" s="7"/>
    </row>
    <row r="82" spans="1:95" ht="14.25" customHeight="1">
      <c r="A82" s="7"/>
      <c r="B82" s="13"/>
      <c r="C82" s="13"/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  <c r="Q82" s="229"/>
      <c r="R82" s="229"/>
      <c r="S82" s="229"/>
      <c r="T82" s="229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29"/>
      <c r="AG82" s="229"/>
      <c r="AH82" s="229"/>
      <c r="AI82" s="229"/>
      <c r="AJ82" s="229"/>
      <c r="AK82" s="229"/>
      <c r="AL82" s="229"/>
      <c r="AM82" s="229"/>
      <c r="AN82" s="229"/>
      <c r="AO82" s="229"/>
      <c r="AP82" s="229"/>
      <c r="AQ82" s="229"/>
      <c r="AR82" s="1024"/>
      <c r="AS82" s="1024"/>
      <c r="AT82" s="1147"/>
      <c r="AU82" s="1147"/>
      <c r="AV82" s="1147"/>
      <c r="AW82" s="1147"/>
      <c r="AX82" s="1147"/>
      <c r="AY82" s="229"/>
      <c r="AZ82" s="1147"/>
      <c r="BA82" s="229"/>
      <c r="BB82" s="229"/>
      <c r="BC82" s="229"/>
      <c r="BD82" s="1147"/>
      <c r="BE82" s="1147"/>
      <c r="BF82" s="1147"/>
      <c r="BG82" s="1147"/>
      <c r="BH82" s="1147"/>
      <c r="BI82" s="1147"/>
      <c r="BJ82" s="1147"/>
      <c r="BK82" s="1147"/>
      <c r="BL82" s="7"/>
      <c r="BM82" s="229"/>
      <c r="BN82" s="229"/>
      <c r="BO82" s="229"/>
      <c r="BP82" s="229"/>
      <c r="BQ82" s="229"/>
      <c r="BR82" s="229"/>
      <c r="BS82" s="229"/>
      <c r="BT82" s="229"/>
      <c r="BU82" s="229"/>
      <c r="BV82" s="229"/>
      <c r="BW82" s="229"/>
      <c r="BX82" s="229"/>
      <c r="BY82" s="1147"/>
      <c r="BZ82" s="1147"/>
      <c r="CA82" s="1147"/>
      <c r="CB82" s="7"/>
      <c r="CC82" s="229"/>
      <c r="CD82" s="229"/>
      <c r="CE82" s="229"/>
      <c r="CF82" s="229"/>
      <c r="CG82" s="229"/>
      <c r="CH82" s="229"/>
      <c r="CI82" s="229"/>
      <c r="CJ82" s="229"/>
      <c r="CK82" s="229"/>
      <c r="CL82" s="229"/>
      <c r="CM82" s="1147"/>
      <c r="CN82" s="1147"/>
      <c r="CO82" s="1147"/>
      <c r="CP82" s="1147"/>
      <c r="CQ82" s="7"/>
    </row>
    <row r="83" spans="1:95" ht="14.25" customHeight="1">
      <c r="A83" s="7"/>
      <c r="B83" s="67" t="s">
        <v>99</v>
      </c>
      <c r="C83" s="216"/>
      <c r="D83" s="164">
        <f t="shared" ref="D83:AI83" si="374">D11</f>
        <v>52</v>
      </c>
      <c r="E83" s="162">
        <f t="shared" si="374"/>
        <v>61</v>
      </c>
      <c r="F83" s="162">
        <f t="shared" si="374"/>
        <v>52</v>
      </c>
      <c r="G83" s="163">
        <f t="shared" si="374"/>
        <v>51</v>
      </c>
      <c r="H83" s="164">
        <f t="shared" si="374"/>
        <v>45</v>
      </c>
      <c r="I83" s="162">
        <f t="shared" si="374"/>
        <v>44</v>
      </c>
      <c r="J83" s="162">
        <f t="shared" si="374"/>
        <v>45</v>
      </c>
      <c r="K83" s="163">
        <f t="shared" si="374"/>
        <v>42</v>
      </c>
      <c r="L83" s="164">
        <f t="shared" si="374"/>
        <v>39</v>
      </c>
      <c r="M83" s="162">
        <f t="shared" si="374"/>
        <v>38</v>
      </c>
      <c r="N83" s="162">
        <f t="shared" si="374"/>
        <v>40</v>
      </c>
      <c r="O83" s="163">
        <f t="shared" si="374"/>
        <v>42</v>
      </c>
      <c r="P83" s="164">
        <f t="shared" si="374"/>
        <v>41</v>
      </c>
      <c r="Q83" s="162">
        <f t="shared" si="374"/>
        <v>39</v>
      </c>
      <c r="R83" s="162">
        <f t="shared" si="374"/>
        <v>40</v>
      </c>
      <c r="S83" s="163">
        <f t="shared" si="374"/>
        <v>40</v>
      </c>
      <c r="T83" s="164">
        <f t="shared" si="374"/>
        <v>39</v>
      </c>
      <c r="U83" s="162">
        <f t="shared" si="374"/>
        <v>40</v>
      </c>
      <c r="V83" s="162">
        <f t="shared" si="374"/>
        <v>40</v>
      </c>
      <c r="W83" s="163">
        <f t="shared" si="374"/>
        <v>40</v>
      </c>
      <c r="X83" s="164">
        <f t="shared" si="374"/>
        <v>41</v>
      </c>
      <c r="Y83" s="162">
        <f t="shared" si="374"/>
        <v>38</v>
      </c>
      <c r="Z83" s="162">
        <f t="shared" si="374"/>
        <v>39</v>
      </c>
      <c r="AA83" s="163">
        <f t="shared" si="374"/>
        <v>39</v>
      </c>
      <c r="AB83" s="164">
        <f t="shared" si="374"/>
        <v>37</v>
      </c>
      <c r="AC83" s="162">
        <f t="shared" si="374"/>
        <v>38</v>
      </c>
      <c r="AD83" s="162">
        <f t="shared" si="374"/>
        <v>40</v>
      </c>
      <c r="AE83" s="163">
        <f t="shared" si="374"/>
        <v>40</v>
      </c>
      <c r="AF83" s="164">
        <f t="shared" si="374"/>
        <v>41</v>
      </c>
      <c r="AG83" s="162">
        <f t="shared" si="374"/>
        <v>42</v>
      </c>
      <c r="AH83" s="162">
        <f t="shared" si="374"/>
        <v>46</v>
      </c>
      <c r="AI83" s="163">
        <f t="shared" si="374"/>
        <v>58</v>
      </c>
      <c r="AJ83" s="164">
        <f t="shared" ref="AJ83:BC83" si="375">AJ11</f>
        <v>57</v>
      </c>
      <c r="AK83" s="162">
        <f t="shared" si="375"/>
        <v>61</v>
      </c>
      <c r="AL83" s="162">
        <f t="shared" si="375"/>
        <v>257</v>
      </c>
      <c r="AM83" s="163">
        <f t="shared" si="375"/>
        <v>250</v>
      </c>
      <c r="AN83" s="164">
        <f t="shared" si="375"/>
        <v>226</v>
      </c>
      <c r="AO83" s="162">
        <f t="shared" si="375"/>
        <v>230</v>
      </c>
      <c r="AP83" s="162">
        <f t="shared" si="375"/>
        <v>256</v>
      </c>
      <c r="AQ83" s="163">
        <f t="shared" si="375"/>
        <v>250</v>
      </c>
      <c r="AR83" s="164">
        <f t="shared" si="375"/>
        <v>244</v>
      </c>
      <c r="AS83" s="1020">
        <f t="shared" si="375"/>
        <v>1040</v>
      </c>
      <c r="AT83" s="1020">
        <f t="shared" si="375"/>
        <v>1058</v>
      </c>
      <c r="AU83" s="1021">
        <f t="shared" ref="AU83:AX83" si="376">AU11</f>
        <v>700</v>
      </c>
      <c r="AV83" s="164">
        <f t="shared" si="376"/>
        <v>1114</v>
      </c>
      <c r="AW83" s="1020">
        <f t="shared" si="376"/>
        <v>1193</v>
      </c>
      <c r="AX83" s="1020">
        <f t="shared" si="376"/>
        <v>1211</v>
      </c>
      <c r="AY83" s="163">
        <f t="shared" ref="AY83:AZ83" si="377">AY11</f>
        <v>1219</v>
      </c>
      <c r="AZ83" s="164">
        <f t="shared" si="377"/>
        <v>1184</v>
      </c>
      <c r="BA83" s="162">
        <f t="shared" si="375"/>
        <v>121.91968320000001</v>
      </c>
      <c r="BB83" s="162">
        <f t="shared" si="375"/>
        <v>127.39256491500001</v>
      </c>
      <c r="BC83" s="163">
        <f t="shared" si="375"/>
        <v>133.25446689397501</v>
      </c>
      <c r="BD83" s="164">
        <f t="shared" ref="BD83:BG83" si="378">BD11</f>
        <v>138.85225855540202</v>
      </c>
      <c r="BE83" s="1020">
        <f t="shared" si="378"/>
        <v>144.2893979001712</v>
      </c>
      <c r="BF83" s="1020">
        <f t="shared" si="378"/>
        <v>141.53604247984435</v>
      </c>
      <c r="BG83" s="1021">
        <f t="shared" si="378"/>
        <v>147.6519126074966</v>
      </c>
      <c r="BH83" s="164">
        <f t="shared" ref="BH83:BK83" si="379">BH11</f>
        <v>139.54110491786474</v>
      </c>
      <c r="BI83" s="1020">
        <f t="shared" si="379"/>
        <v>144.56893450197029</v>
      </c>
      <c r="BJ83" s="1020">
        <f t="shared" si="379"/>
        <v>149.80087763487424</v>
      </c>
      <c r="BK83" s="1021">
        <f t="shared" si="379"/>
        <v>155.36496122354515</v>
      </c>
      <c r="BL83" s="166"/>
      <c r="BM83" s="164">
        <f t="shared" ref="BM83:BY83" si="380">BM11</f>
        <v>216</v>
      </c>
      <c r="BN83" s="162">
        <f t="shared" si="380"/>
        <v>176</v>
      </c>
      <c r="BO83" s="162">
        <f t="shared" si="380"/>
        <v>159</v>
      </c>
      <c r="BP83" s="162">
        <f t="shared" si="380"/>
        <v>160</v>
      </c>
      <c r="BQ83" s="162">
        <f t="shared" si="380"/>
        <v>159</v>
      </c>
      <c r="BR83" s="165">
        <f t="shared" si="380"/>
        <v>157</v>
      </c>
      <c r="BS83" s="162">
        <f t="shared" si="380"/>
        <v>155</v>
      </c>
      <c r="BT83" s="162">
        <f t="shared" si="380"/>
        <v>187</v>
      </c>
      <c r="BU83" s="162">
        <f t="shared" si="380"/>
        <v>625</v>
      </c>
      <c r="BV83" s="162">
        <f t="shared" si="380"/>
        <v>962</v>
      </c>
      <c r="BW83" s="162">
        <f t="shared" si="380"/>
        <v>3042</v>
      </c>
      <c r="BX83" s="162">
        <f t="shared" si="380"/>
        <v>4737</v>
      </c>
      <c r="BY83" s="1020">
        <f t="shared" si="380"/>
        <v>1566.5667150089751</v>
      </c>
      <c r="BZ83" s="1020">
        <f t="shared" ref="BZ83:CA83" si="381">BZ11</f>
        <v>572.32961154291411</v>
      </c>
      <c r="CA83" s="165">
        <f t="shared" si="381"/>
        <v>589.27587827825448</v>
      </c>
      <c r="CB83" s="19"/>
      <c r="CC83" s="164">
        <f t="shared" ref="CC83:CN83" si="382">CC11</f>
        <v>209</v>
      </c>
      <c r="CD83" s="162">
        <f t="shared" si="382"/>
        <v>170</v>
      </c>
      <c r="CE83" s="162">
        <f t="shared" si="382"/>
        <v>161</v>
      </c>
      <c r="CF83" s="162">
        <f t="shared" si="382"/>
        <v>158</v>
      </c>
      <c r="CG83" s="162">
        <f t="shared" si="382"/>
        <v>161</v>
      </c>
      <c r="CH83" s="162">
        <f t="shared" si="382"/>
        <v>153</v>
      </c>
      <c r="CI83" s="162">
        <f t="shared" si="382"/>
        <v>159</v>
      </c>
      <c r="CJ83" s="162">
        <f t="shared" si="382"/>
        <v>203</v>
      </c>
      <c r="CK83" s="162">
        <f t="shared" si="382"/>
        <v>794</v>
      </c>
      <c r="CL83" s="162">
        <f t="shared" si="382"/>
        <v>980</v>
      </c>
      <c r="CM83" s="1020">
        <f t="shared" si="382"/>
        <v>3912</v>
      </c>
      <c r="CN83" s="1020">
        <f t="shared" si="382"/>
        <v>4807</v>
      </c>
      <c r="CO83" s="1020">
        <f t="shared" ref="CO83:CP83" si="383">CO11</f>
        <v>521.4189735643771</v>
      </c>
      <c r="CP83" s="165">
        <f t="shared" si="383"/>
        <v>573.01845790537686</v>
      </c>
      <c r="CQ83" s="7"/>
    </row>
    <row r="84" spans="1:95" ht="14.25" customHeight="1">
      <c r="A84" s="7"/>
      <c r="B84" s="136" t="s">
        <v>44</v>
      </c>
      <c r="C84" s="137"/>
      <c r="D84" s="140">
        <f t="shared" ref="D84:S84" si="384">IF(ROUND(D83,4)=ROUND(D80,4),0,(D83-D80))</f>
        <v>0</v>
      </c>
      <c r="E84" s="138">
        <f t="shared" si="384"/>
        <v>0</v>
      </c>
      <c r="F84" s="138">
        <f t="shared" si="384"/>
        <v>0</v>
      </c>
      <c r="G84" s="139">
        <f t="shared" si="384"/>
        <v>0</v>
      </c>
      <c r="H84" s="140">
        <f t="shared" si="384"/>
        <v>0</v>
      </c>
      <c r="I84" s="138">
        <f t="shared" si="384"/>
        <v>0</v>
      </c>
      <c r="J84" s="138">
        <f t="shared" si="384"/>
        <v>0</v>
      </c>
      <c r="K84" s="139">
        <f t="shared" si="384"/>
        <v>0</v>
      </c>
      <c r="L84" s="140">
        <f t="shared" si="384"/>
        <v>0</v>
      </c>
      <c r="M84" s="138">
        <f t="shared" si="384"/>
        <v>0</v>
      </c>
      <c r="N84" s="138">
        <f t="shared" si="384"/>
        <v>0</v>
      </c>
      <c r="O84" s="139">
        <f t="shared" si="384"/>
        <v>0</v>
      </c>
      <c r="P84" s="140">
        <f t="shared" si="384"/>
        <v>0</v>
      </c>
      <c r="Q84" s="138">
        <f t="shared" si="384"/>
        <v>0</v>
      </c>
      <c r="R84" s="138">
        <f t="shared" si="384"/>
        <v>0</v>
      </c>
      <c r="S84" s="139">
        <f t="shared" si="384"/>
        <v>0</v>
      </c>
      <c r="T84" s="140">
        <f>IF(ROUND(T83,4)=ROUND(T80,4),0,(T83-T80))</f>
        <v>0</v>
      </c>
      <c r="U84" s="138">
        <f>IF(ROUND(U83,4)=ROUND(U80,4),0,(U83-U80))</f>
        <v>0</v>
      </c>
      <c r="V84" s="138">
        <f>IF(ROUND(V83,4)=ROUND(V80,4),0,(V83-V80))</f>
        <v>0</v>
      </c>
      <c r="W84" s="139">
        <f>IF(ROUND(W83,4)=ROUND(W80,4),0,(W83-W80))</f>
        <v>0</v>
      </c>
      <c r="X84" s="140">
        <f t="shared" ref="X84:AJ84" si="385">IF(ROUND(X83,4)=ROUND(X80,4),0,(X83-X80))</f>
        <v>0</v>
      </c>
      <c r="Y84" s="138">
        <f t="shared" si="385"/>
        <v>0</v>
      </c>
      <c r="Z84" s="138">
        <f t="shared" si="385"/>
        <v>0</v>
      </c>
      <c r="AA84" s="139">
        <f t="shared" si="385"/>
        <v>0</v>
      </c>
      <c r="AB84" s="140">
        <f t="shared" si="385"/>
        <v>0</v>
      </c>
      <c r="AC84" s="138">
        <f t="shared" si="385"/>
        <v>0</v>
      </c>
      <c r="AD84" s="138">
        <f t="shared" si="385"/>
        <v>0</v>
      </c>
      <c r="AE84" s="139">
        <f t="shared" si="385"/>
        <v>0</v>
      </c>
      <c r="AF84" s="140">
        <f t="shared" si="385"/>
        <v>0</v>
      </c>
      <c r="AG84" s="138">
        <f t="shared" si="385"/>
        <v>0</v>
      </c>
      <c r="AH84" s="138">
        <f t="shared" si="385"/>
        <v>0</v>
      </c>
      <c r="AI84" s="139">
        <f t="shared" si="385"/>
        <v>0</v>
      </c>
      <c r="AJ84" s="140">
        <f t="shared" si="385"/>
        <v>0</v>
      </c>
      <c r="AK84" s="138">
        <f>IF(ROUND(AK83,4)=ROUND(AK80,4),0,(AK83-AK80))</f>
        <v>0</v>
      </c>
      <c r="AL84" s="138">
        <f t="shared" ref="AL84:AP84" si="386">IF(ROUND(AL83,4)=ROUND(AL80,4),0,(AL83-AL80))</f>
        <v>0</v>
      </c>
      <c r="AM84" s="139">
        <f t="shared" si="386"/>
        <v>0</v>
      </c>
      <c r="AN84" s="140">
        <f t="shared" si="386"/>
        <v>0</v>
      </c>
      <c r="AO84" s="138">
        <f>IF(ROUND(AO83,4)=ROUND(AO80,4),0,(AO83-AO80))</f>
        <v>0</v>
      </c>
      <c r="AP84" s="138">
        <f t="shared" si="386"/>
        <v>0</v>
      </c>
      <c r="AQ84" s="139">
        <f t="shared" ref="AQ84:AR84" si="387">IF(ROUND(AQ83,4)=ROUND(AQ80,4),0,(AQ83-AQ80))</f>
        <v>0</v>
      </c>
      <c r="AR84" s="140">
        <f t="shared" si="387"/>
        <v>0</v>
      </c>
      <c r="AS84" s="138">
        <f>IF(ROUND(AS83,4)=ROUND(AS80,4),0,(AS83-AS80))</f>
        <v>0</v>
      </c>
      <c r="AT84" s="138">
        <f t="shared" ref="AT84:AV84" si="388">IF(ROUND(AT83,4)=ROUND(AT80,4),0,(AT83-AT80))</f>
        <v>0</v>
      </c>
      <c r="AU84" s="139">
        <f t="shared" si="388"/>
        <v>0</v>
      </c>
      <c r="AV84" s="140">
        <f t="shared" si="388"/>
        <v>0</v>
      </c>
      <c r="AW84" s="138">
        <f>IF(ROUND(AW83,4)=ROUND(AW80,4),0,(AW83-AW80))</f>
        <v>0</v>
      </c>
      <c r="AX84" s="138">
        <f t="shared" ref="AX84:AZ84" si="389">IF(ROUND(AX83,4)=ROUND(AX80,4),0,(AX83-AX80))</f>
        <v>0</v>
      </c>
      <c r="AY84" s="139">
        <f t="shared" si="389"/>
        <v>0</v>
      </c>
      <c r="AZ84" s="140">
        <f t="shared" si="389"/>
        <v>0</v>
      </c>
      <c r="BA84" s="138">
        <f t="shared" ref="BA84:BC84" si="390">IF(ROUND(BA83,4)=ROUND(BA80,4),0,(BA83-BA80))</f>
        <v>0</v>
      </c>
      <c r="BB84" s="138">
        <f t="shared" si="390"/>
        <v>0</v>
      </c>
      <c r="BC84" s="139">
        <f t="shared" si="390"/>
        <v>0</v>
      </c>
      <c r="BD84" s="140">
        <f t="shared" ref="BD84:BG84" si="391">IF(ROUND(BD83,4)=ROUND(BD80,4),0,(BD83-BD80))</f>
        <v>0</v>
      </c>
      <c r="BE84" s="138">
        <f t="shared" si="391"/>
        <v>0</v>
      </c>
      <c r="BF84" s="138">
        <f t="shared" si="391"/>
        <v>0</v>
      </c>
      <c r="BG84" s="139">
        <f t="shared" si="391"/>
        <v>0</v>
      </c>
      <c r="BH84" s="140">
        <f t="shared" ref="BH84:BK84" si="392">IF(ROUND(BH83,4)=ROUND(BH80,4),0,(BH83-BH80))</f>
        <v>0</v>
      </c>
      <c r="BI84" s="138">
        <f t="shared" si="392"/>
        <v>0</v>
      </c>
      <c r="BJ84" s="138">
        <f t="shared" si="392"/>
        <v>0</v>
      </c>
      <c r="BK84" s="139">
        <f t="shared" si="392"/>
        <v>0</v>
      </c>
      <c r="BL84" s="166"/>
      <c r="BM84" s="140">
        <f>IF(ROUND(BM83,4)=ROUND(BM80,4),0,(BM83-BM80))</f>
        <v>0</v>
      </c>
      <c r="BN84" s="138">
        <f>IF(ROUND(BN83,4)=ROUND(BN80,4),0,(BN83-BN80))</f>
        <v>0</v>
      </c>
      <c r="BO84" s="138">
        <f>IF(ROUND(BO83,4)=ROUND(BO80,4),0,(BO83-BO80))</f>
        <v>0</v>
      </c>
      <c r="BP84" s="138">
        <f t="shared" ref="BP84:BW84" si="393">IF(ROUND(BP83,4)=ROUND(BP80,4),0,(BP83-BP80))</f>
        <v>0</v>
      </c>
      <c r="BQ84" s="138">
        <f t="shared" si="393"/>
        <v>0</v>
      </c>
      <c r="BR84" s="139">
        <f t="shared" si="393"/>
        <v>0</v>
      </c>
      <c r="BS84" s="138">
        <f t="shared" si="393"/>
        <v>0</v>
      </c>
      <c r="BT84" s="138">
        <f t="shared" si="393"/>
        <v>0</v>
      </c>
      <c r="BU84" s="138">
        <f t="shared" si="393"/>
        <v>0</v>
      </c>
      <c r="BV84" s="138">
        <f t="shared" si="393"/>
        <v>0</v>
      </c>
      <c r="BW84" s="138">
        <f t="shared" si="393"/>
        <v>0</v>
      </c>
      <c r="BX84" s="138">
        <f>IF(ROUND(BX83,4)=ROUND(BX80,4),0,(BX83-BX80))</f>
        <v>0</v>
      </c>
      <c r="BY84" s="138">
        <f>IF(ROUND(BY83,4)=ROUND(BY80,4),0,(BY83-BY80))</f>
        <v>0</v>
      </c>
      <c r="BZ84" s="138">
        <f>IF(ROUND(BZ83,4)=ROUND(BZ80,4),0,(BZ83-BZ80))</f>
        <v>0</v>
      </c>
      <c r="CA84" s="139">
        <f>IF(ROUND(CA83,4)=ROUND(CA80,4),0,(CA83-CA80))</f>
        <v>0</v>
      </c>
      <c r="CB84" s="19"/>
      <c r="CC84" s="140">
        <f t="shared" ref="CC84:CJ84" si="394">IF(ROUND(CC83,4)=ROUND(CC80,4),0,(CC83-CC80))</f>
        <v>0</v>
      </c>
      <c r="CD84" s="138">
        <f t="shared" si="394"/>
        <v>0</v>
      </c>
      <c r="CE84" s="138">
        <f t="shared" si="394"/>
        <v>0</v>
      </c>
      <c r="CF84" s="138">
        <f t="shared" si="394"/>
        <v>0</v>
      </c>
      <c r="CG84" s="138">
        <f t="shared" si="394"/>
        <v>0</v>
      </c>
      <c r="CH84" s="138">
        <f t="shared" si="394"/>
        <v>0</v>
      </c>
      <c r="CI84" s="138">
        <f t="shared" si="394"/>
        <v>0</v>
      </c>
      <c r="CJ84" s="138">
        <f t="shared" si="394"/>
        <v>0</v>
      </c>
      <c r="CK84" s="138">
        <f t="shared" ref="CK84:CP84" si="395">IF(ROUND(CK83,4)=ROUND(CK80,4),0,(CK83-CK80))</f>
        <v>0</v>
      </c>
      <c r="CL84" s="138">
        <f t="shared" si="395"/>
        <v>0</v>
      </c>
      <c r="CM84" s="138">
        <f t="shared" si="395"/>
        <v>0</v>
      </c>
      <c r="CN84" s="138">
        <f t="shared" si="395"/>
        <v>0</v>
      </c>
      <c r="CO84" s="138">
        <f t="shared" si="395"/>
        <v>0</v>
      </c>
      <c r="CP84" s="139">
        <f t="shared" si="395"/>
        <v>0</v>
      </c>
      <c r="CQ84" s="7"/>
    </row>
    <row r="85" spans="1:95" ht="14.25" customHeight="1">
      <c r="A85" s="7"/>
      <c r="B85" s="13"/>
      <c r="C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13"/>
      <c r="BY85" s="13"/>
      <c r="BZ85" s="13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</row>
    <row r="86" spans="1:95" ht="14.25" customHeight="1">
      <c r="A86" s="7"/>
      <c r="B86" s="13"/>
      <c r="C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13"/>
      <c r="AO86" s="13"/>
      <c r="AP86" s="13"/>
      <c r="AQ86" s="7"/>
      <c r="AR86" s="13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13"/>
      <c r="BY86" s="13"/>
      <c r="BZ86" s="13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</row>
    <row r="87" spans="1:95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75"/>
      <c r="AO87" s="902"/>
      <c r="AP87" s="175"/>
      <c r="AQ87" s="1"/>
      <c r="AR87" s="175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274"/>
      <c r="BN87" s="274"/>
      <c r="BO87" s="274"/>
      <c r="BP87" s="274"/>
      <c r="BQ87" s="275"/>
      <c r="BR87" s="274"/>
      <c r="BS87" s="274"/>
      <c r="BT87" s="274"/>
      <c r="BU87" s="274"/>
      <c r="BV87" s="274"/>
      <c r="BW87" s="274"/>
      <c r="BX87" s="275"/>
      <c r="BY87" s="275"/>
      <c r="BZ87" s="275"/>
      <c r="CA87" s="274"/>
      <c r="CB87" s="1"/>
      <c r="CC87" s="274"/>
      <c r="CD87" s="274"/>
      <c r="CE87" s="274"/>
      <c r="CF87" s="274"/>
      <c r="CG87" s="275"/>
      <c r="CH87" s="274"/>
      <c r="CI87" s="274"/>
      <c r="CK87" s="274"/>
      <c r="CL87" s="274"/>
      <c r="CM87" s="274"/>
      <c r="CN87" s="274"/>
      <c r="CO87" s="274"/>
      <c r="CP87" s="274"/>
      <c r="CQ87" s="1"/>
    </row>
    <row r="88" spans="1:95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75"/>
      <c r="AO88" s="175"/>
      <c r="AP88" s="175"/>
      <c r="AQ88" s="1"/>
      <c r="AR88" s="175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274"/>
      <c r="BN88" s="274"/>
      <c r="BO88" s="274"/>
      <c r="BP88" s="274"/>
      <c r="BQ88" s="274"/>
      <c r="BR88" s="274"/>
      <c r="BS88" s="323"/>
      <c r="BT88" s="274"/>
      <c r="BU88" s="274"/>
      <c r="BV88" s="274"/>
      <c r="BW88" s="274"/>
      <c r="BX88" s="275"/>
      <c r="BY88" s="275"/>
      <c r="BZ88" s="275"/>
      <c r="CA88" s="274"/>
      <c r="CB88" s="1"/>
      <c r="CC88" s="274"/>
      <c r="CD88" s="274"/>
      <c r="CE88" s="274"/>
      <c r="CF88" s="274"/>
      <c r="CG88" s="274"/>
      <c r="CH88" s="274"/>
      <c r="CI88" s="323"/>
      <c r="CJ88" s="323"/>
      <c r="CK88" s="323"/>
      <c r="CL88" s="323"/>
      <c r="CM88" s="323"/>
      <c r="CN88" s="323"/>
      <c r="CO88" s="323"/>
      <c r="CP88" s="274"/>
      <c r="CQ88" s="1"/>
    </row>
    <row r="89" spans="1:95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75"/>
      <c r="AO89" s="175"/>
      <c r="AP89" s="175"/>
      <c r="AQ89" s="1"/>
      <c r="AR89" s="175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274"/>
      <c r="BN89" s="274"/>
      <c r="BO89" s="274"/>
      <c r="BP89" s="274"/>
      <c r="BQ89" s="274"/>
      <c r="BR89" s="274"/>
      <c r="BT89" s="274"/>
      <c r="BU89" s="274"/>
      <c r="BV89" s="274"/>
      <c r="BW89" s="274"/>
      <c r="BX89" s="275"/>
      <c r="BY89" s="275"/>
      <c r="BZ89" s="275"/>
      <c r="CA89" s="274"/>
      <c r="CB89" s="1"/>
      <c r="CC89" s="274"/>
      <c r="CD89" s="274"/>
      <c r="CE89" s="274"/>
      <c r="CF89" s="274"/>
      <c r="CG89" s="274"/>
      <c r="CH89" s="274"/>
      <c r="CP89" s="274"/>
      <c r="CQ89" s="1"/>
    </row>
    <row r="90" spans="1:95" ht="14.25" customHeight="1" outlineLevel="1">
      <c r="A90" s="7"/>
      <c r="B90" s="8" t="s">
        <v>267</v>
      </c>
      <c r="C90" s="9"/>
      <c r="D90" s="222"/>
      <c r="E90" s="222"/>
      <c r="F90" s="222"/>
      <c r="G90" s="222"/>
      <c r="H90" s="222"/>
      <c r="I90" s="222"/>
      <c r="J90" s="222"/>
      <c r="K90" s="222"/>
      <c r="L90" s="222"/>
      <c r="M90" s="222"/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13"/>
      <c r="BM90" s="222"/>
      <c r="BN90" s="222"/>
      <c r="BO90" s="222"/>
      <c r="BP90" s="222"/>
      <c r="BQ90" s="222"/>
      <c r="BR90" s="222"/>
      <c r="BS90" s="222"/>
      <c r="BT90" s="222"/>
      <c r="BU90" s="222"/>
      <c r="BV90" s="222"/>
      <c r="BW90" s="222"/>
      <c r="BX90" s="964"/>
      <c r="BY90" s="964"/>
      <c r="BZ90" s="964"/>
      <c r="CA90" s="222"/>
      <c r="CB90" s="7"/>
      <c r="CC90" s="222"/>
      <c r="CD90" s="222"/>
      <c r="CE90" s="222"/>
      <c r="CF90" s="222"/>
      <c r="CG90" s="222"/>
      <c r="CH90" s="222"/>
      <c r="CI90" s="222"/>
      <c r="CJ90" s="222"/>
      <c r="CK90" s="222"/>
      <c r="CL90" s="222"/>
      <c r="CM90" s="222"/>
      <c r="CN90" s="222"/>
      <c r="CO90" s="222"/>
      <c r="CP90" s="222"/>
      <c r="CQ90" s="7"/>
    </row>
    <row r="91" spans="1:95" ht="14.25" customHeight="1" outlineLevel="1">
      <c r="A91" s="13"/>
      <c r="B91" s="11" t="s">
        <v>355</v>
      </c>
      <c r="C91" s="12"/>
      <c r="D91" s="222"/>
      <c r="E91" s="222"/>
      <c r="F91" s="222"/>
      <c r="G91" s="222"/>
      <c r="H91" s="222"/>
      <c r="I91" s="222"/>
      <c r="J91" s="222"/>
      <c r="K91" s="222"/>
      <c r="L91" s="222"/>
      <c r="M91" s="222"/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6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7"/>
      <c r="CC91" s="103"/>
      <c r="CD91" s="103"/>
      <c r="CE91" s="103"/>
      <c r="CF91" s="103"/>
      <c r="CG91" s="103"/>
      <c r="CH91" s="103"/>
      <c r="CI91" s="103"/>
      <c r="CJ91" s="103"/>
      <c r="CK91" s="103"/>
      <c r="CL91" s="103"/>
      <c r="CM91" s="103"/>
      <c r="CN91" s="103"/>
      <c r="CO91" s="103"/>
      <c r="CP91" s="103"/>
      <c r="CQ91" s="7"/>
    </row>
    <row r="92" spans="1:95" ht="14.25" customHeight="1" outlineLevel="1">
      <c r="A92" s="13"/>
      <c r="B92" s="11"/>
      <c r="C92" s="177"/>
      <c r="D92" s="16" t="str">
        <f t="shared" ref="D92:AI92" si="396">D7</f>
        <v>F1Q06</v>
      </c>
      <c r="E92" s="17" t="str">
        <f t="shared" si="396"/>
        <v>F2Q06</v>
      </c>
      <c r="F92" s="17" t="str">
        <f t="shared" si="396"/>
        <v>F3Q06</v>
      </c>
      <c r="G92" s="18" t="str">
        <f t="shared" si="396"/>
        <v>F4Q06</v>
      </c>
      <c r="H92" s="16" t="str">
        <f t="shared" si="396"/>
        <v>F1Q07</v>
      </c>
      <c r="I92" s="17" t="str">
        <f t="shared" si="396"/>
        <v>F2Q07</v>
      </c>
      <c r="J92" s="17" t="str">
        <f t="shared" si="396"/>
        <v>F3Q07</v>
      </c>
      <c r="K92" s="18" t="str">
        <f t="shared" si="396"/>
        <v>F4Q07</v>
      </c>
      <c r="L92" s="16" t="str">
        <f t="shared" si="396"/>
        <v>F1Q08</v>
      </c>
      <c r="M92" s="17" t="str">
        <f t="shared" si="396"/>
        <v>F2Q08</v>
      </c>
      <c r="N92" s="17" t="str">
        <f t="shared" si="396"/>
        <v>F3Q08</v>
      </c>
      <c r="O92" s="18" t="str">
        <f t="shared" si="396"/>
        <v>F4Q08</v>
      </c>
      <c r="P92" s="16" t="str">
        <f t="shared" si="396"/>
        <v>F1Q09</v>
      </c>
      <c r="Q92" s="17" t="str">
        <f t="shared" si="396"/>
        <v>F2Q09</v>
      </c>
      <c r="R92" s="17" t="str">
        <f t="shared" si="396"/>
        <v>F3Q09</v>
      </c>
      <c r="S92" s="18" t="str">
        <f t="shared" si="396"/>
        <v>F4Q09</v>
      </c>
      <c r="T92" s="16" t="str">
        <f t="shared" si="396"/>
        <v>F1Q10</v>
      </c>
      <c r="U92" s="17" t="str">
        <f t="shared" si="396"/>
        <v>F2Q10</v>
      </c>
      <c r="V92" s="17" t="str">
        <f t="shared" si="396"/>
        <v>F3Q10</v>
      </c>
      <c r="W92" s="18" t="str">
        <f t="shared" si="396"/>
        <v>F4Q10</v>
      </c>
      <c r="X92" s="16" t="str">
        <f t="shared" si="396"/>
        <v>F1Q11</v>
      </c>
      <c r="Y92" s="17" t="str">
        <f t="shared" si="396"/>
        <v>F2Q11</v>
      </c>
      <c r="Z92" s="17" t="str">
        <f t="shared" si="396"/>
        <v>F3Q11</v>
      </c>
      <c r="AA92" s="18" t="str">
        <f t="shared" si="396"/>
        <v>F4Q11</v>
      </c>
      <c r="AB92" s="16" t="str">
        <f t="shared" si="396"/>
        <v>F1Q12</v>
      </c>
      <c r="AC92" s="17" t="str">
        <f t="shared" si="396"/>
        <v>F2Q12</v>
      </c>
      <c r="AD92" s="17" t="str">
        <f t="shared" si="396"/>
        <v>F3Q12</v>
      </c>
      <c r="AE92" s="18" t="str">
        <f t="shared" si="396"/>
        <v>F4Q12</v>
      </c>
      <c r="AF92" s="16" t="str">
        <f t="shared" si="396"/>
        <v>F1Q13</v>
      </c>
      <c r="AG92" s="17" t="str">
        <f t="shared" si="396"/>
        <v>F2Q13</v>
      </c>
      <c r="AH92" s="17" t="str">
        <f t="shared" si="396"/>
        <v>F3Q13</v>
      </c>
      <c r="AI92" s="18" t="str">
        <f t="shared" si="396"/>
        <v>F4Q13</v>
      </c>
      <c r="AJ92" s="16" t="str">
        <f t="shared" ref="AJ92:BC92" si="397">AJ7</f>
        <v>F1Q14</v>
      </c>
      <c r="AK92" s="17" t="str">
        <f t="shared" si="397"/>
        <v>F2Q14A</v>
      </c>
      <c r="AL92" s="17" t="str">
        <f t="shared" si="397"/>
        <v>F3Q14A</v>
      </c>
      <c r="AM92" s="18" t="str">
        <f t="shared" si="397"/>
        <v>F4Q14A</v>
      </c>
      <c r="AN92" s="16" t="str">
        <f t="shared" si="397"/>
        <v>F1Q15A</v>
      </c>
      <c r="AO92" s="17" t="str">
        <f t="shared" si="397"/>
        <v>F2Q15A</v>
      </c>
      <c r="AP92" s="17" t="str">
        <f t="shared" si="397"/>
        <v>F3Q15A</v>
      </c>
      <c r="AQ92" s="952" t="str">
        <f t="shared" si="397"/>
        <v>F4Q15A</v>
      </c>
      <c r="AR92" s="1006" t="str">
        <f t="shared" si="397"/>
        <v>F1Q16A</v>
      </c>
      <c r="AS92" s="17" t="str">
        <f t="shared" si="397"/>
        <v>F2Q16A</v>
      </c>
      <c r="AT92" s="17" t="str">
        <f t="shared" si="397"/>
        <v>F3Q16A</v>
      </c>
      <c r="AU92" s="18" t="str">
        <f t="shared" si="397"/>
        <v>F4Q16A</v>
      </c>
      <c r="AV92" s="16" t="str">
        <f t="shared" si="397"/>
        <v>F1Q17A</v>
      </c>
      <c r="AW92" s="1225" t="str">
        <f t="shared" si="397"/>
        <v>F2Q17A</v>
      </c>
      <c r="AX92" s="17" t="str">
        <f t="shared" si="397"/>
        <v>F3Q17A</v>
      </c>
      <c r="AY92" s="18" t="str">
        <f t="shared" si="397"/>
        <v>F4Q17A</v>
      </c>
      <c r="AZ92" s="950" t="str">
        <f t="shared" si="397"/>
        <v>F1Q18A</v>
      </c>
      <c r="BA92" s="951" t="str">
        <f t="shared" si="397"/>
        <v>F2Q18E</v>
      </c>
      <c r="BB92" s="951" t="str">
        <f t="shared" si="397"/>
        <v>F3Q18E</v>
      </c>
      <c r="BC92" s="952" t="str">
        <f t="shared" si="397"/>
        <v>F4Q18E</v>
      </c>
      <c r="BD92" s="1361" t="str">
        <f t="shared" ref="BD92:BK92" si="398">BD7</f>
        <v>F1Q19E</v>
      </c>
      <c r="BE92" s="1362" t="str">
        <f t="shared" si="398"/>
        <v>F2Q19E</v>
      </c>
      <c r="BF92" s="1362" t="str">
        <f t="shared" si="398"/>
        <v>F3Q19E</v>
      </c>
      <c r="BG92" s="1363" t="str">
        <f t="shared" si="398"/>
        <v>F4Q19E</v>
      </c>
      <c r="BH92" s="1361" t="str">
        <f t="shared" si="398"/>
        <v>F1Q20E</v>
      </c>
      <c r="BI92" s="1362" t="str">
        <f t="shared" si="398"/>
        <v>F2Q20E</v>
      </c>
      <c r="BJ92" s="1362" t="str">
        <f t="shared" si="398"/>
        <v>F3Q20E</v>
      </c>
      <c r="BK92" s="1363" t="str">
        <f t="shared" si="398"/>
        <v>F4Q20E</v>
      </c>
      <c r="BL92" s="166"/>
      <c r="BM92" s="16" t="str">
        <f t="shared" ref="BM92:BY92" si="399">BM7</f>
        <v>FY2006</v>
      </c>
      <c r="BN92" s="17" t="str">
        <f t="shared" si="399"/>
        <v>FY2007</v>
      </c>
      <c r="BO92" s="17" t="str">
        <f t="shared" si="399"/>
        <v>FY2008</v>
      </c>
      <c r="BP92" s="17" t="str">
        <f t="shared" si="399"/>
        <v>FY2009</v>
      </c>
      <c r="BQ92" s="17" t="str">
        <f t="shared" si="399"/>
        <v>FY2010</v>
      </c>
      <c r="BR92" s="18" t="str">
        <f t="shared" si="399"/>
        <v>FY2011</v>
      </c>
      <c r="BS92" s="17" t="str">
        <f t="shared" si="399"/>
        <v>FY2012</v>
      </c>
      <c r="BT92" s="17" t="str">
        <f t="shared" si="399"/>
        <v>FY2013</v>
      </c>
      <c r="BU92" s="17" t="str">
        <f t="shared" si="399"/>
        <v>FY2014A</v>
      </c>
      <c r="BV92" s="17" t="str">
        <f t="shared" si="399"/>
        <v>FY2015A</v>
      </c>
      <c r="BW92" s="17" t="str">
        <f t="shared" si="399"/>
        <v>FY2016A</v>
      </c>
      <c r="BX92" s="951" t="str">
        <f t="shared" si="399"/>
        <v>FY2017A</v>
      </c>
      <c r="BY92" s="1362" t="str">
        <f t="shared" si="399"/>
        <v>FY2018E</v>
      </c>
      <c r="BZ92" s="1362" t="str">
        <f t="shared" ref="BZ92:CA92" si="400">BZ7</f>
        <v>FY2019E</v>
      </c>
      <c r="CA92" s="1363" t="str">
        <f t="shared" si="400"/>
        <v>FY2020E</v>
      </c>
      <c r="CB92" s="19"/>
      <c r="CC92" s="16" t="str">
        <f t="shared" ref="CC92:CN92" si="401">CC7</f>
        <v>CY2006</v>
      </c>
      <c r="CD92" s="17" t="str">
        <f t="shared" si="401"/>
        <v>CY2007</v>
      </c>
      <c r="CE92" s="17" t="str">
        <f t="shared" si="401"/>
        <v>CY2008</v>
      </c>
      <c r="CF92" s="17" t="str">
        <f t="shared" si="401"/>
        <v>CY2009</v>
      </c>
      <c r="CG92" s="17" t="str">
        <f t="shared" si="401"/>
        <v>CY2010</v>
      </c>
      <c r="CH92" s="17" t="str">
        <f t="shared" si="401"/>
        <v>CY2011</v>
      </c>
      <c r="CI92" s="17" t="str">
        <f t="shared" si="401"/>
        <v>CY2012</v>
      </c>
      <c r="CJ92" s="17" t="str">
        <f t="shared" si="401"/>
        <v>CY2013</v>
      </c>
      <c r="CK92" s="17" t="str">
        <f t="shared" si="401"/>
        <v>CY2014A</v>
      </c>
      <c r="CL92" s="17" t="str">
        <f t="shared" si="401"/>
        <v>CY2015A</v>
      </c>
      <c r="CM92" s="1362" t="str">
        <f t="shared" si="401"/>
        <v>CY2016A</v>
      </c>
      <c r="CN92" s="1362" t="str">
        <f t="shared" si="401"/>
        <v>CY2017A</v>
      </c>
      <c r="CO92" s="1362" t="str">
        <f t="shared" ref="CO92:CP92" si="402">CO7</f>
        <v>CY2018E</v>
      </c>
      <c r="CP92" s="1363" t="str">
        <f t="shared" si="402"/>
        <v>CY2019E</v>
      </c>
      <c r="CQ92" s="7"/>
    </row>
    <row r="93" spans="1:95" ht="14.25" customHeight="1" outlineLevel="1">
      <c r="A93" s="7"/>
      <c r="B93" s="178" t="s">
        <v>68</v>
      </c>
      <c r="C93" s="44"/>
      <c r="D93" s="181"/>
      <c r="E93" s="179"/>
      <c r="F93" s="179"/>
      <c r="G93" s="179"/>
      <c r="H93" s="181"/>
      <c r="I93" s="179"/>
      <c r="J93" s="179"/>
      <c r="K93" s="179"/>
      <c r="L93" s="181"/>
      <c r="M93" s="179"/>
      <c r="N93" s="179"/>
      <c r="O93" s="179"/>
      <c r="P93" s="181"/>
      <c r="Q93" s="179"/>
      <c r="R93" s="179"/>
      <c r="S93" s="179"/>
      <c r="T93" s="181"/>
      <c r="U93" s="179"/>
      <c r="V93" s="179"/>
      <c r="W93" s="179"/>
      <c r="X93" s="181"/>
      <c r="Y93" s="179"/>
      <c r="Z93" s="179"/>
      <c r="AA93" s="180"/>
      <c r="AB93" s="181"/>
      <c r="AC93" s="179"/>
      <c r="AD93" s="179"/>
      <c r="AE93" s="180"/>
      <c r="AF93" s="181"/>
      <c r="AG93" s="179"/>
      <c r="AH93" s="179"/>
      <c r="AI93" s="180"/>
      <c r="AJ93" s="181"/>
      <c r="AK93" s="179"/>
      <c r="AL93" s="179"/>
      <c r="AM93" s="180"/>
      <c r="AN93" s="181"/>
      <c r="AO93" s="179"/>
      <c r="AP93" s="179"/>
      <c r="AQ93" s="180"/>
      <c r="AR93" s="181"/>
      <c r="AS93" s="179"/>
      <c r="AT93" s="179"/>
      <c r="AU93" s="180"/>
      <c r="AV93" s="181"/>
      <c r="AW93" s="179"/>
      <c r="AX93" s="179"/>
      <c r="AY93" s="180"/>
      <c r="AZ93" s="181"/>
      <c r="BA93" s="179"/>
      <c r="BB93" s="179"/>
      <c r="BC93" s="180"/>
      <c r="BD93" s="181"/>
      <c r="BE93" s="179"/>
      <c r="BF93" s="179"/>
      <c r="BG93" s="180"/>
      <c r="BH93" s="181"/>
      <c r="BI93" s="179"/>
      <c r="BJ93" s="179"/>
      <c r="BK93" s="180"/>
      <c r="BL93" s="166"/>
      <c r="BM93" s="181"/>
      <c r="BN93" s="179"/>
      <c r="BO93" s="179"/>
      <c r="BP93" s="179"/>
      <c r="BQ93" s="179"/>
      <c r="BR93" s="180"/>
      <c r="BS93" s="179"/>
      <c r="BT93" s="179"/>
      <c r="BU93" s="179"/>
      <c r="BV93" s="179"/>
      <c r="BW93" s="179"/>
      <c r="BX93" s="179"/>
      <c r="BY93" s="179"/>
      <c r="BZ93" s="179"/>
      <c r="CA93" s="180"/>
      <c r="CB93" s="19"/>
      <c r="CC93" s="181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80"/>
      <c r="CQ93" s="7"/>
    </row>
    <row r="94" spans="1:95" ht="14.25" customHeight="1" outlineLevel="1">
      <c r="A94" s="7"/>
      <c r="B94" s="21" t="s">
        <v>69</v>
      </c>
      <c r="C94" s="22"/>
      <c r="D94" s="94">
        <f>D9</f>
        <v>-102</v>
      </c>
      <c r="E94" s="95">
        <f>D94+E9</f>
        <v>-150</v>
      </c>
      <c r="F94" s="95">
        <f>E94+F9</f>
        <v>-173</v>
      </c>
      <c r="G94" s="96">
        <f>F94+G9</f>
        <v>-251</v>
      </c>
      <c r="H94" s="94">
        <f>H9</f>
        <v>6</v>
      </c>
      <c r="I94" s="95">
        <f>H94+I9</f>
        <v>10</v>
      </c>
      <c r="J94" s="95">
        <f>I94+J9</f>
        <v>-157</v>
      </c>
      <c r="K94" s="96">
        <f>J94+K9</f>
        <v>-159</v>
      </c>
      <c r="L94" s="94">
        <f>L9</f>
        <v>4</v>
      </c>
      <c r="M94" s="95">
        <f>L94+M9</f>
        <v>21</v>
      </c>
      <c r="N94" s="95">
        <f>M94+N9</f>
        <v>65</v>
      </c>
      <c r="O94" s="96">
        <f>N94+O9</f>
        <v>83</v>
      </c>
      <c r="P94" s="94">
        <f>P9</f>
        <v>6</v>
      </c>
      <c r="Q94" s="95">
        <f>P94+Q9</f>
        <v>-25</v>
      </c>
      <c r="R94" s="95">
        <f>Q94+R9</f>
        <v>-23</v>
      </c>
      <c r="S94" s="96">
        <f>R94+S9</f>
        <v>-44</v>
      </c>
      <c r="T94" s="94">
        <f>T9</f>
        <v>38</v>
      </c>
      <c r="U94" s="95">
        <f>T94+U9</f>
        <v>128</v>
      </c>
      <c r="V94" s="95">
        <f>U94+V9</f>
        <v>251</v>
      </c>
      <c r="W94" s="96">
        <f>V94+W9</f>
        <v>415</v>
      </c>
      <c r="X94" s="94">
        <f>X9</f>
        <v>119</v>
      </c>
      <c r="Y94" s="95">
        <f>X94+Y9</f>
        <v>254</v>
      </c>
      <c r="Z94" s="95">
        <f>Y94+Z9</f>
        <v>398</v>
      </c>
      <c r="AA94" s="96">
        <f>Z94+AA9</f>
        <v>552</v>
      </c>
      <c r="AB94" s="94">
        <f>AB9</f>
        <v>125</v>
      </c>
      <c r="AC94" s="95">
        <f>AB94+AC9</f>
        <v>259</v>
      </c>
      <c r="AD94" s="95">
        <f>AC94+AD9</f>
        <v>404</v>
      </c>
      <c r="AE94" s="96">
        <f>AD94+AE9</f>
        <v>563</v>
      </c>
      <c r="AF94" s="94">
        <f>AF9</f>
        <v>125</v>
      </c>
      <c r="AG94" s="95">
        <f>AF94+AG9</f>
        <v>238</v>
      </c>
      <c r="AH94" s="95">
        <f>AG94+AH9</f>
        <v>380</v>
      </c>
      <c r="AI94" s="96">
        <f>AH94+AI9</f>
        <v>552</v>
      </c>
      <c r="AJ94" s="94">
        <f>AJ9</f>
        <v>134</v>
      </c>
      <c r="AK94" s="95">
        <f>AJ94+AK9</f>
        <v>292</v>
      </c>
      <c r="AL94" s="95">
        <f>AK94+AL9</f>
        <v>128</v>
      </c>
      <c r="AM94" s="96">
        <f>AL94+AM9</f>
        <v>263</v>
      </c>
      <c r="AN94" s="94">
        <f>AN9</f>
        <v>351</v>
      </c>
      <c r="AO94" s="95">
        <f>AN94+AO9</f>
        <v>695</v>
      </c>
      <c r="AP94" s="95">
        <f>AO94+AP9</f>
        <v>935</v>
      </c>
      <c r="AQ94" s="96">
        <f>AP94+AQ9</f>
        <v>1364</v>
      </c>
      <c r="AR94" s="94">
        <f>AR9</f>
        <v>377</v>
      </c>
      <c r="AS94" s="95">
        <f>AR94+AS9</f>
        <v>-878</v>
      </c>
      <c r="AT94" s="95">
        <f>AS94+AT9</f>
        <v>-1193</v>
      </c>
      <c r="AU94" s="96">
        <f>AT94+AU9</f>
        <v>-1861</v>
      </c>
      <c r="AV94" s="94">
        <f>AV9</f>
        <v>252</v>
      </c>
      <c r="AW94" s="95">
        <f>AV94+AW9</f>
        <v>716</v>
      </c>
      <c r="AX94" s="95">
        <f>AW94+AX9</f>
        <v>1223</v>
      </c>
      <c r="AY94" s="96">
        <f>AX94+AY9</f>
        <v>1894</v>
      </c>
      <c r="AZ94" s="94">
        <f>AZ9</f>
        <v>6566</v>
      </c>
      <c r="BA94" s="95">
        <f>AZ94+BA9</f>
        <v>8462.6153533135803</v>
      </c>
      <c r="BB94" s="95">
        <f>BA94+BB9</f>
        <v>10310.73384507136</v>
      </c>
      <c r="BC94" s="96">
        <f>BB94+BC9</f>
        <v>12332.520371712351</v>
      </c>
      <c r="BD94" s="94">
        <f t="shared" ref="BD94" si="403">BD9</f>
        <v>1913.4942838625732</v>
      </c>
      <c r="BE94" s="95">
        <f t="shared" ref="BE94:BG94" si="404">BD94+BE9</f>
        <v>3764.0987969071803</v>
      </c>
      <c r="BF94" s="95">
        <f t="shared" si="404"/>
        <v>5779.283981147817</v>
      </c>
      <c r="BG94" s="96">
        <f t="shared" si="404"/>
        <v>8064.5393551884754</v>
      </c>
      <c r="BH94" s="94">
        <f t="shared" ref="BH94" si="405">BH9</f>
        <v>2167.5588625385913</v>
      </c>
      <c r="BI94" s="95">
        <f t="shared" ref="BI94:BK94" si="406">BH94+BI9</f>
        <v>4190.8849482406877</v>
      </c>
      <c r="BJ94" s="95">
        <f t="shared" si="406"/>
        <v>6325.9064020444221</v>
      </c>
      <c r="BK94" s="96">
        <f t="shared" si="406"/>
        <v>8630.0836737298396</v>
      </c>
      <c r="BL94" s="166"/>
      <c r="BM94" s="94">
        <f>G94</f>
        <v>-251</v>
      </c>
      <c r="BN94" s="95">
        <f>K94</f>
        <v>-159</v>
      </c>
      <c r="BO94" s="95">
        <f>O94</f>
        <v>83</v>
      </c>
      <c r="BP94" s="95">
        <f>S94</f>
        <v>-44</v>
      </c>
      <c r="BQ94" s="95">
        <f>W94</f>
        <v>415</v>
      </c>
      <c r="BR94" s="96">
        <f>AA94</f>
        <v>552</v>
      </c>
      <c r="BS94" s="95">
        <f>AE94</f>
        <v>563</v>
      </c>
      <c r="BT94" s="95">
        <f>AI94</f>
        <v>552</v>
      </c>
      <c r="BU94" s="95">
        <f>AM94</f>
        <v>263</v>
      </c>
      <c r="BV94" s="95">
        <f>AQ94</f>
        <v>1364</v>
      </c>
      <c r="BW94" s="95">
        <f>AU94</f>
        <v>-1861</v>
      </c>
      <c r="BX94" s="95">
        <f>AY94</f>
        <v>1894</v>
      </c>
      <c r="BY94" s="95">
        <f>BC94</f>
        <v>12332.520371712351</v>
      </c>
      <c r="BZ94" s="95">
        <f>BG94</f>
        <v>8064.5393551884754</v>
      </c>
      <c r="CA94" s="96">
        <f>BK94</f>
        <v>8630.0836737298396</v>
      </c>
      <c r="CB94" s="19"/>
      <c r="CC94" s="94">
        <f t="shared" ref="CC94:CN94" si="407">CC9</f>
        <v>-143</v>
      </c>
      <c r="CD94" s="95">
        <f t="shared" si="407"/>
        <v>-161</v>
      </c>
      <c r="CE94" s="95">
        <f t="shared" si="407"/>
        <v>85</v>
      </c>
      <c r="CF94" s="95">
        <f t="shared" si="407"/>
        <v>-12</v>
      </c>
      <c r="CG94" s="95">
        <f t="shared" si="407"/>
        <v>496</v>
      </c>
      <c r="CH94" s="95">
        <f t="shared" si="407"/>
        <v>558</v>
      </c>
      <c r="CI94" s="95">
        <f t="shared" si="407"/>
        <v>563</v>
      </c>
      <c r="CJ94" s="95">
        <f t="shared" si="407"/>
        <v>561</v>
      </c>
      <c r="CK94" s="95">
        <f t="shared" si="407"/>
        <v>480</v>
      </c>
      <c r="CL94" s="95">
        <f t="shared" si="407"/>
        <v>1390</v>
      </c>
      <c r="CM94" s="95">
        <f t="shared" si="407"/>
        <v>-1986</v>
      </c>
      <c r="CN94" s="95">
        <f t="shared" si="407"/>
        <v>8208</v>
      </c>
      <c r="CO94" s="95">
        <f t="shared" ref="CO94:CP94" si="408">CO9</f>
        <v>7680.0146555749234</v>
      </c>
      <c r="CP94" s="96">
        <f t="shared" si="408"/>
        <v>8318.6039338644932</v>
      </c>
      <c r="CQ94" s="7"/>
    </row>
    <row r="95" spans="1:95" ht="14.25" customHeight="1" outlineLevel="1">
      <c r="A95" s="7"/>
      <c r="B95" s="184" t="s">
        <v>70</v>
      </c>
      <c r="C95" s="185"/>
      <c r="D95" s="188"/>
      <c r="E95" s="186"/>
      <c r="F95" s="186"/>
      <c r="G95" s="187"/>
      <c r="H95" s="188"/>
      <c r="I95" s="186"/>
      <c r="J95" s="186"/>
      <c r="K95" s="187"/>
      <c r="L95" s="188"/>
      <c r="M95" s="186"/>
      <c r="N95" s="186"/>
      <c r="O95" s="187"/>
      <c r="P95" s="188"/>
      <c r="Q95" s="186"/>
      <c r="R95" s="186"/>
      <c r="S95" s="187"/>
      <c r="T95" s="188"/>
      <c r="U95" s="186"/>
      <c r="V95" s="186"/>
      <c r="W95" s="187"/>
      <c r="X95" s="188"/>
      <c r="Y95" s="186"/>
      <c r="Z95" s="186"/>
      <c r="AA95" s="187"/>
      <c r="AB95" s="188"/>
      <c r="AC95" s="186"/>
      <c r="AD95" s="186"/>
      <c r="AE95" s="187"/>
      <c r="AF95" s="188"/>
      <c r="AG95" s="186"/>
      <c r="AH95" s="186"/>
      <c r="AI95" s="187"/>
      <c r="AJ95" s="188"/>
      <c r="AK95" s="186"/>
      <c r="AL95" s="186"/>
      <c r="AM95" s="187"/>
      <c r="AN95" s="188"/>
      <c r="AO95" s="186"/>
      <c r="AP95" s="186"/>
      <c r="AQ95" s="187"/>
      <c r="AR95" s="188"/>
      <c r="AS95" s="186"/>
      <c r="AT95" s="186"/>
      <c r="AU95" s="187"/>
      <c r="AV95" s="188"/>
      <c r="AW95" s="186"/>
      <c r="AX95" s="186"/>
      <c r="AY95" s="187"/>
      <c r="AZ95" s="188"/>
      <c r="BA95" s="186"/>
      <c r="BB95" s="186"/>
      <c r="BC95" s="187"/>
      <c r="BD95" s="188"/>
      <c r="BE95" s="186"/>
      <c r="BF95" s="186"/>
      <c r="BG95" s="187"/>
      <c r="BH95" s="188"/>
      <c r="BI95" s="186"/>
      <c r="BJ95" s="186"/>
      <c r="BK95" s="187"/>
      <c r="BL95" s="166"/>
      <c r="BM95" s="188"/>
      <c r="BN95" s="186"/>
      <c r="BO95" s="186"/>
      <c r="BP95" s="186"/>
      <c r="BQ95" s="186"/>
      <c r="BR95" s="187"/>
      <c r="BS95" s="186"/>
      <c r="BT95" s="186"/>
      <c r="BU95" s="186"/>
      <c r="BV95" s="186"/>
      <c r="BW95" s="186"/>
      <c r="BX95" s="186"/>
      <c r="BY95" s="186"/>
      <c r="BZ95" s="186"/>
      <c r="CA95" s="187"/>
      <c r="CB95" s="19"/>
      <c r="CC95" s="188"/>
      <c r="CD95" s="186"/>
      <c r="CE95" s="186"/>
      <c r="CF95" s="186"/>
      <c r="CG95" s="186"/>
      <c r="CH95" s="186"/>
      <c r="CI95" s="186"/>
      <c r="CJ95" s="186"/>
      <c r="CK95" s="186"/>
      <c r="CL95" s="186"/>
      <c r="CM95" s="186"/>
      <c r="CN95" s="186"/>
      <c r="CO95" s="186"/>
      <c r="CP95" s="187"/>
      <c r="CQ95" s="7"/>
    </row>
    <row r="96" spans="1:95" ht="14.25" customHeight="1" outlineLevel="1">
      <c r="A96" s="7"/>
      <c r="B96" s="48" t="s">
        <v>71</v>
      </c>
      <c r="C96" s="49"/>
      <c r="D96" s="191">
        <f t="shared" ref="D96:D102" si="409">D11</f>
        <v>52</v>
      </c>
      <c r="E96" s="189">
        <f t="shared" ref="E96:G102" si="410">D96+E11</f>
        <v>113</v>
      </c>
      <c r="F96" s="189">
        <f t="shared" si="410"/>
        <v>165</v>
      </c>
      <c r="G96" s="190">
        <f t="shared" si="410"/>
        <v>216</v>
      </c>
      <c r="H96" s="191">
        <f t="shared" ref="H96:H102" si="411">H11</f>
        <v>45</v>
      </c>
      <c r="I96" s="189">
        <f t="shared" ref="I96:K102" si="412">H96+I11</f>
        <v>89</v>
      </c>
      <c r="J96" s="189">
        <f t="shared" si="412"/>
        <v>134</v>
      </c>
      <c r="K96" s="190">
        <f t="shared" si="412"/>
        <v>176</v>
      </c>
      <c r="L96" s="191">
        <f t="shared" ref="L96:L102" si="413">L11</f>
        <v>39</v>
      </c>
      <c r="M96" s="189">
        <f t="shared" ref="M96:O102" si="414">L96+M11</f>
        <v>77</v>
      </c>
      <c r="N96" s="189">
        <f t="shared" si="414"/>
        <v>117</v>
      </c>
      <c r="O96" s="190">
        <f t="shared" si="414"/>
        <v>159</v>
      </c>
      <c r="P96" s="191">
        <f t="shared" ref="P96:P102" si="415">P11</f>
        <v>41</v>
      </c>
      <c r="Q96" s="189">
        <f t="shared" ref="Q96:S102" si="416">P96+Q11</f>
        <v>80</v>
      </c>
      <c r="R96" s="189">
        <f t="shared" si="416"/>
        <v>120</v>
      </c>
      <c r="S96" s="190">
        <f t="shared" si="416"/>
        <v>160</v>
      </c>
      <c r="T96" s="191">
        <f t="shared" ref="T96:T102" si="417">T11</f>
        <v>39</v>
      </c>
      <c r="U96" s="189">
        <f t="shared" ref="U96:W102" si="418">T96+U11</f>
        <v>79</v>
      </c>
      <c r="V96" s="189">
        <f t="shared" si="418"/>
        <v>119</v>
      </c>
      <c r="W96" s="190">
        <f t="shared" si="418"/>
        <v>159</v>
      </c>
      <c r="X96" s="191">
        <f t="shared" ref="X96:X102" si="419">X11</f>
        <v>41</v>
      </c>
      <c r="Y96" s="189">
        <f t="shared" ref="Y96:AA102" si="420">X96+Y11</f>
        <v>79</v>
      </c>
      <c r="Z96" s="189">
        <f t="shared" si="420"/>
        <v>118</v>
      </c>
      <c r="AA96" s="190">
        <f t="shared" si="420"/>
        <v>157</v>
      </c>
      <c r="AB96" s="191">
        <f t="shared" ref="AB96:AB102" si="421">AB11</f>
        <v>37</v>
      </c>
      <c r="AC96" s="189">
        <f t="shared" ref="AC96:AE102" si="422">AB96+AC11</f>
        <v>75</v>
      </c>
      <c r="AD96" s="189">
        <f t="shared" si="422"/>
        <v>115</v>
      </c>
      <c r="AE96" s="190">
        <f t="shared" si="422"/>
        <v>155</v>
      </c>
      <c r="AF96" s="191">
        <f t="shared" ref="AF96:AF102" si="423">AF11</f>
        <v>41</v>
      </c>
      <c r="AG96" s="189">
        <f t="shared" ref="AG96:AI102" si="424">AF96+AG11</f>
        <v>83</v>
      </c>
      <c r="AH96" s="189">
        <f t="shared" si="424"/>
        <v>129</v>
      </c>
      <c r="AI96" s="190">
        <f t="shared" si="424"/>
        <v>187</v>
      </c>
      <c r="AJ96" s="191">
        <f t="shared" ref="AJ96:AJ102" si="425">AJ11</f>
        <v>57</v>
      </c>
      <c r="AK96" s="189">
        <f t="shared" ref="AK96:AM102" si="426">AJ96+AK11</f>
        <v>118</v>
      </c>
      <c r="AL96" s="189">
        <f t="shared" si="426"/>
        <v>375</v>
      </c>
      <c r="AM96" s="190">
        <f t="shared" si="426"/>
        <v>625</v>
      </c>
      <c r="AN96" s="191">
        <f t="shared" ref="AN96:AN102" si="427">AN11</f>
        <v>226</v>
      </c>
      <c r="AO96" s="189">
        <f t="shared" ref="AO96:AQ102" si="428">AN96+AO11</f>
        <v>456</v>
      </c>
      <c r="AP96" s="189">
        <f t="shared" si="428"/>
        <v>712</v>
      </c>
      <c r="AQ96" s="190">
        <f t="shared" si="428"/>
        <v>962</v>
      </c>
      <c r="AR96" s="191">
        <f t="shared" ref="AR96:AR102" si="429">AR11</f>
        <v>244</v>
      </c>
      <c r="AS96" s="189">
        <f t="shared" ref="AS96:AW102" si="430">AR96+AS11</f>
        <v>1284</v>
      </c>
      <c r="AT96" s="189">
        <f t="shared" si="430"/>
        <v>2342</v>
      </c>
      <c r="AU96" s="190">
        <f t="shared" si="430"/>
        <v>3042</v>
      </c>
      <c r="AV96" s="191">
        <f t="shared" ref="AV96:AV102" si="431">AV11</f>
        <v>1114</v>
      </c>
      <c r="AW96" s="189">
        <f t="shared" si="430"/>
        <v>2307</v>
      </c>
      <c r="AX96" s="189">
        <f t="shared" ref="AX96:AY102" si="432">AW96+AX11</f>
        <v>3518</v>
      </c>
      <c r="AY96" s="190">
        <f t="shared" si="432"/>
        <v>4737</v>
      </c>
      <c r="AZ96" s="191">
        <f t="shared" ref="AZ96:AZ102" si="433">AZ11</f>
        <v>1184</v>
      </c>
      <c r="BA96" s="189">
        <f t="shared" ref="BA96:BC102" si="434">AZ96+BA11</f>
        <v>1305.9196832</v>
      </c>
      <c r="BB96" s="189">
        <f t="shared" si="434"/>
        <v>1433.3122481150001</v>
      </c>
      <c r="BC96" s="190">
        <f t="shared" si="434"/>
        <v>1566.5667150089751</v>
      </c>
      <c r="BD96" s="191">
        <f t="shared" ref="BD96:BH102" si="435">BD11</f>
        <v>138.85225855540202</v>
      </c>
      <c r="BE96" s="189">
        <f t="shared" ref="BE96:BE102" si="436">BD96+BE11</f>
        <v>283.14165645557318</v>
      </c>
      <c r="BF96" s="189">
        <f t="shared" ref="BF96:BF102" si="437">BE96+BF11</f>
        <v>424.67769893541754</v>
      </c>
      <c r="BG96" s="190">
        <f t="shared" ref="BG96:BG102" si="438">BF96+BG11</f>
        <v>572.32961154291411</v>
      </c>
      <c r="BH96" s="191">
        <f t="shared" si="435"/>
        <v>139.54110491786474</v>
      </c>
      <c r="BI96" s="189">
        <f t="shared" ref="BI96:BI102" si="439">BH96+BI11</f>
        <v>284.11003941983506</v>
      </c>
      <c r="BJ96" s="189">
        <f t="shared" ref="BJ96:BJ102" si="440">BI96+BJ11</f>
        <v>433.91091705470933</v>
      </c>
      <c r="BK96" s="190">
        <f t="shared" ref="BK96:BK102" si="441">BJ96+BK11</f>
        <v>589.27587827825448</v>
      </c>
      <c r="BL96" s="166"/>
      <c r="BM96" s="191">
        <f>G96</f>
        <v>216</v>
      </c>
      <c r="BN96" s="189">
        <f>K96</f>
        <v>176</v>
      </c>
      <c r="BO96" s="189">
        <f>O96</f>
        <v>159</v>
      </c>
      <c r="BP96" s="189">
        <f>S96</f>
        <v>160</v>
      </c>
      <c r="BQ96" s="189">
        <f t="shared" ref="BQ96:BQ102" si="442">W96</f>
        <v>159</v>
      </c>
      <c r="BR96" s="190">
        <f t="shared" ref="BR96:BR102" si="443">AA96</f>
        <v>157</v>
      </c>
      <c r="BS96" s="189">
        <f t="shared" ref="BS96:BS102" si="444">AE96</f>
        <v>155</v>
      </c>
      <c r="BT96" s="189">
        <f t="shared" ref="BT96:BT102" si="445">AI96</f>
        <v>187</v>
      </c>
      <c r="BU96" s="189">
        <f t="shared" ref="BU96:BU102" si="446">AM96</f>
        <v>625</v>
      </c>
      <c r="BV96" s="189">
        <f t="shared" ref="BV96:BV102" si="447">AQ96</f>
        <v>962</v>
      </c>
      <c r="BW96" s="189">
        <f t="shared" ref="BW96:BW102" si="448">AU96</f>
        <v>3042</v>
      </c>
      <c r="BX96" s="189">
        <f t="shared" ref="BX96:BX102" si="449">AY96</f>
        <v>4737</v>
      </c>
      <c r="BY96" s="189">
        <f t="shared" ref="BY96:BY102" si="450">BC96</f>
        <v>1566.5667150089751</v>
      </c>
      <c r="BZ96" s="189">
        <f t="shared" ref="BZ96:BZ102" si="451">BG96</f>
        <v>572.32961154291411</v>
      </c>
      <c r="CA96" s="190">
        <f t="shared" ref="CA96:CA109" si="452">BK96</f>
        <v>589.27587827825448</v>
      </c>
      <c r="CB96" s="19"/>
      <c r="CC96" s="191">
        <f t="shared" ref="CC96:CN96" si="453">CC11</f>
        <v>209</v>
      </c>
      <c r="CD96" s="189">
        <f t="shared" si="453"/>
        <v>170</v>
      </c>
      <c r="CE96" s="189">
        <f t="shared" si="453"/>
        <v>161</v>
      </c>
      <c r="CF96" s="189">
        <f t="shared" si="453"/>
        <v>158</v>
      </c>
      <c r="CG96" s="189">
        <f t="shared" si="453"/>
        <v>161</v>
      </c>
      <c r="CH96" s="189">
        <f t="shared" si="453"/>
        <v>153</v>
      </c>
      <c r="CI96" s="189">
        <f t="shared" si="453"/>
        <v>159</v>
      </c>
      <c r="CJ96" s="189">
        <f t="shared" si="453"/>
        <v>203</v>
      </c>
      <c r="CK96" s="189">
        <f t="shared" si="453"/>
        <v>794</v>
      </c>
      <c r="CL96" s="189">
        <f t="shared" si="453"/>
        <v>980</v>
      </c>
      <c r="CM96" s="189">
        <f t="shared" si="453"/>
        <v>3912</v>
      </c>
      <c r="CN96" s="189">
        <f t="shared" si="453"/>
        <v>4807</v>
      </c>
      <c r="CO96" s="189">
        <f t="shared" ref="CO96:CP96" si="454">CO11</f>
        <v>521.4189735643771</v>
      </c>
      <c r="CP96" s="190">
        <f t="shared" si="454"/>
        <v>573.01845790537686</v>
      </c>
      <c r="CQ96" s="7"/>
    </row>
    <row r="97" spans="1:95" ht="14.25" customHeight="1" outlineLevel="1">
      <c r="A97" s="7"/>
      <c r="B97" s="48" t="s">
        <v>167</v>
      </c>
      <c r="C97" s="49"/>
      <c r="D97" s="191">
        <f t="shared" si="409"/>
        <v>8</v>
      </c>
      <c r="E97" s="189">
        <f t="shared" si="410"/>
        <v>14</v>
      </c>
      <c r="F97" s="189">
        <f t="shared" si="410"/>
        <v>21</v>
      </c>
      <c r="G97" s="190">
        <f t="shared" si="410"/>
        <v>22</v>
      </c>
      <c r="H97" s="191">
        <f t="shared" si="411"/>
        <v>1</v>
      </c>
      <c r="I97" s="189">
        <f t="shared" si="412"/>
        <v>2</v>
      </c>
      <c r="J97" s="189">
        <f t="shared" si="412"/>
        <v>3</v>
      </c>
      <c r="K97" s="190">
        <f t="shared" si="412"/>
        <v>4</v>
      </c>
      <c r="L97" s="191">
        <f t="shared" si="413"/>
        <v>1</v>
      </c>
      <c r="M97" s="189">
        <f t="shared" si="414"/>
        <v>2</v>
      </c>
      <c r="N97" s="189">
        <f t="shared" si="414"/>
        <v>3</v>
      </c>
      <c r="O97" s="190">
        <f t="shared" si="414"/>
        <v>4</v>
      </c>
      <c r="P97" s="191">
        <f t="shared" si="415"/>
        <v>1</v>
      </c>
      <c r="Q97" s="189">
        <f t="shared" si="416"/>
        <v>2</v>
      </c>
      <c r="R97" s="189">
        <f t="shared" si="416"/>
        <v>3</v>
      </c>
      <c r="S97" s="190">
        <f t="shared" si="416"/>
        <v>4</v>
      </c>
      <c r="T97" s="191">
        <f t="shared" si="417"/>
        <v>1</v>
      </c>
      <c r="U97" s="189">
        <f t="shared" si="418"/>
        <v>1</v>
      </c>
      <c r="V97" s="189">
        <f t="shared" si="418"/>
        <v>1</v>
      </c>
      <c r="W97" s="190">
        <f t="shared" si="418"/>
        <v>1</v>
      </c>
      <c r="X97" s="191">
        <f t="shared" si="419"/>
        <v>0</v>
      </c>
      <c r="Y97" s="189">
        <f t="shared" si="420"/>
        <v>0</v>
      </c>
      <c r="Z97" s="189">
        <f t="shared" si="420"/>
        <v>1</v>
      </c>
      <c r="AA97" s="190">
        <f t="shared" si="420"/>
        <v>1</v>
      </c>
      <c r="AB97" s="191">
        <f t="shared" si="421"/>
        <v>0</v>
      </c>
      <c r="AC97" s="189">
        <f t="shared" si="422"/>
        <v>0</v>
      </c>
      <c r="AD97" s="189">
        <f t="shared" si="422"/>
        <v>0</v>
      </c>
      <c r="AE97" s="190">
        <f t="shared" si="422"/>
        <v>0</v>
      </c>
      <c r="AF97" s="191">
        <f t="shared" si="423"/>
        <v>0</v>
      </c>
      <c r="AG97" s="189">
        <f t="shared" si="424"/>
        <v>0</v>
      </c>
      <c r="AH97" s="189">
        <f t="shared" si="424"/>
        <v>0</v>
      </c>
      <c r="AI97" s="190">
        <f t="shared" si="424"/>
        <v>1</v>
      </c>
      <c r="AJ97" s="191">
        <f t="shared" si="425"/>
        <v>0</v>
      </c>
      <c r="AK97" s="189">
        <f t="shared" si="426"/>
        <v>0</v>
      </c>
      <c r="AL97" s="189">
        <f t="shared" si="426"/>
        <v>7</v>
      </c>
      <c r="AM97" s="190">
        <f t="shared" si="426"/>
        <v>14</v>
      </c>
      <c r="AN97" s="191">
        <f t="shared" si="427"/>
        <v>7</v>
      </c>
      <c r="AO97" s="189">
        <f t="shared" si="428"/>
        <v>14</v>
      </c>
      <c r="AP97" s="189">
        <f t="shared" si="428"/>
        <v>18</v>
      </c>
      <c r="AQ97" s="190">
        <f t="shared" si="428"/>
        <v>22</v>
      </c>
      <c r="AR97" s="191">
        <f t="shared" si="429"/>
        <v>4</v>
      </c>
      <c r="AS97" s="189">
        <f t="shared" si="430"/>
        <v>17</v>
      </c>
      <c r="AT97" s="189">
        <f t="shared" si="430"/>
        <v>27</v>
      </c>
      <c r="AU97" s="190">
        <f t="shared" si="430"/>
        <v>36</v>
      </c>
      <c r="AV97" s="191">
        <f t="shared" si="431"/>
        <v>8</v>
      </c>
      <c r="AW97" s="189">
        <f t="shared" si="430"/>
        <v>14</v>
      </c>
      <c r="AX97" s="189">
        <f t="shared" si="432"/>
        <v>19</v>
      </c>
      <c r="AY97" s="190">
        <f t="shared" si="432"/>
        <v>24</v>
      </c>
      <c r="AZ97" s="191">
        <f t="shared" si="433"/>
        <v>6</v>
      </c>
      <c r="BA97" s="189">
        <f t="shared" si="434"/>
        <v>6</v>
      </c>
      <c r="BB97" s="189">
        <f t="shared" si="434"/>
        <v>6</v>
      </c>
      <c r="BC97" s="190">
        <f t="shared" si="434"/>
        <v>6</v>
      </c>
      <c r="BD97" s="191">
        <f t="shared" si="435"/>
        <v>0</v>
      </c>
      <c r="BE97" s="189">
        <f t="shared" si="436"/>
        <v>0</v>
      </c>
      <c r="BF97" s="189">
        <f t="shared" si="437"/>
        <v>0</v>
      </c>
      <c r="BG97" s="190">
        <f t="shared" si="438"/>
        <v>0</v>
      </c>
      <c r="BH97" s="191">
        <f t="shared" si="435"/>
        <v>0</v>
      </c>
      <c r="BI97" s="189">
        <f t="shared" si="439"/>
        <v>0</v>
      </c>
      <c r="BJ97" s="189">
        <f t="shared" si="440"/>
        <v>0</v>
      </c>
      <c r="BK97" s="190">
        <f t="shared" si="441"/>
        <v>0</v>
      </c>
      <c r="BL97" s="166"/>
      <c r="BM97" s="191">
        <f>G97</f>
        <v>22</v>
      </c>
      <c r="BN97" s="189">
        <f>K97</f>
        <v>4</v>
      </c>
      <c r="BO97" s="189">
        <f>O97</f>
        <v>4</v>
      </c>
      <c r="BP97" s="189">
        <f>S97</f>
        <v>4</v>
      </c>
      <c r="BQ97" s="189">
        <f t="shared" si="442"/>
        <v>1</v>
      </c>
      <c r="BR97" s="190">
        <f t="shared" si="443"/>
        <v>1</v>
      </c>
      <c r="BS97" s="189">
        <f t="shared" si="444"/>
        <v>0</v>
      </c>
      <c r="BT97" s="189">
        <f t="shared" si="445"/>
        <v>1</v>
      </c>
      <c r="BU97" s="189">
        <f t="shared" si="446"/>
        <v>14</v>
      </c>
      <c r="BV97" s="189">
        <f t="shared" si="447"/>
        <v>22</v>
      </c>
      <c r="BW97" s="189">
        <f t="shared" si="448"/>
        <v>36</v>
      </c>
      <c r="BX97" s="189">
        <f t="shared" si="449"/>
        <v>24</v>
      </c>
      <c r="BY97" s="189">
        <f t="shared" si="450"/>
        <v>6</v>
      </c>
      <c r="BZ97" s="189">
        <f t="shared" si="451"/>
        <v>0</v>
      </c>
      <c r="CA97" s="190">
        <f t="shared" si="452"/>
        <v>0</v>
      </c>
      <c r="CB97" s="19"/>
      <c r="CC97" s="191">
        <f t="shared" ref="CC97:CN97" si="455">CC12</f>
        <v>15</v>
      </c>
      <c r="CD97" s="189">
        <f t="shared" si="455"/>
        <v>4</v>
      </c>
      <c r="CE97" s="189">
        <f t="shared" si="455"/>
        <v>4</v>
      </c>
      <c r="CF97" s="189">
        <f t="shared" si="455"/>
        <v>4</v>
      </c>
      <c r="CG97" s="189">
        <f t="shared" si="455"/>
        <v>0</v>
      </c>
      <c r="CH97" s="189">
        <f t="shared" si="455"/>
        <v>1</v>
      </c>
      <c r="CI97" s="189">
        <f t="shared" si="455"/>
        <v>0</v>
      </c>
      <c r="CJ97" s="189">
        <f t="shared" si="455"/>
        <v>1</v>
      </c>
      <c r="CK97" s="189">
        <f t="shared" si="455"/>
        <v>21</v>
      </c>
      <c r="CL97" s="189">
        <f t="shared" si="455"/>
        <v>19</v>
      </c>
      <c r="CM97" s="189">
        <f t="shared" si="455"/>
        <v>40</v>
      </c>
      <c r="CN97" s="189">
        <f t="shared" si="455"/>
        <v>22</v>
      </c>
      <c r="CO97" s="189">
        <f t="shared" ref="CO97:CP97" si="456">CO12</f>
        <v>0</v>
      </c>
      <c r="CP97" s="190">
        <f t="shared" si="456"/>
        <v>0</v>
      </c>
      <c r="CQ97" s="7"/>
    </row>
    <row r="98" spans="1:95" ht="14.25" customHeight="1" outlineLevel="1">
      <c r="A98" s="7"/>
      <c r="B98" s="48" t="s">
        <v>178</v>
      </c>
      <c r="C98" s="49"/>
      <c r="D98" s="191">
        <f t="shared" si="409"/>
        <v>0</v>
      </c>
      <c r="E98" s="189">
        <f t="shared" si="410"/>
        <v>0</v>
      </c>
      <c r="F98" s="189">
        <f t="shared" si="410"/>
        <v>0</v>
      </c>
      <c r="G98" s="190">
        <f t="shared" si="410"/>
        <v>0</v>
      </c>
      <c r="H98" s="191">
        <f t="shared" si="411"/>
        <v>0</v>
      </c>
      <c r="I98" s="189">
        <f t="shared" si="412"/>
        <v>10</v>
      </c>
      <c r="J98" s="189">
        <f t="shared" si="412"/>
        <v>11</v>
      </c>
      <c r="K98" s="190">
        <f t="shared" si="412"/>
        <v>12</v>
      </c>
      <c r="L98" s="191">
        <f t="shared" si="413"/>
        <v>5</v>
      </c>
      <c r="M98" s="189">
        <f t="shared" si="414"/>
        <v>5</v>
      </c>
      <c r="N98" s="189">
        <f t="shared" si="414"/>
        <v>5</v>
      </c>
      <c r="O98" s="190">
        <f t="shared" si="414"/>
        <v>5</v>
      </c>
      <c r="P98" s="191">
        <f t="shared" si="415"/>
        <v>-1</v>
      </c>
      <c r="Q98" s="189">
        <f t="shared" si="416"/>
        <v>-1</v>
      </c>
      <c r="R98" s="189">
        <f t="shared" si="416"/>
        <v>-1</v>
      </c>
      <c r="S98" s="190">
        <f t="shared" si="416"/>
        <v>8</v>
      </c>
      <c r="T98" s="191">
        <f t="shared" si="417"/>
        <v>8</v>
      </c>
      <c r="U98" s="189">
        <f t="shared" si="418"/>
        <v>8</v>
      </c>
      <c r="V98" s="189">
        <f t="shared" si="418"/>
        <v>8</v>
      </c>
      <c r="W98" s="190">
        <f t="shared" si="418"/>
        <v>8</v>
      </c>
      <c r="X98" s="191">
        <f t="shared" si="419"/>
        <v>5</v>
      </c>
      <c r="Y98" s="189">
        <f t="shared" si="420"/>
        <v>6</v>
      </c>
      <c r="Z98" s="189">
        <f t="shared" si="420"/>
        <v>6</v>
      </c>
      <c r="AA98" s="190">
        <f t="shared" si="420"/>
        <v>6</v>
      </c>
      <c r="AB98" s="191">
        <f t="shared" si="421"/>
        <v>0</v>
      </c>
      <c r="AC98" s="189">
        <f t="shared" si="422"/>
        <v>0</v>
      </c>
      <c r="AD98" s="189">
        <f t="shared" si="422"/>
        <v>0</v>
      </c>
      <c r="AE98" s="190">
        <f t="shared" si="422"/>
        <v>0</v>
      </c>
      <c r="AF98" s="191">
        <f t="shared" si="423"/>
        <v>0</v>
      </c>
      <c r="AG98" s="189">
        <f t="shared" si="424"/>
        <v>0</v>
      </c>
      <c r="AH98" s="189">
        <f t="shared" si="424"/>
        <v>0</v>
      </c>
      <c r="AI98" s="190">
        <f t="shared" si="424"/>
        <v>1</v>
      </c>
      <c r="AJ98" s="191">
        <f t="shared" si="425"/>
        <v>0</v>
      </c>
      <c r="AK98" s="189">
        <f t="shared" si="426"/>
        <v>0</v>
      </c>
      <c r="AL98" s="189">
        <f t="shared" si="426"/>
        <v>0</v>
      </c>
      <c r="AM98" s="190">
        <f t="shared" si="426"/>
        <v>0</v>
      </c>
      <c r="AN98" s="191">
        <f t="shared" si="427"/>
        <v>0</v>
      </c>
      <c r="AO98" s="189">
        <f t="shared" si="428"/>
        <v>0</v>
      </c>
      <c r="AP98" s="189">
        <f t="shared" si="428"/>
        <v>0</v>
      </c>
      <c r="AQ98" s="190">
        <f t="shared" si="428"/>
        <v>0</v>
      </c>
      <c r="AR98" s="191">
        <f t="shared" si="429"/>
        <v>0</v>
      </c>
      <c r="AS98" s="189">
        <f t="shared" si="430"/>
        <v>0</v>
      </c>
      <c r="AT98" s="189">
        <f t="shared" si="430"/>
        <v>0</v>
      </c>
      <c r="AU98" s="190">
        <f t="shared" si="430"/>
        <v>0</v>
      </c>
      <c r="AV98" s="191">
        <f t="shared" si="431"/>
        <v>0</v>
      </c>
      <c r="AW98" s="189">
        <f t="shared" si="430"/>
        <v>0</v>
      </c>
      <c r="AX98" s="189">
        <f t="shared" si="432"/>
        <v>0</v>
      </c>
      <c r="AY98" s="190">
        <f t="shared" si="432"/>
        <v>7</v>
      </c>
      <c r="AZ98" s="191">
        <f t="shared" si="433"/>
        <v>0</v>
      </c>
      <c r="BA98" s="189">
        <f t="shared" si="434"/>
        <v>0</v>
      </c>
      <c r="BB98" s="189">
        <f t="shared" si="434"/>
        <v>0</v>
      </c>
      <c r="BC98" s="190">
        <f t="shared" si="434"/>
        <v>0</v>
      </c>
      <c r="BD98" s="191">
        <f t="shared" si="435"/>
        <v>0</v>
      </c>
      <c r="BE98" s="189">
        <f t="shared" si="436"/>
        <v>0</v>
      </c>
      <c r="BF98" s="189">
        <f t="shared" si="437"/>
        <v>0</v>
      </c>
      <c r="BG98" s="190">
        <f t="shared" si="438"/>
        <v>0</v>
      </c>
      <c r="BH98" s="191">
        <f t="shared" si="435"/>
        <v>0</v>
      </c>
      <c r="BI98" s="189">
        <f t="shared" si="439"/>
        <v>0</v>
      </c>
      <c r="BJ98" s="189">
        <f t="shared" si="440"/>
        <v>0</v>
      </c>
      <c r="BK98" s="190">
        <f t="shared" si="441"/>
        <v>0</v>
      </c>
      <c r="BL98" s="166"/>
      <c r="BM98" s="191">
        <f>G98</f>
        <v>0</v>
      </c>
      <c r="BN98" s="189">
        <f>K98</f>
        <v>12</v>
      </c>
      <c r="BO98" s="189">
        <f>O98</f>
        <v>5</v>
      </c>
      <c r="BP98" s="189">
        <f>S98</f>
        <v>8</v>
      </c>
      <c r="BQ98" s="189">
        <f t="shared" si="442"/>
        <v>8</v>
      </c>
      <c r="BR98" s="190">
        <f t="shared" si="443"/>
        <v>6</v>
      </c>
      <c r="BS98" s="189">
        <f t="shared" si="444"/>
        <v>0</v>
      </c>
      <c r="BT98" s="189">
        <f t="shared" si="445"/>
        <v>1</v>
      </c>
      <c r="BU98" s="189">
        <f t="shared" si="446"/>
        <v>0</v>
      </c>
      <c r="BV98" s="189">
        <f t="shared" si="447"/>
        <v>0</v>
      </c>
      <c r="BW98" s="189">
        <f t="shared" si="448"/>
        <v>0</v>
      </c>
      <c r="BX98" s="189">
        <f t="shared" si="449"/>
        <v>7</v>
      </c>
      <c r="BY98" s="189">
        <f t="shared" si="450"/>
        <v>0</v>
      </c>
      <c r="BZ98" s="189">
        <f t="shared" si="451"/>
        <v>0</v>
      </c>
      <c r="CA98" s="190">
        <f t="shared" si="452"/>
        <v>0</v>
      </c>
      <c r="CB98" s="19"/>
      <c r="CC98" s="191">
        <f t="shared" ref="CC98:CN98" si="457">CC13</f>
        <v>0</v>
      </c>
      <c r="CD98" s="189">
        <f t="shared" si="457"/>
        <v>17</v>
      </c>
      <c r="CE98" s="189">
        <f t="shared" si="457"/>
        <v>-1</v>
      </c>
      <c r="CF98" s="189">
        <f t="shared" si="457"/>
        <v>17</v>
      </c>
      <c r="CG98" s="189">
        <f t="shared" si="457"/>
        <v>5</v>
      </c>
      <c r="CH98" s="189">
        <f t="shared" si="457"/>
        <v>1</v>
      </c>
      <c r="CI98" s="189">
        <f t="shared" si="457"/>
        <v>0</v>
      </c>
      <c r="CJ98" s="189">
        <f t="shared" si="457"/>
        <v>1</v>
      </c>
      <c r="CK98" s="189">
        <f t="shared" si="457"/>
        <v>0</v>
      </c>
      <c r="CL98" s="189">
        <f t="shared" si="457"/>
        <v>0</v>
      </c>
      <c r="CM98" s="189">
        <f t="shared" si="457"/>
        <v>0</v>
      </c>
      <c r="CN98" s="189">
        <f t="shared" si="457"/>
        <v>7</v>
      </c>
      <c r="CO98" s="189">
        <f t="shared" ref="CO98:CP98" si="458">CO13</f>
        <v>0</v>
      </c>
      <c r="CP98" s="190">
        <f t="shared" si="458"/>
        <v>0</v>
      </c>
      <c r="CQ98" s="7"/>
    </row>
    <row r="99" spans="1:95" ht="14.25" customHeight="1" outlineLevel="1">
      <c r="A99" s="7"/>
      <c r="B99" s="48" t="s">
        <v>177</v>
      </c>
      <c r="C99" s="49"/>
      <c r="D99" s="191">
        <f t="shared" si="409"/>
        <v>0</v>
      </c>
      <c r="E99" s="189">
        <f t="shared" si="410"/>
        <v>1</v>
      </c>
      <c r="F99" s="189">
        <f t="shared" si="410"/>
        <v>1</v>
      </c>
      <c r="G99" s="190">
        <f t="shared" si="410"/>
        <v>5</v>
      </c>
      <c r="H99" s="191">
        <f t="shared" si="411"/>
        <v>0</v>
      </c>
      <c r="I99" s="189">
        <f t="shared" si="412"/>
        <v>2</v>
      </c>
      <c r="J99" s="189">
        <f t="shared" si="412"/>
        <v>2</v>
      </c>
      <c r="K99" s="190">
        <f t="shared" si="412"/>
        <v>2</v>
      </c>
      <c r="L99" s="191">
        <f t="shared" si="413"/>
        <v>0</v>
      </c>
      <c r="M99" s="189">
        <f t="shared" si="414"/>
        <v>0</v>
      </c>
      <c r="N99" s="189">
        <f t="shared" si="414"/>
        <v>1</v>
      </c>
      <c r="O99" s="190">
        <f t="shared" si="414"/>
        <v>2</v>
      </c>
      <c r="P99" s="191">
        <f t="shared" si="415"/>
        <v>0</v>
      </c>
      <c r="Q99" s="189">
        <f t="shared" si="416"/>
        <v>0</v>
      </c>
      <c r="R99" s="189">
        <f t="shared" si="416"/>
        <v>1</v>
      </c>
      <c r="S99" s="190">
        <f t="shared" si="416"/>
        <v>2</v>
      </c>
      <c r="T99" s="191">
        <f t="shared" si="417"/>
        <v>1</v>
      </c>
      <c r="U99" s="189">
        <f t="shared" si="418"/>
        <v>1</v>
      </c>
      <c r="V99" s="189">
        <f t="shared" si="418"/>
        <v>1</v>
      </c>
      <c r="W99" s="190">
        <f t="shared" si="418"/>
        <v>2</v>
      </c>
      <c r="X99" s="191">
        <f t="shared" si="419"/>
        <v>0</v>
      </c>
      <c r="Y99" s="189">
        <f t="shared" si="420"/>
        <v>1</v>
      </c>
      <c r="Z99" s="189">
        <f t="shared" si="420"/>
        <v>1</v>
      </c>
      <c r="AA99" s="190">
        <f t="shared" si="420"/>
        <v>1</v>
      </c>
      <c r="AB99" s="191">
        <f t="shared" si="421"/>
        <v>0</v>
      </c>
      <c r="AC99" s="189">
        <f t="shared" si="422"/>
        <v>1</v>
      </c>
      <c r="AD99" s="189">
        <f t="shared" si="422"/>
        <v>3</v>
      </c>
      <c r="AE99" s="190">
        <f t="shared" si="422"/>
        <v>3</v>
      </c>
      <c r="AF99" s="191">
        <f t="shared" si="423"/>
        <v>0</v>
      </c>
      <c r="AG99" s="189">
        <f t="shared" si="424"/>
        <v>1</v>
      </c>
      <c r="AH99" s="189">
        <f t="shared" si="424"/>
        <v>0</v>
      </c>
      <c r="AI99" s="190">
        <f t="shared" si="424"/>
        <v>0</v>
      </c>
      <c r="AJ99" s="191">
        <f t="shared" si="425"/>
        <v>0</v>
      </c>
      <c r="AK99" s="189">
        <f t="shared" si="426"/>
        <v>0</v>
      </c>
      <c r="AL99" s="189">
        <f t="shared" si="426"/>
        <v>0</v>
      </c>
      <c r="AM99" s="190">
        <f t="shared" si="426"/>
        <v>0</v>
      </c>
      <c r="AN99" s="191">
        <f t="shared" si="427"/>
        <v>0</v>
      </c>
      <c r="AO99" s="189">
        <f t="shared" si="428"/>
        <v>0</v>
      </c>
      <c r="AP99" s="189">
        <f t="shared" si="428"/>
        <v>0</v>
      </c>
      <c r="AQ99" s="190">
        <f t="shared" si="428"/>
        <v>0</v>
      </c>
      <c r="AR99" s="191">
        <f t="shared" si="429"/>
        <v>0</v>
      </c>
      <c r="AS99" s="189">
        <f t="shared" si="430"/>
        <v>0</v>
      </c>
      <c r="AT99" s="189">
        <f t="shared" si="430"/>
        <v>0</v>
      </c>
      <c r="AU99" s="190">
        <f t="shared" si="430"/>
        <v>0</v>
      </c>
      <c r="AV99" s="191">
        <f t="shared" si="431"/>
        <v>0</v>
      </c>
      <c r="AW99" s="189">
        <f t="shared" si="430"/>
        <v>0</v>
      </c>
      <c r="AX99" s="189">
        <f t="shared" si="432"/>
        <v>0</v>
      </c>
      <c r="AY99" s="190">
        <f t="shared" si="432"/>
        <v>0</v>
      </c>
      <c r="AZ99" s="191">
        <f t="shared" si="433"/>
        <v>0</v>
      </c>
      <c r="BA99" s="189">
        <f t="shared" si="434"/>
        <v>0</v>
      </c>
      <c r="BB99" s="189">
        <f t="shared" si="434"/>
        <v>0</v>
      </c>
      <c r="BC99" s="190">
        <f t="shared" si="434"/>
        <v>0</v>
      </c>
      <c r="BD99" s="191">
        <f t="shared" si="435"/>
        <v>0</v>
      </c>
      <c r="BE99" s="189">
        <f t="shared" si="436"/>
        <v>0</v>
      </c>
      <c r="BF99" s="189">
        <f t="shared" si="437"/>
        <v>0</v>
      </c>
      <c r="BG99" s="190">
        <f t="shared" si="438"/>
        <v>0</v>
      </c>
      <c r="BH99" s="191">
        <f t="shared" si="435"/>
        <v>0</v>
      </c>
      <c r="BI99" s="189">
        <f t="shared" si="439"/>
        <v>0</v>
      </c>
      <c r="BJ99" s="189">
        <f t="shared" si="440"/>
        <v>0</v>
      </c>
      <c r="BK99" s="190">
        <f t="shared" si="441"/>
        <v>0</v>
      </c>
      <c r="BL99" s="166"/>
      <c r="BM99" s="191">
        <f>G99</f>
        <v>5</v>
      </c>
      <c r="BN99" s="189">
        <f>K99</f>
        <v>2</v>
      </c>
      <c r="BO99" s="189">
        <f>O99</f>
        <v>2</v>
      </c>
      <c r="BP99" s="189">
        <f>S99</f>
        <v>2</v>
      </c>
      <c r="BQ99" s="189">
        <f t="shared" si="442"/>
        <v>2</v>
      </c>
      <c r="BR99" s="190">
        <f t="shared" si="443"/>
        <v>1</v>
      </c>
      <c r="BS99" s="189">
        <f t="shared" si="444"/>
        <v>3</v>
      </c>
      <c r="BT99" s="189">
        <f t="shared" si="445"/>
        <v>0</v>
      </c>
      <c r="BU99" s="189">
        <f t="shared" si="446"/>
        <v>0</v>
      </c>
      <c r="BV99" s="189">
        <f t="shared" si="447"/>
        <v>0</v>
      </c>
      <c r="BW99" s="189">
        <f t="shared" si="448"/>
        <v>0</v>
      </c>
      <c r="BX99" s="189">
        <f t="shared" si="449"/>
        <v>0</v>
      </c>
      <c r="BY99" s="189">
        <f t="shared" si="450"/>
        <v>0</v>
      </c>
      <c r="BZ99" s="189">
        <f t="shared" si="451"/>
        <v>0</v>
      </c>
      <c r="CA99" s="190">
        <f t="shared" si="452"/>
        <v>0</v>
      </c>
      <c r="CB99" s="19"/>
      <c r="CC99" s="191">
        <f t="shared" ref="CC99:CN99" si="459">CC14</f>
        <v>5</v>
      </c>
      <c r="CD99" s="189">
        <f t="shared" si="459"/>
        <v>2</v>
      </c>
      <c r="CE99" s="189">
        <f t="shared" si="459"/>
        <v>2</v>
      </c>
      <c r="CF99" s="189">
        <f t="shared" si="459"/>
        <v>3</v>
      </c>
      <c r="CG99" s="189">
        <f t="shared" si="459"/>
        <v>1</v>
      </c>
      <c r="CH99" s="189">
        <f t="shared" si="459"/>
        <v>1</v>
      </c>
      <c r="CI99" s="189">
        <f t="shared" si="459"/>
        <v>3</v>
      </c>
      <c r="CJ99" s="189">
        <f t="shared" si="459"/>
        <v>0</v>
      </c>
      <c r="CK99" s="189">
        <f t="shared" si="459"/>
        <v>0</v>
      </c>
      <c r="CL99" s="189">
        <f t="shared" si="459"/>
        <v>0</v>
      </c>
      <c r="CM99" s="189">
        <f t="shared" si="459"/>
        <v>0</v>
      </c>
      <c r="CN99" s="189">
        <f t="shared" si="459"/>
        <v>0</v>
      </c>
      <c r="CO99" s="189">
        <f t="shared" ref="CO99:CP99" si="460">CO14</f>
        <v>0</v>
      </c>
      <c r="CP99" s="190">
        <f t="shared" si="460"/>
        <v>0</v>
      </c>
      <c r="CQ99" s="7"/>
    </row>
    <row r="100" spans="1:95" ht="14.25" customHeight="1" outlineLevel="1">
      <c r="A100" s="7"/>
      <c r="B100" s="48" t="s">
        <v>72</v>
      </c>
      <c r="C100" s="49"/>
      <c r="D100" s="191">
        <f t="shared" si="409"/>
        <v>5</v>
      </c>
      <c r="E100" s="189">
        <f t="shared" si="410"/>
        <v>5</v>
      </c>
      <c r="F100" s="189">
        <f t="shared" si="410"/>
        <v>6</v>
      </c>
      <c r="G100" s="190">
        <f t="shared" si="410"/>
        <v>7</v>
      </c>
      <c r="H100" s="191">
        <f t="shared" si="411"/>
        <v>10</v>
      </c>
      <c r="I100" s="189">
        <f t="shared" si="412"/>
        <v>13</v>
      </c>
      <c r="J100" s="189">
        <f t="shared" si="412"/>
        <v>13</v>
      </c>
      <c r="K100" s="190">
        <f t="shared" si="412"/>
        <v>12</v>
      </c>
      <c r="L100" s="191">
        <f t="shared" si="413"/>
        <v>7</v>
      </c>
      <c r="M100" s="189">
        <f t="shared" si="414"/>
        <v>9</v>
      </c>
      <c r="N100" s="189">
        <f t="shared" si="414"/>
        <v>12</v>
      </c>
      <c r="O100" s="190">
        <f t="shared" si="414"/>
        <v>15</v>
      </c>
      <c r="P100" s="191">
        <f t="shared" si="415"/>
        <v>0</v>
      </c>
      <c r="Q100" s="189">
        <f t="shared" si="416"/>
        <v>4</v>
      </c>
      <c r="R100" s="189">
        <f t="shared" si="416"/>
        <v>7</v>
      </c>
      <c r="S100" s="190">
        <f t="shared" si="416"/>
        <v>12</v>
      </c>
      <c r="T100" s="191">
        <f t="shared" si="417"/>
        <v>5</v>
      </c>
      <c r="U100" s="189">
        <f t="shared" si="418"/>
        <v>11</v>
      </c>
      <c r="V100" s="189">
        <f t="shared" si="418"/>
        <v>18</v>
      </c>
      <c r="W100" s="190">
        <f t="shared" si="418"/>
        <v>25</v>
      </c>
      <c r="X100" s="191">
        <f t="shared" si="419"/>
        <v>7</v>
      </c>
      <c r="Y100" s="189">
        <f t="shared" si="420"/>
        <v>16</v>
      </c>
      <c r="Z100" s="189">
        <f t="shared" si="420"/>
        <v>27</v>
      </c>
      <c r="AA100" s="190">
        <f t="shared" si="420"/>
        <v>38</v>
      </c>
      <c r="AB100" s="191">
        <f t="shared" si="421"/>
        <v>11</v>
      </c>
      <c r="AC100" s="189">
        <f t="shared" si="422"/>
        <v>24</v>
      </c>
      <c r="AD100" s="189">
        <f t="shared" si="422"/>
        <v>39</v>
      </c>
      <c r="AE100" s="190">
        <f t="shared" si="422"/>
        <v>53</v>
      </c>
      <c r="AF100" s="191">
        <f t="shared" si="423"/>
        <v>17</v>
      </c>
      <c r="AG100" s="189">
        <f t="shared" si="424"/>
        <v>35</v>
      </c>
      <c r="AH100" s="189">
        <f t="shared" si="424"/>
        <v>55</v>
      </c>
      <c r="AI100" s="190">
        <f t="shared" si="424"/>
        <v>77</v>
      </c>
      <c r="AJ100" s="191">
        <f t="shared" si="425"/>
        <v>24</v>
      </c>
      <c r="AK100" s="189">
        <f t="shared" si="426"/>
        <v>54</v>
      </c>
      <c r="AL100" s="189">
        <f t="shared" si="426"/>
        <v>109</v>
      </c>
      <c r="AM100" s="190">
        <f t="shared" si="426"/>
        <v>163</v>
      </c>
      <c r="AN100" s="191">
        <f t="shared" si="427"/>
        <v>49</v>
      </c>
      <c r="AO100" s="189">
        <f t="shared" si="428"/>
        <v>106</v>
      </c>
      <c r="AP100" s="189">
        <f t="shared" si="428"/>
        <v>169</v>
      </c>
      <c r="AQ100" s="190">
        <f t="shared" si="428"/>
        <v>232</v>
      </c>
      <c r="AR100" s="191">
        <f t="shared" si="429"/>
        <v>57</v>
      </c>
      <c r="AS100" s="189">
        <f t="shared" si="430"/>
        <v>255</v>
      </c>
      <c r="AT100" s="189">
        <f t="shared" si="430"/>
        <v>474</v>
      </c>
      <c r="AU100" s="190">
        <f t="shared" si="430"/>
        <v>679</v>
      </c>
      <c r="AV100" s="191">
        <f t="shared" si="431"/>
        <v>202</v>
      </c>
      <c r="AW100" s="189">
        <f t="shared" si="430"/>
        <v>418</v>
      </c>
      <c r="AX100" s="189">
        <f t="shared" si="432"/>
        <v>669</v>
      </c>
      <c r="AY100" s="190">
        <f t="shared" si="432"/>
        <v>921</v>
      </c>
      <c r="AZ100" s="191">
        <f t="shared" si="433"/>
        <v>299</v>
      </c>
      <c r="BA100" s="189">
        <f t="shared" si="434"/>
        <v>604</v>
      </c>
      <c r="BB100" s="189">
        <f t="shared" si="434"/>
        <v>914</v>
      </c>
      <c r="BC100" s="190">
        <f t="shared" si="434"/>
        <v>1229</v>
      </c>
      <c r="BD100" s="191">
        <f t="shared" si="435"/>
        <v>317.75</v>
      </c>
      <c r="BE100" s="189">
        <f t="shared" si="436"/>
        <v>639</v>
      </c>
      <c r="BF100" s="189">
        <f t="shared" si="437"/>
        <v>963.75</v>
      </c>
      <c r="BG100" s="190">
        <f t="shared" si="438"/>
        <v>1292</v>
      </c>
      <c r="BH100" s="191">
        <f t="shared" si="435"/>
        <v>331</v>
      </c>
      <c r="BI100" s="189">
        <f t="shared" si="439"/>
        <v>665.5</v>
      </c>
      <c r="BJ100" s="189">
        <f t="shared" si="440"/>
        <v>1003.5</v>
      </c>
      <c r="BK100" s="190">
        <f t="shared" si="441"/>
        <v>1345</v>
      </c>
      <c r="BL100" s="166"/>
      <c r="BM100" s="191">
        <f t="shared" ref="BM100:BM109" si="461">G100</f>
        <v>7</v>
      </c>
      <c r="BN100" s="189">
        <f t="shared" ref="BN100:BN109" si="462">K100</f>
        <v>12</v>
      </c>
      <c r="BO100" s="189">
        <f t="shared" ref="BO100:BO109" si="463">O100</f>
        <v>15</v>
      </c>
      <c r="BP100" s="189">
        <f t="shared" ref="BP100:BP109" si="464">S100</f>
        <v>12</v>
      </c>
      <c r="BQ100" s="189">
        <f t="shared" si="442"/>
        <v>25</v>
      </c>
      <c r="BR100" s="190">
        <f t="shared" si="443"/>
        <v>38</v>
      </c>
      <c r="BS100" s="189">
        <f t="shared" si="444"/>
        <v>53</v>
      </c>
      <c r="BT100" s="189">
        <f t="shared" si="445"/>
        <v>77</v>
      </c>
      <c r="BU100" s="189">
        <f t="shared" si="446"/>
        <v>163</v>
      </c>
      <c r="BV100" s="189">
        <f t="shared" si="447"/>
        <v>232</v>
      </c>
      <c r="BW100" s="189">
        <f t="shared" si="448"/>
        <v>679</v>
      </c>
      <c r="BX100" s="189">
        <f t="shared" si="449"/>
        <v>921</v>
      </c>
      <c r="BY100" s="189">
        <f t="shared" si="450"/>
        <v>1229</v>
      </c>
      <c r="BZ100" s="189">
        <f t="shared" si="451"/>
        <v>1292</v>
      </c>
      <c r="CA100" s="190">
        <f t="shared" si="452"/>
        <v>1345</v>
      </c>
      <c r="CB100" s="19"/>
      <c r="CC100" s="191">
        <f t="shared" ref="CC100:CN100" si="465">CC15</f>
        <v>12</v>
      </c>
      <c r="CD100" s="189">
        <f t="shared" si="465"/>
        <v>9</v>
      </c>
      <c r="CE100" s="189">
        <f t="shared" si="465"/>
        <v>8</v>
      </c>
      <c r="CF100" s="189">
        <f t="shared" si="465"/>
        <v>17</v>
      </c>
      <c r="CG100" s="189">
        <f t="shared" si="465"/>
        <v>27</v>
      </c>
      <c r="CH100" s="189">
        <f t="shared" si="465"/>
        <v>42</v>
      </c>
      <c r="CI100" s="189">
        <f t="shared" si="465"/>
        <v>59</v>
      </c>
      <c r="CJ100" s="189">
        <f t="shared" si="465"/>
        <v>84</v>
      </c>
      <c r="CK100" s="189">
        <f t="shared" si="465"/>
        <v>188</v>
      </c>
      <c r="CL100" s="189">
        <f t="shared" si="465"/>
        <v>240</v>
      </c>
      <c r="CM100" s="189">
        <f t="shared" si="465"/>
        <v>824</v>
      </c>
      <c r="CN100" s="189">
        <f t="shared" si="465"/>
        <v>1018</v>
      </c>
      <c r="CO100" s="189">
        <f t="shared" ref="CO100:CP100" si="466">CO15</f>
        <v>1247.75</v>
      </c>
      <c r="CP100" s="190">
        <f t="shared" si="466"/>
        <v>1305.25</v>
      </c>
      <c r="CQ100" s="7"/>
    </row>
    <row r="101" spans="1:95" ht="14.25" customHeight="1" outlineLevel="1">
      <c r="A101" s="7"/>
      <c r="B101" s="48" t="s">
        <v>148</v>
      </c>
      <c r="C101" s="49"/>
      <c r="D101" s="191">
        <f t="shared" si="409"/>
        <v>0</v>
      </c>
      <c r="E101" s="189">
        <f t="shared" si="410"/>
        <v>0</v>
      </c>
      <c r="F101" s="189">
        <f t="shared" si="410"/>
        <v>0</v>
      </c>
      <c r="G101" s="190">
        <f t="shared" si="410"/>
        <v>0</v>
      </c>
      <c r="H101" s="191">
        <f t="shared" si="411"/>
        <v>0</v>
      </c>
      <c r="I101" s="189">
        <f t="shared" si="412"/>
        <v>0</v>
      </c>
      <c r="J101" s="189">
        <f t="shared" si="412"/>
        <v>0</v>
      </c>
      <c r="K101" s="190">
        <f t="shared" si="412"/>
        <v>0</v>
      </c>
      <c r="L101" s="191">
        <f t="shared" si="413"/>
        <v>0</v>
      </c>
      <c r="M101" s="189">
        <f t="shared" si="414"/>
        <v>0</v>
      </c>
      <c r="N101" s="189">
        <f t="shared" si="414"/>
        <v>0</v>
      </c>
      <c r="O101" s="190">
        <f t="shared" si="414"/>
        <v>0</v>
      </c>
      <c r="P101" s="191">
        <f t="shared" si="415"/>
        <v>0</v>
      </c>
      <c r="Q101" s="189">
        <f t="shared" si="416"/>
        <v>0</v>
      </c>
      <c r="R101" s="189">
        <f t="shared" si="416"/>
        <v>0</v>
      </c>
      <c r="S101" s="190">
        <f t="shared" si="416"/>
        <v>0</v>
      </c>
      <c r="T101" s="191">
        <f t="shared" si="417"/>
        <v>0</v>
      </c>
      <c r="U101" s="189">
        <f t="shared" si="418"/>
        <v>0</v>
      </c>
      <c r="V101" s="189">
        <f t="shared" si="418"/>
        <v>0</v>
      </c>
      <c r="W101" s="190">
        <f t="shared" si="418"/>
        <v>0</v>
      </c>
      <c r="X101" s="191">
        <f t="shared" si="419"/>
        <v>0</v>
      </c>
      <c r="Y101" s="189">
        <f t="shared" si="420"/>
        <v>0</v>
      </c>
      <c r="Z101" s="189">
        <f t="shared" si="420"/>
        <v>0</v>
      </c>
      <c r="AA101" s="190">
        <f t="shared" si="420"/>
        <v>0</v>
      </c>
      <c r="AB101" s="191">
        <f t="shared" si="421"/>
        <v>0</v>
      </c>
      <c r="AC101" s="189">
        <f t="shared" si="422"/>
        <v>1</v>
      </c>
      <c r="AD101" s="189">
        <f t="shared" si="422"/>
        <v>4</v>
      </c>
      <c r="AE101" s="190">
        <f t="shared" si="422"/>
        <v>4</v>
      </c>
      <c r="AF101" s="191">
        <f t="shared" si="423"/>
        <v>0</v>
      </c>
      <c r="AG101" s="189">
        <f t="shared" si="424"/>
        <v>0</v>
      </c>
      <c r="AH101" s="189">
        <f t="shared" si="424"/>
        <v>3</v>
      </c>
      <c r="AI101" s="190">
        <f t="shared" si="424"/>
        <v>-11</v>
      </c>
      <c r="AJ101" s="191">
        <f t="shared" si="425"/>
        <v>-3</v>
      </c>
      <c r="AK101" s="189">
        <f t="shared" si="426"/>
        <v>-3</v>
      </c>
      <c r="AL101" s="189">
        <f t="shared" si="426"/>
        <v>-4</v>
      </c>
      <c r="AM101" s="190">
        <f t="shared" si="426"/>
        <v>-1</v>
      </c>
      <c r="AN101" s="191">
        <f t="shared" si="427"/>
        <v>1</v>
      </c>
      <c r="AO101" s="189">
        <f t="shared" si="428"/>
        <v>-49</v>
      </c>
      <c r="AP101" s="189">
        <f t="shared" si="428"/>
        <v>-49</v>
      </c>
      <c r="AQ101" s="190">
        <f t="shared" si="428"/>
        <v>-47</v>
      </c>
      <c r="AR101" s="191">
        <f t="shared" si="429"/>
        <v>-23</v>
      </c>
      <c r="AS101" s="189">
        <f t="shared" si="430"/>
        <v>-58</v>
      </c>
      <c r="AT101" s="189">
        <f t="shared" si="430"/>
        <v>-68</v>
      </c>
      <c r="AU101" s="190">
        <f t="shared" si="430"/>
        <v>-89</v>
      </c>
      <c r="AV101" s="191">
        <f t="shared" si="431"/>
        <v>0</v>
      </c>
      <c r="AW101" s="189">
        <f t="shared" si="430"/>
        <v>0</v>
      </c>
      <c r="AX101" s="189">
        <f t="shared" si="432"/>
        <v>0</v>
      </c>
      <c r="AY101" s="190">
        <f t="shared" si="432"/>
        <v>0</v>
      </c>
      <c r="AZ101" s="191">
        <f t="shared" si="433"/>
        <v>0</v>
      </c>
      <c r="BA101" s="189">
        <f t="shared" si="434"/>
        <v>0</v>
      </c>
      <c r="BB101" s="189">
        <f t="shared" si="434"/>
        <v>0</v>
      </c>
      <c r="BC101" s="190">
        <f t="shared" si="434"/>
        <v>0</v>
      </c>
      <c r="BD101" s="191">
        <f t="shared" si="435"/>
        <v>0</v>
      </c>
      <c r="BE101" s="189">
        <f t="shared" si="436"/>
        <v>0</v>
      </c>
      <c r="BF101" s="189">
        <f t="shared" si="437"/>
        <v>0</v>
      </c>
      <c r="BG101" s="190">
        <f t="shared" si="438"/>
        <v>0</v>
      </c>
      <c r="BH101" s="191">
        <f t="shared" si="435"/>
        <v>0</v>
      </c>
      <c r="BI101" s="189">
        <f t="shared" si="439"/>
        <v>0</v>
      </c>
      <c r="BJ101" s="189">
        <f t="shared" si="440"/>
        <v>0</v>
      </c>
      <c r="BK101" s="190">
        <f t="shared" si="441"/>
        <v>0</v>
      </c>
      <c r="BL101" s="166"/>
      <c r="BM101" s="191">
        <f t="shared" si="461"/>
        <v>0</v>
      </c>
      <c r="BN101" s="189">
        <f t="shared" si="462"/>
        <v>0</v>
      </c>
      <c r="BO101" s="189">
        <f t="shared" si="463"/>
        <v>0</v>
      </c>
      <c r="BP101" s="189">
        <f t="shared" si="464"/>
        <v>0</v>
      </c>
      <c r="BQ101" s="189">
        <f t="shared" si="442"/>
        <v>0</v>
      </c>
      <c r="BR101" s="190">
        <f t="shared" si="443"/>
        <v>0</v>
      </c>
      <c r="BS101" s="189">
        <f t="shared" si="444"/>
        <v>4</v>
      </c>
      <c r="BT101" s="189">
        <f t="shared" si="445"/>
        <v>-11</v>
      </c>
      <c r="BU101" s="189">
        <f t="shared" si="446"/>
        <v>-1</v>
      </c>
      <c r="BV101" s="189">
        <f t="shared" si="447"/>
        <v>-47</v>
      </c>
      <c r="BW101" s="189">
        <f t="shared" si="448"/>
        <v>-89</v>
      </c>
      <c r="BX101" s="189">
        <f t="shared" si="449"/>
        <v>0</v>
      </c>
      <c r="BY101" s="189">
        <f t="shared" si="450"/>
        <v>0</v>
      </c>
      <c r="BZ101" s="189">
        <f t="shared" si="451"/>
        <v>0</v>
      </c>
      <c r="CA101" s="190">
        <f t="shared" si="452"/>
        <v>0</v>
      </c>
      <c r="CB101" s="19"/>
      <c r="CC101" s="191">
        <f t="shared" ref="CC101:CN101" si="467">CC16</f>
        <v>0</v>
      </c>
      <c r="CD101" s="189">
        <f t="shared" si="467"/>
        <v>0</v>
      </c>
      <c r="CE101" s="189">
        <f t="shared" si="467"/>
        <v>0</v>
      </c>
      <c r="CF101" s="189">
        <f t="shared" si="467"/>
        <v>0</v>
      </c>
      <c r="CG101" s="189">
        <f t="shared" si="467"/>
        <v>0</v>
      </c>
      <c r="CH101" s="189">
        <f t="shared" si="467"/>
        <v>0</v>
      </c>
      <c r="CI101" s="189">
        <f t="shared" si="467"/>
        <v>4</v>
      </c>
      <c r="CJ101" s="189">
        <f t="shared" si="467"/>
        <v>-14</v>
      </c>
      <c r="CK101" s="189">
        <f t="shared" si="467"/>
        <v>3</v>
      </c>
      <c r="CL101" s="189">
        <f t="shared" si="467"/>
        <v>-71</v>
      </c>
      <c r="CM101" s="189">
        <f t="shared" si="467"/>
        <v>-66</v>
      </c>
      <c r="CN101" s="189">
        <f t="shared" si="467"/>
        <v>0</v>
      </c>
      <c r="CO101" s="189">
        <f t="shared" ref="CO101:CP101" si="468">CO16</f>
        <v>0</v>
      </c>
      <c r="CP101" s="190">
        <f t="shared" si="468"/>
        <v>0</v>
      </c>
      <c r="CQ101" s="7"/>
    </row>
    <row r="102" spans="1:95" ht="14.25" customHeight="1" outlineLevel="1">
      <c r="A102" s="10"/>
      <c r="B102" s="48" t="s">
        <v>73</v>
      </c>
      <c r="C102" s="49"/>
      <c r="D102" s="191">
        <f t="shared" si="409"/>
        <v>2</v>
      </c>
      <c r="E102" s="189">
        <f t="shared" si="410"/>
        <v>2</v>
      </c>
      <c r="F102" s="189">
        <f t="shared" si="410"/>
        <v>2</v>
      </c>
      <c r="G102" s="190">
        <f t="shared" si="410"/>
        <v>2</v>
      </c>
      <c r="H102" s="191">
        <f t="shared" si="411"/>
        <v>-48</v>
      </c>
      <c r="I102" s="189">
        <f t="shared" si="412"/>
        <v>-58</v>
      </c>
      <c r="J102" s="189">
        <f t="shared" si="412"/>
        <v>102</v>
      </c>
      <c r="K102" s="190">
        <f t="shared" si="412"/>
        <v>102</v>
      </c>
      <c r="L102" s="191">
        <f t="shared" si="413"/>
        <v>-9</v>
      </c>
      <c r="M102" s="189">
        <f t="shared" si="414"/>
        <v>-9</v>
      </c>
      <c r="N102" s="189">
        <f t="shared" si="414"/>
        <v>-34</v>
      </c>
      <c r="O102" s="190">
        <f t="shared" si="414"/>
        <v>-27</v>
      </c>
      <c r="P102" s="191">
        <f t="shared" si="415"/>
        <v>0</v>
      </c>
      <c r="Q102" s="189">
        <f t="shared" si="416"/>
        <v>3</v>
      </c>
      <c r="R102" s="189">
        <f t="shared" si="416"/>
        <v>3</v>
      </c>
      <c r="S102" s="190">
        <f t="shared" si="416"/>
        <v>3</v>
      </c>
      <c r="T102" s="191">
        <f t="shared" si="417"/>
        <v>0</v>
      </c>
      <c r="U102" s="189">
        <f t="shared" si="418"/>
        <v>-1</v>
      </c>
      <c r="V102" s="189">
        <f t="shared" si="418"/>
        <v>-1</v>
      </c>
      <c r="W102" s="190">
        <f t="shared" si="418"/>
        <v>-1</v>
      </c>
      <c r="X102" s="191">
        <f t="shared" si="419"/>
        <v>6</v>
      </c>
      <c r="Y102" s="189">
        <f t="shared" si="420"/>
        <v>6</v>
      </c>
      <c r="Z102" s="189">
        <f t="shared" si="420"/>
        <v>6</v>
      </c>
      <c r="AA102" s="190">
        <f t="shared" si="420"/>
        <v>6</v>
      </c>
      <c r="AB102" s="191">
        <f t="shared" si="421"/>
        <v>2</v>
      </c>
      <c r="AC102" s="189">
        <f t="shared" si="422"/>
        <v>2</v>
      </c>
      <c r="AD102" s="189">
        <f t="shared" si="422"/>
        <v>2</v>
      </c>
      <c r="AE102" s="190">
        <f t="shared" si="422"/>
        <v>2</v>
      </c>
      <c r="AF102" s="191">
        <f t="shared" si="423"/>
        <v>-2</v>
      </c>
      <c r="AG102" s="189">
        <f t="shared" si="424"/>
        <v>-1</v>
      </c>
      <c r="AH102" s="189">
        <f t="shared" si="424"/>
        <v>-1</v>
      </c>
      <c r="AI102" s="190">
        <f t="shared" si="424"/>
        <v>6</v>
      </c>
      <c r="AJ102" s="191">
        <f t="shared" si="425"/>
        <v>1</v>
      </c>
      <c r="AK102" s="189">
        <f t="shared" si="426"/>
        <v>1</v>
      </c>
      <c r="AL102" s="189">
        <f t="shared" si="426"/>
        <v>11</v>
      </c>
      <c r="AM102" s="190">
        <f t="shared" si="426"/>
        <v>-6</v>
      </c>
      <c r="AN102" s="191">
        <f t="shared" si="427"/>
        <v>-9</v>
      </c>
      <c r="AO102" s="189">
        <f t="shared" si="428"/>
        <v>60</v>
      </c>
      <c r="AP102" s="189">
        <f t="shared" si="428"/>
        <v>98</v>
      </c>
      <c r="AQ102" s="190">
        <f t="shared" si="428"/>
        <v>-49</v>
      </c>
      <c r="AR102" s="191">
        <f t="shared" si="429"/>
        <v>18</v>
      </c>
      <c r="AS102" s="189">
        <f t="shared" si="430"/>
        <v>-72</v>
      </c>
      <c r="AT102" s="189">
        <f t="shared" si="430"/>
        <v>-44</v>
      </c>
      <c r="AU102" s="190">
        <f t="shared" si="430"/>
        <v>1121</v>
      </c>
      <c r="AV102" s="191">
        <f t="shared" si="431"/>
        <v>133</v>
      </c>
      <c r="AW102" s="189">
        <f t="shared" si="430"/>
        <v>73</v>
      </c>
      <c r="AX102" s="189">
        <f t="shared" si="432"/>
        <v>112</v>
      </c>
      <c r="AY102" s="190">
        <f t="shared" si="432"/>
        <v>64</v>
      </c>
      <c r="AZ102" s="191">
        <f t="shared" si="433"/>
        <v>-5824</v>
      </c>
      <c r="BA102" s="189">
        <f t="shared" si="434"/>
        <v>-5824</v>
      </c>
      <c r="BB102" s="189">
        <f t="shared" si="434"/>
        <v>-5824</v>
      </c>
      <c r="BC102" s="190">
        <f t="shared" si="434"/>
        <v>-5824</v>
      </c>
      <c r="BD102" s="191">
        <f t="shared" si="435"/>
        <v>0</v>
      </c>
      <c r="BE102" s="189">
        <f t="shared" si="436"/>
        <v>0</v>
      </c>
      <c r="BF102" s="189">
        <f t="shared" si="437"/>
        <v>0</v>
      </c>
      <c r="BG102" s="190">
        <f t="shared" si="438"/>
        <v>0</v>
      </c>
      <c r="BH102" s="191">
        <f t="shared" si="435"/>
        <v>0</v>
      </c>
      <c r="BI102" s="189">
        <f t="shared" si="439"/>
        <v>0</v>
      </c>
      <c r="BJ102" s="189">
        <f t="shared" si="440"/>
        <v>0</v>
      </c>
      <c r="BK102" s="190">
        <f t="shared" si="441"/>
        <v>0</v>
      </c>
      <c r="BL102" s="166"/>
      <c r="BM102" s="191">
        <f t="shared" si="461"/>
        <v>2</v>
      </c>
      <c r="BN102" s="189">
        <f t="shared" si="462"/>
        <v>102</v>
      </c>
      <c r="BO102" s="189">
        <f t="shared" si="463"/>
        <v>-27</v>
      </c>
      <c r="BP102" s="189">
        <f t="shared" si="464"/>
        <v>3</v>
      </c>
      <c r="BQ102" s="189">
        <f t="shared" si="442"/>
        <v>-1</v>
      </c>
      <c r="BR102" s="190">
        <f t="shared" si="443"/>
        <v>6</v>
      </c>
      <c r="BS102" s="189">
        <f t="shared" si="444"/>
        <v>2</v>
      </c>
      <c r="BT102" s="189">
        <f t="shared" si="445"/>
        <v>6</v>
      </c>
      <c r="BU102" s="189">
        <f t="shared" si="446"/>
        <v>-6</v>
      </c>
      <c r="BV102" s="189">
        <f t="shared" si="447"/>
        <v>-49</v>
      </c>
      <c r="BW102" s="189">
        <f t="shared" si="448"/>
        <v>1121</v>
      </c>
      <c r="BX102" s="189">
        <f t="shared" si="449"/>
        <v>64</v>
      </c>
      <c r="BY102" s="189">
        <f t="shared" si="450"/>
        <v>-5824</v>
      </c>
      <c r="BZ102" s="189">
        <f t="shared" si="451"/>
        <v>0</v>
      </c>
      <c r="CA102" s="190">
        <f t="shared" si="452"/>
        <v>0</v>
      </c>
      <c r="CB102" s="166"/>
      <c r="CC102" s="191">
        <f t="shared" ref="CC102:CN102" si="469">CC17</f>
        <v>-48</v>
      </c>
      <c r="CD102" s="189">
        <f t="shared" si="469"/>
        <v>141</v>
      </c>
      <c r="CE102" s="189">
        <f t="shared" si="469"/>
        <v>-18</v>
      </c>
      <c r="CF102" s="189">
        <f t="shared" si="469"/>
        <v>3</v>
      </c>
      <c r="CG102" s="189">
        <f t="shared" si="469"/>
        <v>5</v>
      </c>
      <c r="CH102" s="189">
        <f t="shared" si="469"/>
        <v>2</v>
      </c>
      <c r="CI102" s="189">
        <f t="shared" si="469"/>
        <v>-2</v>
      </c>
      <c r="CJ102" s="189">
        <f t="shared" si="469"/>
        <v>9</v>
      </c>
      <c r="CK102" s="189">
        <f t="shared" si="469"/>
        <v>-16</v>
      </c>
      <c r="CL102" s="189">
        <f t="shared" si="469"/>
        <v>-22</v>
      </c>
      <c r="CM102" s="189">
        <f t="shared" si="469"/>
        <v>1236</v>
      </c>
      <c r="CN102" s="189">
        <f t="shared" si="469"/>
        <v>-5893</v>
      </c>
      <c r="CO102" s="189">
        <f t="shared" ref="CO102:CP102" si="470">CO17</f>
        <v>0</v>
      </c>
      <c r="CP102" s="190">
        <f t="shared" si="470"/>
        <v>0</v>
      </c>
      <c r="CQ102" s="10"/>
    </row>
    <row r="103" spans="1:95" ht="14.25" customHeight="1" outlineLevel="1">
      <c r="A103" s="7"/>
      <c r="B103" s="27" t="s">
        <v>74</v>
      </c>
      <c r="C103" s="28"/>
      <c r="D103" s="191"/>
      <c r="E103" s="189"/>
      <c r="F103" s="189"/>
      <c r="G103" s="190"/>
      <c r="H103" s="191"/>
      <c r="I103" s="189"/>
      <c r="J103" s="189"/>
      <c r="K103" s="190"/>
      <c r="L103" s="191"/>
      <c r="M103" s="189"/>
      <c r="N103" s="189"/>
      <c r="O103" s="190"/>
      <c r="P103" s="191"/>
      <c r="Q103" s="189"/>
      <c r="R103" s="189"/>
      <c r="S103" s="190"/>
      <c r="T103" s="191"/>
      <c r="U103" s="189"/>
      <c r="V103" s="189"/>
      <c r="W103" s="190"/>
      <c r="X103" s="191"/>
      <c r="Y103" s="189"/>
      <c r="Z103" s="189"/>
      <c r="AA103" s="190"/>
      <c r="AB103" s="191"/>
      <c r="AC103" s="189"/>
      <c r="AD103" s="189"/>
      <c r="AE103" s="190"/>
      <c r="AF103" s="191"/>
      <c r="AG103" s="189"/>
      <c r="AH103" s="189"/>
      <c r="AI103" s="190"/>
      <c r="AJ103" s="191"/>
      <c r="AK103" s="189"/>
      <c r="AL103" s="189"/>
      <c r="AM103" s="190"/>
      <c r="AN103" s="191"/>
      <c r="AO103" s="189"/>
      <c r="AP103" s="189"/>
      <c r="AQ103" s="190"/>
      <c r="AR103" s="191"/>
      <c r="AS103" s="189"/>
      <c r="AT103" s="189"/>
      <c r="AU103" s="190"/>
      <c r="AV103" s="191"/>
      <c r="AW103" s="189"/>
      <c r="AX103" s="189"/>
      <c r="AY103" s="190"/>
      <c r="AZ103" s="191"/>
      <c r="BA103" s="189"/>
      <c r="BB103" s="189"/>
      <c r="BC103" s="190"/>
      <c r="BD103" s="191"/>
      <c r="BE103" s="189"/>
      <c r="BF103" s="189"/>
      <c r="BG103" s="190"/>
      <c r="BH103" s="191"/>
      <c r="BI103" s="189"/>
      <c r="BJ103" s="189"/>
      <c r="BK103" s="190"/>
      <c r="BL103" s="166"/>
      <c r="BM103" s="191"/>
      <c r="BN103" s="189"/>
      <c r="BO103" s="189"/>
      <c r="BP103" s="189"/>
      <c r="BQ103" s="189"/>
      <c r="BR103" s="190"/>
      <c r="BS103" s="189"/>
      <c r="BT103" s="189"/>
      <c r="BU103" s="189"/>
      <c r="BV103" s="189"/>
      <c r="BW103" s="189"/>
      <c r="BX103" s="189"/>
      <c r="BY103" s="189"/>
      <c r="BZ103" s="189"/>
      <c r="CA103" s="190">
        <f t="shared" si="452"/>
        <v>0</v>
      </c>
      <c r="CB103" s="19"/>
      <c r="CC103" s="191">
        <f t="shared" ref="CC103:CN103" si="471">CC18</f>
        <v>0</v>
      </c>
      <c r="CD103" s="189">
        <f t="shared" si="471"/>
        <v>0</v>
      </c>
      <c r="CE103" s="189">
        <f t="shared" si="471"/>
        <v>0</v>
      </c>
      <c r="CF103" s="189">
        <f t="shared" si="471"/>
        <v>0</v>
      </c>
      <c r="CG103" s="189">
        <f t="shared" si="471"/>
        <v>0</v>
      </c>
      <c r="CH103" s="189">
        <f t="shared" si="471"/>
        <v>0</v>
      </c>
      <c r="CI103" s="189">
        <f t="shared" si="471"/>
        <v>0</v>
      </c>
      <c r="CJ103" s="189">
        <f t="shared" si="471"/>
        <v>0</v>
      </c>
      <c r="CK103" s="189">
        <f t="shared" si="471"/>
        <v>0</v>
      </c>
      <c r="CL103" s="189">
        <f t="shared" si="471"/>
        <v>0</v>
      </c>
      <c r="CM103" s="189">
        <f t="shared" si="471"/>
        <v>0</v>
      </c>
      <c r="CN103" s="189">
        <f t="shared" si="471"/>
        <v>0</v>
      </c>
      <c r="CO103" s="189">
        <f t="shared" ref="CO103:CP103" si="472">CO18</f>
        <v>0</v>
      </c>
      <c r="CP103" s="190">
        <f t="shared" si="472"/>
        <v>0</v>
      </c>
      <c r="CQ103" s="7"/>
    </row>
    <row r="104" spans="1:95" ht="14.25" customHeight="1" outlineLevel="1">
      <c r="A104" s="7"/>
      <c r="B104" s="48" t="s">
        <v>75</v>
      </c>
      <c r="C104" s="49"/>
      <c r="D104" s="191">
        <f t="shared" ref="D104:D109" si="473">D19</f>
        <v>50</v>
      </c>
      <c r="E104" s="189">
        <f t="shared" ref="E104:G109" si="474">D104+E19</f>
        <v>103</v>
      </c>
      <c r="F104" s="189">
        <f t="shared" si="474"/>
        <v>129</v>
      </c>
      <c r="G104" s="190">
        <f t="shared" si="474"/>
        <v>137</v>
      </c>
      <c r="H104" s="191">
        <f t="shared" ref="H104:H109" si="475">H19</f>
        <v>11</v>
      </c>
      <c r="I104" s="189">
        <f t="shared" ref="I104:K109" si="476">H104+I19</f>
        <v>-19</v>
      </c>
      <c r="J104" s="189">
        <f t="shared" si="476"/>
        <v>-32</v>
      </c>
      <c r="K104" s="190">
        <f t="shared" si="476"/>
        <v>-31</v>
      </c>
      <c r="L104" s="191">
        <f t="shared" ref="L104:L109" si="477">L19</f>
        <v>-13</v>
      </c>
      <c r="M104" s="189">
        <f t="shared" ref="M104:O109" si="478">L104+M19</f>
        <v>9</v>
      </c>
      <c r="N104" s="189">
        <f t="shared" si="478"/>
        <v>9</v>
      </c>
      <c r="O104" s="190">
        <f t="shared" si="478"/>
        <v>38</v>
      </c>
      <c r="P104" s="191">
        <f t="shared" ref="P104:P109" si="479">P19</f>
        <v>0</v>
      </c>
      <c r="Q104" s="189">
        <f t="shared" ref="Q104:S109" si="480">P104+Q19</f>
        <v>1</v>
      </c>
      <c r="R104" s="189">
        <f t="shared" si="480"/>
        <v>8</v>
      </c>
      <c r="S104" s="190">
        <f t="shared" si="480"/>
        <v>0</v>
      </c>
      <c r="T104" s="191">
        <f t="shared" ref="T104:T109" si="481">T19</f>
        <v>-17</v>
      </c>
      <c r="U104" s="189">
        <f t="shared" ref="U104:W109" si="482">T104+U19</f>
        <v>-63</v>
      </c>
      <c r="V104" s="189">
        <f t="shared" si="482"/>
        <v>-90</v>
      </c>
      <c r="W104" s="190">
        <f t="shared" si="482"/>
        <v>-96</v>
      </c>
      <c r="X104" s="191">
        <f t="shared" ref="X104:X109" si="483">X19</f>
        <v>-5</v>
      </c>
      <c r="Y104" s="189">
        <f t="shared" ref="Y104:AA109" si="484">X104+Y19</f>
        <v>-3</v>
      </c>
      <c r="Z104" s="189">
        <f t="shared" si="484"/>
        <v>1</v>
      </c>
      <c r="AA104" s="190">
        <f t="shared" si="484"/>
        <v>-42</v>
      </c>
      <c r="AB104" s="191">
        <f t="shared" ref="AB104:AB109" si="485">AB19</f>
        <v>20</v>
      </c>
      <c r="AC104" s="189">
        <f t="shared" ref="AC104:AE109" si="486">AB104+AC19</f>
        <v>54</v>
      </c>
      <c r="AD104" s="189">
        <f t="shared" si="486"/>
        <v>-2</v>
      </c>
      <c r="AE104" s="190">
        <f t="shared" si="486"/>
        <v>-13</v>
      </c>
      <c r="AF104" s="191">
        <f t="shared" ref="AF104:AF109" si="487">AF19</f>
        <v>75</v>
      </c>
      <c r="AG104" s="189">
        <f t="shared" ref="AG104:AI109" si="488">AF104+AG19</f>
        <v>70</v>
      </c>
      <c r="AH104" s="189">
        <f t="shared" si="488"/>
        <v>27</v>
      </c>
      <c r="AI104" s="190">
        <f t="shared" si="488"/>
        <v>-26</v>
      </c>
      <c r="AJ104" s="191">
        <f t="shared" ref="AJ104:AJ109" si="489">AJ19</f>
        <v>95</v>
      </c>
      <c r="AK104" s="189">
        <f t="shared" ref="AK104:AM109" si="490">AJ104+AK19</f>
        <v>99</v>
      </c>
      <c r="AL104" s="189">
        <f t="shared" si="490"/>
        <v>110</v>
      </c>
      <c r="AM104" s="190">
        <f t="shared" si="490"/>
        <v>-70</v>
      </c>
      <c r="AN104" s="191">
        <f t="shared" ref="AN104:AN109" si="491">AN19</f>
        <v>64</v>
      </c>
      <c r="AO104" s="189">
        <f t="shared" ref="AO104:AQ109" si="492">AN104+AO19</f>
        <v>24</v>
      </c>
      <c r="AP104" s="189">
        <f t="shared" si="492"/>
        <v>22</v>
      </c>
      <c r="AQ104" s="190">
        <f t="shared" si="492"/>
        <v>-187</v>
      </c>
      <c r="AR104" s="191">
        <f t="shared" ref="AR104:AR109" si="493">AR19</f>
        <v>-41</v>
      </c>
      <c r="AS104" s="189">
        <f t="shared" ref="AS104:AW109" si="494">AR104+AS19</f>
        <v>-169</v>
      </c>
      <c r="AT104" s="189">
        <f t="shared" si="494"/>
        <v>-491</v>
      </c>
      <c r="AU104" s="190">
        <f t="shared" si="494"/>
        <v>-491</v>
      </c>
      <c r="AV104" s="191">
        <f t="shared" ref="AV104:AV109" si="495">AV19</f>
        <v>234</v>
      </c>
      <c r="AW104" s="189">
        <f t="shared" si="494"/>
        <v>108</v>
      </c>
      <c r="AX104" s="189">
        <f t="shared" ref="AX104:AY109" si="496">AW104+AX19</f>
        <v>-236</v>
      </c>
      <c r="AY104" s="190">
        <f t="shared" si="496"/>
        <v>-267</v>
      </c>
      <c r="AZ104" s="191">
        <f t="shared" ref="AZ104:AZ109" si="497">AZ19</f>
        <v>199</v>
      </c>
      <c r="BA104" s="189">
        <f t="shared" ref="BA104:BC109" si="498">AZ104+BA19</f>
        <v>208.15822222222187</v>
      </c>
      <c r="BB104" s="189">
        <f t="shared" si="498"/>
        <v>225.60812666666698</v>
      </c>
      <c r="BC104" s="190">
        <f t="shared" si="498"/>
        <v>176.7716491111114</v>
      </c>
      <c r="BD104" s="191">
        <f t="shared" ref="BD104:BH109" si="499">BD19</f>
        <v>111.79272700444426</v>
      </c>
      <c r="BE104" s="189">
        <f t="shared" ref="BE104:BE109" si="500">BD104+BE19</f>
        <v>179.7937076003559</v>
      </c>
      <c r="BF104" s="189">
        <f t="shared" ref="BF104:BF109" si="501">BE104+BF19</f>
        <v>15.794891355086293</v>
      </c>
      <c r="BG104" s="190">
        <f t="shared" ref="BG104:BG109" si="502">BF104+BG19</f>
        <v>-264.39235737249282</v>
      </c>
      <c r="BH104" s="191">
        <f t="shared" si="499"/>
        <v>122.36468035806865</v>
      </c>
      <c r="BI104" s="189">
        <f t="shared" ref="BI104:BI109" si="503">BH104+BI19</f>
        <v>262.74190129567887</v>
      </c>
      <c r="BJ104" s="189">
        <f t="shared" ref="BJ104:BJ109" si="504">BI104+BJ19</f>
        <v>161.94508707424984</v>
      </c>
      <c r="BK104" s="190">
        <f t="shared" ref="BK104:BK109" si="505">BJ104+BK19</f>
        <v>-2.0748910822871949</v>
      </c>
      <c r="BL104" s="166"/>
      <c r="BM104" s="191">
        <f t="shared" si="461"/>
        <v>137</v>
      </c>
      <c r="BN104" s="189">
        <f t="shared" si="462"/>
        <v>-31</v>
      </c>
      <c r="BO104" s="189">
        <f t="shared" si="463"/>
        <v>38</v>
      </c>
      <c r="BP104" s="189">
        <f t="shared" si="464"/>
        <v>0</v>
      </c>
      <c r="BQ104" s="189">
        <f t="shared" ref="BQ104:BQ109" si="506">W104</f>
        <v>-96</v>
      </c>
      <c r="BR104" s="190">
        <f t="shared" ref="BR104:BR109" si="507">AA104</f>
        <v>-42</v>
      </c>
      <c r="BS104" s="189">
        <f t="shared" ref="BS104:BS109" si="508">AE104</f>
        <v>-13</v>
      </c>
      <c r="BT104" s="189">
        <f t="shared" ref="BT104:BT109" si="509">AI104</f>
        <v>-26</v>
      </c>
      <c r="BU104" s="189">
        <f t="shared" ref="BU104:BU109" si="510">AM104</f>
        <v>-70</v>
      </c>
      <c r="BV104" s="189">
        <f t="shared" ref="BV104:BV109" si="511">AQ104</f>
        <v>-187</v>
      </c>
      <c r="BW104" s="189">
        <f t="shared" ref="BW104:BW109" si="512">AU104</f>
        <v>-491</v>
      </c>
      <c r="BX104" s="189">
        <f t="shared" ref="BX104:BX109" si="513">AY104</f>
        <v>-267</v>
      </c>
      <c r="BY104" s="189">
        <f t="shared" ref="BY104:BY109" si="514">BC104</f>
        <v>176.7716491111114</v>
      </c>
      <c r="BZ104" s="189">
        <f t="shared" ref="BZ104:BZ109" si="515">BG104</f>
        <v>-264.39235737249282</v>
      </c>
      <c r="CA104" s="190">
        <f t="shared" si="452"/>
        <v>-2.0748910822871949</v>
      </c>
      <c r="CB104" s="19"/>
      <c r="CC104" s="191">
        <f t="shared" ref="CC104:CN104" si="516">CC19</f>
        <v>98</v>
      </c>
      <c r="CD104" s="189">
        <f t="shared" si="516"/>
        <v>-55</v>
      </c>
      <c r="CE104" s="189">
        <f t="shared" si="516"/>
        <v>51</v>
      </c>
      <c r="CF104" s="189">
        <f t="shared" si="516"/>
        <v>-17</v>
      </c>
      <c r="CG104" s="189">
        <f t="shared" si="516"/>
        <v>-84</v>
      </c>
      <c r="CH104" s="189">
        <f t="shared" si="516"/>
        <v>-17</v>
      </c>
      <c r="CI104" s="189">
        <f t="shared" si="516"/>
        <v>42</v>
      </c>
      <c r="CJ104" s="189">
        <f t="shared" si="516"/>
        <v>-6</v>
      </c>
      <c r="CK104" s="189">
        <f t="shared" si="516"/>
        <v>-101</v>
      </c>
      <c r="CL104" s="189">
        <f t="shared" si="516"/>
        <v>-292</v>
      </c>
      <c r="CM104" s="189">
        <f t="shared" si="516"/>
        <v>-216</v>
      </c>
      <c r="CN104" s="189">
        <f t="shared" si="516"/>
        <v>-302</v>
      </c>
      <c r="CO104" s="189">
        <f t="shared" ref="CO104:CP104" si="517">CO19</f>
        <v>89.56437611555566</v>
      </c>
      <c r="CP104" s="190">
        <f t="shared" si="517"/>
        <v>-253.82040401886843</v>
      </c>
      <c r="CQ104" s="7"/>
    </row>
    <row r="105" spans="1:95" ht="14.25" customHeight="1" outlineLevel="1">
      <c r="A105" s="7"/>
      <c r="B105" s="48" t="s">
        <v>76</v>
      </c>
      <c r="C105" s="49"/>
      <c r="D105" s="191">
        <f t="shared" si="473"/>
        <v>32</v>
      </c>
      <c r="E105" s="189">
        <f t="shared" si="474"/>
        <v>24</v>
      </c>
      <c r="F105" s="189">
        <f t="shared" si="474"/>
        <v>16</v>
      </c>
      <c r="G105" s="190">
        <f t="shared" si="474"/>
        <v>25</v>
      </c>
      <c r="H105" s="191">
        <f t="shared" si="475"/>
        <v>3</v>
      </c>
      <c r="I105" s="189">
        <f t="shared" si="476"/>
        <v>26</v>
      </c>
      <c r="J105" s="189">
        <f t="shared" si="476"/>
        <v>30</v>
      </c>
      <c r="K105" s="190">
        <f t="shared" si="476"/>
        <v>28</v>
      </c>
      <c r="L105" s="191">
        <f t="shared" si="477"/>
        <v>-12</v>
      </c>
      <c r="M105" s="189">
        <f t="shared" si="478"/>
        <v>-25</v>
      </c>
      <c r="N105" s="189">
        <f t="shared" si="478"/>
        <v>-52</v>
      </c>
      <c r="O105" s="190">
        <f t="shared" si="478"/>
        <v>-45</v>
      </c>
      <c r="P105" s="191">
        <f t="shared" si="479"/>
        <v>10</v>
      </c>
      <c r="Q105" s="189">
        <f t="shared" si="480"/>
        <v>38</v>
      </c>
      <c r="R105" s="189">
        <f t="shared" si="480"/>
        <v>36</v>
      </c>
      <c r="S105" s="190">
        <f t="shared" si="480"/>
        <v>27</v>
      </c>
      <c r="T105" s="191">
        <f t="shared" si="481"/>
        <v>-4</v>
      </c>
      <c r="U105" s="189">
        <f t="shared" si="482"/>
        <v>-16</v>
      </c>
      <c r="V105" s="189">
        <f t="shared" si="482"/>
        <v>-22</v>
      </c>
      <c r="W105" s="190">
        <f t="shared" si="482"/>
        <v>-26</v>
      </c>
      <c r="X105" s="191">
        <f t="shared" si="483"/>
        <v>-14</v>
      </c>
      <c r="Y105" s="189">
        <f t="shared" si="484"/>
        <v>-5</v>
      </c>
      <c r="Z105" s="189">
        <f t="shared" si="484"/>
        <v>-11</v>
      </c>
      <c r="AA105" s="190">
        <f t="shared" si="484"/>
        <v>-5</v>
      </c>
      <c r="AB105" s="191">
        <f t="shared" si="485"/>
        <v>1</v>
      </c>
      <c r="AC105" s="189">
        <f t="shared" si="486"/>
        <v>-24</v>
      </c>
      <c r="AD105" s="189">
        <f t="shared" si="486"/>
        <v>-22</v>
      </c>
      <c r="AE105" s="190">
        <f t="shared" si="486"/>
        <v>0</v>
      </c>
      <c r="AF105" s="191">
        <f t="shared" si="487"/>
        <v>-14</v>
      </c>
      <c r="AG105" s="189">
        <f t="shared" si="488"/>
        <v>-34</v>
      </c>
      <c r="AH105" s="189">
        <f t="shared" si="488"/>
        <v>-54</v>
      </c>
      <c r="AI105" s="190">
        <f t="shared" si="488"/>
        <v>-55</v>
      </c>
      <c r="AJ105" s="191">
        <f t="shared" si="489"/>
        <v>-1</v>
      </c>
      <c r="AK105" s="189">
        <f t="shared" si="490"/>
        <v>-16</v>
      </c>
      <c r="AL105" s="189">
        <f t="shared" si="490"/>
        <v>199</v>
      </c>
      <c r="AM105" s="190">
        <f t="shared" si="490"/>
        <v>193</v>
      </c>
      <c r="AN105" s="191">
        <f t="shared" si="491"/>
        <v>33</v>
      </c>
      <c r="AO105" s="189">
        <f t="shared" si="492"/>
        <v>43</v>
      </c>
      <c r="AP105" s="189">
        <f t="shared" si="492"/>
        <v>63</v>
      </c>
      <c r="AQ105" s="190">
        <f t="shared" si="492"/>
        <v>62</v>
      </c>
      <c r="AR105" s="191">
        <f t="shared" si="493"/>
        <v>34</v>
      </c>
      <c r="AS105" s="189">
        <f t="shared" si="494"/>
        <v>920</v>
      </c>
      <c r="AT105" s="189">
        <f t="shared" si="494"/>
        <v>1088</v>
      </c>
      <c r="AU105" s="190">
        <f t="shared" si="494"/>
        <v>996</v>
      </c>
      <c r="AV105" s="191">
        <f t="shared" si="495"/>
        <v>65</v>
      </c>
      <c r="AW105" s="189">
        <f t="shared" si="494"/>
        <v>96</v>
      </c>
      <c r="AX105" s="189">
        <f t="shared" si="496"/>
        <v>-23</v>
      </c>
      <c r="AY105" s="190">
        <f t="shared" si="496"/>
        <v>-39</v>
      </c>
      <c r="AZ105" s="191">
        <f t="shared" si="497"/>
        <v>250</v>
      </c>
      <c r="BA105" s="189">
        <f t="shared" si="498"/>
        <v>354.19814244444387</v>
      </c>
      <c r="BB105" s="189">
        <f t="shared" si="498"/>
        <v>273.23558194444468</v>
      </c>
      <c r="BC105" s="190">
        <f t="shared" si="498"/>
        <v>159.39386686202261</v>
      </c>
      <c r="BD105" s="191">
        <f t="shared" si="499"/>
        <v>-193.0152960439641</v>
      </c>
      <c r="BE105" s="189">
        <f t="shared" si="500"/>
        <v>-111.94265114115615</v>
      </c>
      <c r="BF105" s="189">
        <f t="shared" si="501"/>
        <v>-198.15326693300494</v>
      </c>
      <c r="BG105" s="190">
        <f t="shared" si="502"/>
        <v>-367.01169636720078</v>
      </c>
      <c r="BH105" s="191">
        <f t="shared" si="499"/>
        <v>133.24441154260307</v>
      </c>
      <c r="BI105" s="189">
        <f t="shared" si="503"/>
        <v>221.80365913924243</v>
      </c>
      <c r="BJ105" s="189">
        <f t="shared" si="504"/>
        <v>163.93698415228778</v>
      </c>
      <c r="BK105" s="190">
        <f t="shared" si="505"/>
        <v>58.768381616230954</v>
      </c>
      <c r="BL105" s="166"/>
      <c r="BM105" s="191">
        <f t="shared" si="461"/>
        <v>25</v>
      </c>
      <c r="BN105" s="189">
        <f t="shared" si="462"/>
        <v>28</v>
      </c>
      <c r="BO105" s="189">
        <f t="shared" si="463"/>
        <v>-45</v>
      </c>
      <c r="BP105" s="189">
        <f t="shared" si="464"/>
        <v>27</v>
      </c>
      <c r="BQ105" s="189">
        <f t="shared" si="506"/>
        <v>-26</v>
      </c>
      <c r="BR105" s="190">
        <f t="shared" si="507"/>
        <v>-5</v>
      </c>
      <c r="BS105" s="189">
        <f t="shared" si="508"/>
        <v>0</v>
      </c>
      <c r="BT105" s="189">
        <f t="shared" si="509"/>
        <v>-55</v>
      </c>
      <c r="BU105" s="189">
        <f t="shared" si="510"/>
        <v>193</v>
      </c>
      <c r="BV105" s="189">
        <f t="shared" si="511"/>
        <v>62</v>
      </c>
      <c r="BW105" s="189">
        <f t="shared" si="512"/>
        <v>996</v>
      </c>
      <c r="BX105" s="189">
        <f t="shared" si="513"/>
        <v>-39</v>
      </c>
      <c r="BY105" s="189">
        <f t="shared" si="514"/>
        <v>159.39386686202261</v>
      </c>
      <c r="BZ105" s="189">
        <f t="shared" si="515"/>
        <v>-367.01169636720078</v>
      </c>
      <c r="CA105" s="190">
        <f t="shared" si="452"/>
        <v>58.768381616230954</v>
      </c>
      <c r="CB105" s="19"/>
      <c r="CC105" s="191">
        <f t="shared" ref="CC105:CN105" si="518">CC20</f>
        <v>-4</v>
      </c>
      <c r="CD105" s="189">
        <f t="shared" si="518"/>
        <v>13</v>
      </c>
      <c r="CE105" s="189">
        <f t="shared" si="518"/>
        <v>-23</v>
      </c>
      <c r="CF105" s="189">
        <f t="shared" si="518"/>
        <v>13</v>
      </c>
      <c r="CG105" s="189">
        <f t="shared" si="518"/>
        <v>-36</v>
      </c>
      <c r="CH105" s="189">
        <f t="shared" si="518"/>
        <v>10</v>
      </c>
      <c r="CI105" s="189">
        <f t="shared" si="518"/>
        <v>-15</v>
      </c>
      <c r="CJ105" s="189">
        <f t="shared" si="518"/>
        <v>-42</v>
      </c>
      <c r="CK105" s="189">
        <f t="shared" si="518"/>
        <v>227</v>
      </c>
      <c r="CL105" s="189">
        <f t="shared" si="518"/>
        <v>63</v>
      </c>
      <c r="CM105" s="189">
        <f t="shared" si="518"/>
        <v>1027</v>
      </c>
      <c r="CN105" s="189">
        <f t="shared" si="518"/>
        <v>146</v>
      </c>
      <c r="CO105" s="189">
        <f t="shared" ref="CO105:CP105" si="519">CO20</f>
        <v>-283.62142918194149</v>
      </c>
      <c r="CP105" s="190">
        <f t="shared" si="519"/>
        <v>-40.75198878063361</v>
      </c>
      <c r="CQ105" s="7"/>
    </row>
    <row r="106" spans="1:95" ht="14.25" customHeight="1" outlineLevel="1">
      <c r="A106" s="7"/>
      <c r="B106" s="48" t="s">
        <v>40</v>
      </c>
      <c r="C106" s="49"/>
      <c r="D106" s="191">
        <f t="shared" si="473"/>
        <v>47</v>
      </c>
      <c r="E106" s="189">
        <f t="shared" si="474"/>
        <v>54</v>
      </c>
      <c r="F106" s="189">
        <f t="shared" si="474"/>
        <v>23</v>
      </c>
      <c r="G106" s="190">
        <f t="shared" si="474"/>
        <v>26</v>
      </c>
      <c r="H106" s="191">
        <f t="shared" si="475"/>
        <v>-29</v>
      </c>
      <c r="I106" s="189">
        <f t="shared" si="476"/>
        <v>-39</v>
      </c>
      <c r="J106" s="189">
        <f t="shared" si="476"/>
        <v>0</v>
      </c>
      <c r="K106" s="190">
        <f t="shared" si="476"/>
        <v>29</v>
      </c>
      <c r="L106" s="191">
        <f t="shared" si="477"/>
        <v>6</v>
      </c>
      <c r="M106" s="189">
        <f t="shared" si="478"/>
        <v>-41</v>
      </c>
      <c r="N106" s="189">
        <f t="shared" si="478"/>
        <v>-29</v>
      </c>
      <c r="O106" s="190">
        <f t="shared" si="478"/>
        <v>-29</v>
      </c>
      <c r="P106" s="191">
        <f t="shared" si="479"/>
        <v>-5</v>
      </c>
      <c r="Q106" s="189">
        <f t="shared" si="480"/>
        <v>-4</v>
      </c>
      <c r="R106" s="189">
        <f t="shared" si="480"/>
        <v>-25</v>
      </c>
      <c r="S106" s="190">
        <f t="shared" si="480"/>
        <v>-16</v>
      </c>
      <c r="T106" s="191">
        <f t="shared" si="481"/>
        <v>5</v>
      </c>
      <c r="U106" s="189">
        <f t="shared" si="482"/>
        <v>7</v>
      </c>
      <c r="V106" s="189">
        <f t="shared" si="482"/>
        <v>4</v>
      </c>
      <c r="W106" s="190">
        <f t="shared" si="482"/>
        <v>23</v>
      </c>
      <c r="X106" s="191">
        <f t="shared" si="483"/>
        <v>-30</v>
      </c>
      <c r="Y106" s="189">
        <f t="shared" si="484"/>
        <v>15</v>
      </c>
      <c r="Z106" s="189">
        <f t="shared" si="484"/>
        <v>2</v>
      </c>
      <c r="AA106" s="190">
        <f t="shared" si="484"/>
        <v>25</v>
      </c>
      <c r="AB106" s="191">
        <f t="shared" si="485"/>
        <v>-8</v>
      </c>
      <c r="AC106" s="189">
        <f t="shared" si="486"/>
        <v>13</v>
      </c>
      <c r="AD106" s="189">
        <f t="shared" si="486"/>
        <v>-14</v>
      </c>
      <c r="AE106" s="190">
        <f t="shared" si="486"/>
        <v>-2</v>
      </c>
      <c r="AF106" s="191">
        <f t="shared" si="487"/>
        <v>-34</v>
      </c>
      <c r="AG106" s="189">
        <f t="shared" si="488"/>
        <v>2</v>
      </c>
      <c r="AH106" s="189">
        <f t="shared" si="488"/>
        <v>13</v>
      </c>
      <c r="AI106" s="190">
        <f t="shared" si="488"/>
        <v>22</v>
      </c>
      <c r="AJ106" s="191">
        <f t="shared" si="489"/>
        <v>-24</v>
      </c>
      <c r="AK106" s="189">
        <f t="shared" si="490"/>
        <v>-16</v>
      </c>
      <c r="AL106" s="189">
        <f t="shared" si="490"/>
        <v>-39</v>
      </c>
      <c r="AM106" s="190">
        <f t="shared" si="490"/>
        <v>13</v>
      </c>
      <c r="AN106" s="191">
        <f t="shared" si="491"/>
        <v>-78</v>
      </c>
      <c r="AO106" s="189">
        <f t="shared" si="492"/>
        <v>-23</v>
      </c>
      <c r="AP106" s="189">
        <f t="shared" si="492"/>
        <v>-52</v>
      </c>
      <c r="AQ106" s="190">
        <f t="shared" si="492"/>
        <v>29</v>
      </c>
      <c r="AR106" s="191">
        <f t="shared" si="493"/>
        <v>-68</v>
      </c>
      <c r="AS106" s="189">
        <f t="shared" si="494"/>
        <v>-217</v>
      </c>
      <c r="AT106" s="189">
        <f t="shared" si="494"/>
        <v>-61</v>
      </c>
      <c r="AU106" s="190">
        <f t="shared" si="494"/>
        <v>33</v>
      </c>
      <c r="AV106" s="191">
        <f t="shared" si="495"/>
        <v>-137</v>
      </c>
      <c r="AW106" s="189">
        <f t="shared" si="494"/>
        <v>-251</v>
      </c>
      <c r="AX106" s="189">
        <f t="shared" si="496"/>
        <v>-34</v>
      </c>
      <c r="AY106" s="190">
        <f t="shared" si="496"/>
        <v>-97</v>
      </c>
      <c r="AZ106" s="191">
        <f t="shared" si="497"/>
        <v>-403</v>
      </c>
      <c r="BA106" s="189">
        <f t="shared" si="498"/>
        <v>-453.32138222222181</v>
      </c>
      <c r="BB106" s="189">
        <f t="shared" si="498"/>
        <v>-401.08747222222246</v>
      </c>
      <c r="BC106" s="190">
        <f t="shared" si="498"/>
        <v>-327.64120442711146</v>
      </c>
      <c r="BD106" s="191">
        <f t="shared" si="499"/>
        <v>368.33834777266452</v>
      </c>
      <c r="BE106" s="189">
        <f t="shared" si="500"/>
        <v>319.62670519397648</v>
      </c>
      <c r="BF106" s="189">
        <f t="shared" si="501"/>
        <v>407.07358804709702</v>
      </c>
      <c r="BG106" s="190">
        <f t="shared" si="502"/>
        <v>565.82272901475972</v>
      </c>
      <c r="BH106" s="191">
        <f t="shared" si="499"/>
        <v>-72.57573776258414</v>
      </c>
      <c r="BI106" s="189">
        <f t="shared" si="503"/>
        <v>-148.48366427398923</v>
      </c>
      <c r="BJ106" s="189">
        <f t="shared" si="504"/>
        <v>-98.883657142313723</v>
      </c>
      <c r="BK106" s="190">
        <f t="shared" si="505"/>
        <v>-8.7391406828364779</v>
      </c>
      <c r="BL106" s="166"/>
      <c r="BM106" s="191">
        <f t="shared" si="461"/>
        <v>26</v>
      </c>
      <c r="BN106" s="189">
        <f t="shared" si="462"/>
        <v>29</v>
      </c>
      <c r="BO106" s="189">
        <f t="shared" si="463"/>
        <v>-29</v>
      </c>
      <c r="BP106" s="189">
        <f t="shared" si="464"/>
        <v>-16</v>
      </c>
      <c r="BQ106" s="189">
        <f t="shared" si="506"/>
        <v>23</v>
      </c>
      <c r="BR106" s="190">
        <f t="shared" si="507"/>
        <v>25</v>
      </c>
      <c r="BS106" s="189">
        <f t="shared" si="508"/>
        <v>-2</v>
      </c>
      <c r="BT106" s="189">
        <f t="shared" si="509"/>
        <v>22</v>
      </c>
      <c r="BU106" s="189">
        <f t="shared" si="510"/>
        <v>13</v>
      </c>
      <c r="BV106" s="189">
        <f t="shared" si="511"/>
        <v>29</v>
      </c>
      <c r="BW106" s="189">
        <f t="shared" si="512"/>
        <v>33</v>
      </c>
      <c r="BX106" s="189">
        <f t="shared" si="513"/>
        <v>-97</v>
      </c>
      <c r="BY106" s="189">
        <f t="shared" si="514"/>
        <v>-327.64120442711146</v>
      </c>
      <c r="BZ106" s="189">
        <f t="shared" si="515"/>
        <v>565.82272901475972</v>
      </c>
      <c r="CA106" s="190">
        <f t="shared" si="452"/>
        <v>-8.7391406828364779</v>
      </c>
      <c r="CB106" s="19"/>
      <c r="CC106" s="191">
        <f t="shared" ref="CC106:CN106" si="520">CC21</f>
        <v>-50</v>
      </c>
      <c r="CD106" s="189">
        <f t="shared" si="520"/>
        <v>64</v>
      </c>
      <c r="CE106" s="189">
        <f t="shared" si="520"/>
        <v>-40</v>
      </c>
      <c r="CF106" s="189">
        <f t="shared" si="520"/>
        <v>-6</v>
      </c>
      <c r="CG106" s="189">
        <f t="shared" si="520"/>
        <v>-12</v>
      </c>
      <c r="CH106" s="189">
        <f t="shared" si="520"/>
        <v>47</v>
      </c>
      <c r="CI106" s="189">
        <f t="shared" si="520"/>
        <v>-28</v>
      </c>
      <c r="CJ106" s="189">
        <f t="shared" si="520"/>
        <v>32</v>
      </c>
      <c r="CK106" s="189">
        <f t="shared" si="520"/>
        <v>-41</v>
      </c>
      <c r="CL106" s="189">
        <f t="shared" si="520"/>
        <v>39</v>
      </c>
      <c r="CM106" s="189">
        <f t="shared" si="520"/>
        <v>-36</v>
      </c>
      <c r="CN106" s="189">
        <f t="shared" si="520"/>
        <v>-363</v>
      </c>
      <c r="CO106" s="189">
        <f t="shared" ref="CO106:CP106" si="521">CO21</f>
        <v>443.69714334555306</v>
      </c>
      <c r="CP106" s="190">
        <f t="shared" si="521"/>
        <v>124.90864347951106</v>
      </c>
      <c r="CQ106" s="7"/>
    </row>
    <row r="107" spans="1:95" ht="14.25" customHeight="1" outlineLevel="1">
      <c r="A107" s="7"/>
      <c r="B107" s="48" t="s">
        <v>168</v>
      </c>
      <c r="C107" s="49"/>
      <c r="D107" s="191">
        <f t="shared" si="473"/>
        <v>17</v>
      </c>
      <c r="E107" s="189">
        <f t="shared" si="474"/>
        <v>36</v>
      </c>
      <c r="F107" s="189">
        <f t="shared" si="474"/>
        <v>49</v>
      </c>
      <c r="G107" s="190">
        <f t="shared" si="474"/>
        <v>53</v>
      </c>
      <c r="H107" s="191">
        <f t="shared" si="475"/>
        <v>-25</v>
      </c>
      <c r="I107" s="189">
        <f t="shared" si="476"/>
        <v>-21</v>
      </c>
      <c r="J107" s="189">
        <f t="shared" si="476"/>
        <v>-18</v>
      </c>
      <c r="K107" s="190">
        <f t="shared" si="476"/>
        <v>-12</v>
      </c>
      <c r="L107" s="191">
        <f t="shared" si="477"/>
        <v>-16</v>
      </c>
      <c r="M107" s="189">
        <f t="shared" si="478"/>
        <v>-2</v>
      </c>
      <c r="N107" s="189">
        <f t="shared" si="478"/>
        <v>14</v>
      </c>
      <c r="O107" s="190">
        <f t="shared" si="478"/>
        <v>18</v>
      </c>
      <c r="P107" s="191">
        <f t="shared" si="479"/>
        <v>-31</v>
      </c>
      <c r="Q107" s="189">
        <f t="shared" si="480"/>
        <v>-34</v>
      </c>
      <c r="R107" s="189">
        <f t="shared" si="480"/>
        <v>-27</v>
      </c>
      <c r="S107" s="190">
        <f t="shared" si="480"/>
        <v>-19</v>
      </c>
      <c r="T107" s="191">
        <f t="shared" si="481"/>
        <v>-9</v>
      </c>
      <c r="U107" s="189">
        <f t="shared" si="482"/>
        <v>4</v>
      </c>
      <c r="V107" s="189">
        <f t="shared" si="482"/>
        <v>14</v>
      </c>
      <c r="W107" s="190">
        <f t="shared" si="482"/>
        <v>27</v>
      </c>
      <c r="X107" s="191">
        <f t="shared" si="483"/>
        <v>-31</v>
      </c>
      <c r="Y107" s="189">
        <f t="shared" si="484"/>
        <v>-20</v>
      </c>
      <c r="Z107" s="189">
        <f t="shared" si="484"/>
        <v>6</v>
      </c>
      <c r="AA107" s="190">
        <f t="shared" si="484"/>
        <v>7</v>
      </c>
      <c r="AB107" s="191">
        <f t="shared" si="485"/>
        <v>-38</v>
      </c>
      <c r="AC107" s="189">
        <f t="shared" si="486"/>
        <v>-32</v>
      </c>
      <c r="AD107" s="189">
        <f t="shared" si="486"/>
        <v>-20</v>
      </c>
      <c r="AE107" s="190">
        <f t="shared" si="486"/>
        <v>-28</v>
      </c>
      <c r="AF107" s="191">
        <f t="shared" si="487"/>
        <v>-13</v>
      </c>
      <c r="AG107" s="189">
        <f t="shared" si="488"/>
        <v>-2</v>
      </c>
      <c r="AH107" s="189">
        <f t="shared" si="488"/>
        <v>14</v>
      </c>
      <c r="AI107" s="190">
        <f t="shared" si="488"/>
        <v>32</v>
      </c>
      <c r="AJ107" s="191">
        <f t="shared" si="489"/>
        <v>-39</v>
      </c>
      <c r="AK107" s="189">
        <f t="shared" si="490"/>
        <v>-12</v>
      </c>
      <c r="AL107" s="189">
        <f t="shared" si="490"/>
        <v>18</v>
      </c>
      <c r="AM107" s="190">
        <f t="shared" si="490"/>
        <v>33</v>
      </c>
      <c r="AN107" s="191">
        <f t="shared" si="491"/>
        <v>-90</v>
      </c>
      <c r="AO107" s="189">
        <f t="shared" si="492"/>
        <v>-41</v>
      </c>
      <c r="AP107" s="189">
        <f t="shared" si="492"/>
        <v>-12</v>
      </c>
      <c r="AQ107" s="190">
        <f t="shared" si="492"/>
        <v>8</v>
      </c>
      <c r="AR107" s="191">
        <f t="shared" si="493"/>
        <v>-149</v>
      </c>
      <c r="AS107" s="189">
        <f t="shared" si="494"/>
        <v>-51</v>
      </c>
      <c r="AT107" s="189">
        <f t="shared" si="494"/>
        <v>70</v>
      </c>
      <c r="AU107" s="190">
        <f t="shared" si="494"/>
        <v>163</v>
      </c>
      <c r="AV107" s="191">
        <f t="shared" si="495"/>
        <v>-181</v>
      </c>
      <c r="AW107" s="189">
        <f t="shared" si="494"/>
        <v>-53</v>
      </c>
      <c r="AX107" s="189">
        <f t="shared" si="496"/>
        <v>29</v>
      </c>
      <c r="AY107" s="190">
        <f t="shared" si="496"/>
        <v>109</v>
      </c>
      <c r="AZ107" s="191">
        <f t="shared" si="497"/>
        <v>-376</v>
      </c>
      <c r="BA107" s="189">
        <f t="shared" si="498"/>
        <v>-376</v>
      </c>
      <c r="BB107" s="189">
        <f t="shared" si="498"/>
        <v>-376</v>
      </c>
      <c r="BC107" s="190">
        <f t="shared" si="498"/>
        <v>-376</v>
      </c>
      <c r="BD107" s="191">
        <f t="shared" si="499"/>
        <v>0</v>
      </c>
      <c r="BE107" s="189">
        <f t="shared" si="500"/>
        <v>0</v>
      </c>
      <c r="BF107" s="189">
        <f t="shared" si="501"/>
        <v>0</v>
      </c>
      <c r="BG107" s="190">
        <f t="shared" si="502"/>
        <v>0</v>
      </c>
      <c r="BH107" s="191">
        <f t="shared" si="499"/>
        <v>0</v>
      </c>
      <c r="BI107" s="189">
        <f t="shared" si="503"/>
        <v>0</v>
      </c>
      <c r="BJ107" s="189">
        <f t="shared" si="504"/>
        <v>0</v>
      </c>
      <c r="BK107" s="190">
        <f t="shared" si="505"/>
        <v>0</v>
      </c>
      <c r="BL107" s="166"/>
      <c r="BM107" s="191">
        <f t="shared" si="461"/>
        <v>53</v>
      </c>
      <c r="BN107" s="189">
        <f t="shared" si="462"/>
        <v>-12</v>
      </c>
      <c r="BO107" s="189">
        <f t="shared" si="463"/>
        <v>18</v>
      </c>
      <c r="BP107" s="189">
        <f t="shared" si="464"/>
        <v>-19</v>
      </c>
      <c r="BQ107" s="189">
        <f t="shared" si="506"/>
        <v>27</v>
      </c>
      <c r="BR107" s="190">
        <f t="shared" si="507"/>
        <v>7</v>
      </c>
      <c r="BS107" s="189">
        <f t="shared" si="508"/>
        <v>-28</v>
      </c>
      <c r="BT107" s="189">
        <f t="shared" si="509"/>
        <v>32</v>
      </c>
      <c r="BU107" s="189">
        <f t="shared" si="510"/>
        <v>33</v>
      </c>
      <c r="BV107" s="189">
        <f t="shared" si="511"/>
        <v>8</v>
      </c>
      <c r="BW107" s="189">
        <f t="shared" si="512"/>
        <v>163</v>
      </c>
      <c r="BX107" s="189">
        <f t="shared" si="513"/>
        <v>109</v>
      </c>
      <c r="BY107" s="189">
        <f t="shared" si="514"/>
        <v>-376</v>
      </c>
      <c r="BZ107" s="189">
        <f t="shared" si="515"/>
        <v>0</v>
      </c>
      <c r="CA107" s="190">
        <f t="shared" si="452"/>
        <v>0</v>
      </c>
      <c r="CB107" s="19"/>
      <c r="CC107" s="191">
        <f t="shared" ref="CC107:CN107" si="522">CC22</f>
        <v>11</v>
      </c>
      <c r="CD107" s="189">
        <f t="shared" si="522"/>
        <v>-3</v>
      </c>
      <c r="CE107" s="189">
        <f t="shared" si="522"/>
        <v>3</v>
      </c>
      <c r="CF107" s="189">
        <f t="shared" si="522"/>
        <v>3</v>
      </c>
      <c r="CG107" s="189">
        <f t="shared" si="522"/>
        <v>5</v>
      </c>
      <c r="CH107" s="189">
        <f t="shared" si="522"/>
        <v>0</v>
      </c>
      <c r="CI107" s="189">
        <f t="shared" si="522"/>
        <v>-3</v>
      </c>
      <c r="CJ107" s="189">
        <f t="shared" si="522"/>
        <v>6</v>
      </c>
      <c r="CK107" s="189">
        <f t="shared" si="522"/>
        <v>-18</v>
      </c>
      <c r="CL107" s="189">
        <f t="shared" si="522"/>
        <v>-51</v>
      </c>
      <c r="CM107" s="189">
        <f t="shared" si="522"/>
        <v>131</v>
      </c>
      <c r="CN107" s="189">
        <f t="shared" si="522"/>
        <v>-86</v>
      </c>
      <c r="CO107" s="189">
        <f t="shared" ref="CO107:CP107" si="523">CO22</f>
        <v>0</v>
      </c>
      <c r="CP107" s="190">
        <f t="shared" si="523"/>
        <v>0</v>
      </c>
      <c r="CQ107" s="7"/>
    </row>
    <row r="108" spans="1:95" ht="14.25" customHeight="1" outlineLevel="1">
      <c r="A108" s="7"/>
      <c r="B108" s="48" t="s">
        <v>169</v>
      </c>
      <c r="C108" s="49"/>
      <c r="D108" s="191">
        <f t="shared" si="473"/>
        <v>5</v>
      </c>
      <c r="E108" s="189">
        <f t="shared" si="474"/>
        <v>18</v>
      </c>
      <c r="F108" s="189">
        <f t="shared" si="474"/>
        <v>-4</v>
      </c>
      <c r="G108" s="190">
        <f t="shared" si="474"/>
        <v>76</v>
      </c>
      <c r="H108" s="191">
        <f t="shared" si="475"/>
        <v>-56</v>
      </c>
      <c r="I108" s="189">
        <f t="shared" si="476"/>
        <v>-56</v>
      </c>
      <c r="J108" s="189">
        <f t="shared" si="476"/>
        <v>-76</v>
      </c>
      <c r="K108" s="190">
        <f t="shared" si="476"/>
        <v>-28</v>
      </c>
      <c r="L108" s="191">
        <f t="shared" si="477"/>
        <v>-39</v>
      </c>
      <c r="M108" s="189">
        <f t="shared" si="478"/>
        <v>-32</v>
      </c>
      <c r="N108" s="189">
        <f t="shared" si="478"/>
        <v>-40</v>
      </c>
      <c r="O108" s="190">
        <f t="shared" si="478"/>
        <v>-19</v>
      </c>
      <c r="P108" s="191">
        <f t="shared" si="479"/>
        <v>-24</v>
      </c>
      <c r="Q108" s="189">
        <f t="shared" si="480"/>
        <v>-9</v>
      </c>
      <c r="R108" s="189">
        <f t="shared" si="480"/>
        <v>-26</v>
      </c>
      <c r="S108" s="190">
        <f t="shared" si="480"/>
        <v>-39</v>
      </c>
      <c r="T108" s="191">
        <f t="shared" si="481"/>
        <v>-28</v>
      </c>
      <c r="U108" s="189">
        <f t="shared" si="482"/>
        <v>-14</v>
      </c>
      <c r="V108" s="189">
        <f t="shared" si="482"/>
        <v>-22</v>
      </c>
      <c r="W108" s="190">
        <f t="shared" si="482"/>
        <v>-16</v>
      </c>
      <c r="X108" s="191">
        <f t="shared" si="483"/>
        <v>-31</v>
      </c>
      <c r="Y108" s="189">
        <f t="shared" si="484"/>
        <v>-30</v>
      </c>
      <c r="Z108" s="189">
        <f t="shared" si="484"/>
        <v>-25</v>
      </c>
      <c r="AA108" s="190">
        <f t="shared" si="484"/>
        <v>-13</v>
      </c>
      <c r="AB108" s="191">
        <f t="shared" si="485"/>
        <v>-10</v>
      </c>
      <c r="AC108" s="189">
        <f t="shared" si="486"/>
        <v>-18</v>
      </c>
      <c r="AD108" s="189">
        <f t="shared" si="486"/>
        <v>-25</v>
      </c>
      <c r="AE108" s="190">
        <f t="shared" si="486"/>
        <v>-32</v>
      </c>
      <c r="AF108" s="191">
        <f t="shared" si="487"/>
        <v>-11</v>
      </c>
      <c r="AG108" s="189">
        <f t="shared" si="488"/>
        <v>-18</v>
      </c>
      <c r="AH108" s="189">
        <f t="shared" si="488"/>
        <v>-51</v>
      </c>
      <c r="AI108" s="190">
        <f t="shared" si="488"/>
        <v>-55</v>
      </c>
      <c r="AJ108" s="191">
        <f t="shared" si="489"/>
        <v>-16</v>
      </c>
      <c r="AK108" s="189">
        <f t="shared" si="490"/>
        <v>-4</v>
      </c>
      <c r="AL108" s="189">
        <f t="shared" si="490"/>
        <v>39</v>
      </c>
      <c r="AM108" s="190">
        <f t="shared" si="490"/>
        <v>41</v>
      </c>
      <c r="AN108" s="191">
        <f t="shared" si="491"/>
        <v>-66</v>
      </c>
      <c r="AO108" s="189">
        <f t="shared" si="492"/>
        <v>-91</v>
      </c>
      <c r="AP108" s="189">
        <f t="shared" si="492"/>
        <v>-130</v>
      </c>
      <c r="AQ108" s="190">
        <f t="shared" si="492"/>
        <v>-118</v>
      </c>
      <c r="AR108" s="191">
        <f t="shared" si="493"/>
        <v>16</v>
      </c>
      <c r="AS108" s="189">
        <f t="shared" si="494"/>
        <v>86</v>
      </c>
      <c r="AT108" s="189">
        <f t="shared" si="494"/>
        <v>-38</v>
      </c>
      <c r="AU108" s="190">
        <f t="shared" si="494"/>
        <v>-98</v>
      </c>
      <c r="AV108" s="191">
        <f t="shared" si="495"/>
        <v>-237</v>
      </c>
      <c r="AW108" s="189">
        <f t="shared" si="494"/>
        <v>-391</v>
      </c>
      <c r="AX108" s="189">
        <f t="shared" si="496"/>
        <v>-570</v>
      </c>
      <c r="AY108" s="190">
        <f t="shared" si="496"/>
        <v>-541</v>
      </c>
      <c r="AZ108" s="191">
        <f t="shared" si="497"/>
        <v>-129</v>
      </c>
      <c r="BA108" s="189">
        <f t="shared" si="498"/>
        <v>-129</v>
      </c>
      <c r="BB108" s="189">
        <f t="shared" si="498"/>
        <v>-129</v>
      </c>
      <c r="BC108" s="190">
        <f t="shared" si="498"/>
        <v>-129</v>
      </c>
      <c r="BD108" s="191">
        <f t="shared" si="499"/>
        <v>0</v>
      </c>
      <c r="BE108" s="189">
        <f t="shared" si="500"/>
        <v>0</v>
      </c>
      <c r="BF108" s="189">
        <f t="shared" si="501"/>
        <v>0</v>
      </c>
      <c r="BG108" s="190">
        <f t="shared" si="502"/>
        <v>0</v>
      </c>
      <c r="BH108" s="191">
        <f t="shared" si="499"/>
        <v>0</v>
      </c>
      <c r="BI108" s="189">
        <f t="shared" si="503"/>
        <v>0</v>
      </c>
      <c r="BJ108" s="189">
        <f t="shared" si="504"/>
        <v>0</v>
      </c>
      <c r="BK108" s="190">
        <f t="shared" si="505"/>
        <v>0</v>
      </c>
      <c r="BL108" s="166"/>
      <c r="BM108" s="191">
        <f t="shared" si="461"/>
        <v>76</v>
      </c>
      <c r="BN108" s="189">
        <f t="shared" si="462"/>
        <v>-28</v>
      </c>
      <c r="BO108" s="189">
        <f t="shared" si="463"/>
        <v>-19</v>
      </c>
      <c r="BP108" s="189">
        <f t="shared" si="464"/>
        <v>-39</v>
      </c>
      <c r="BQ108" s="189">
        <f t="shared" si="506"/>
        <v>-16</v>
      </c>
      <c r="BR108" s="190">
        <f t="shared" si="507"/>
        <v>-13</v>
      </c>
      <c r="BS108" s="189">
        <f t="shared" si="508"/>
        <v>-32</v>
      </c>
      <c r="BT108" s="189">
        <f t="shared" si="509"/>
        <v>-55</v>
      </c>
      <c r="BU108" s="189">
        <f t="shared" si="510"/>
        <v>41</v>
      </c>
      <c r="BV108" s="189">
        <f t="shared" si="511"/>
        <v>-118</v>
      </c>
      <c r="BW108" s="189">
        <f t="shared" si="512"/>
        <v>-98</v>
      </c>
      <c r="BX108" s="189">
        <f t="shared" si="513"/>
        <v>-541</v>
      </c>
      <c r="BY108" s="189">
        <f t="shared" si="514"/>
        <v>-129</v>
      </c>
      <c r="BZ108" s="189">
        <f t="shared" si="515"/>
        <v>0</v>
      </c>
      <c r="CA108" s="190">
        <f t="shared" si="452"/>
        <v>0</v>
      </c>
      <c r="CB108" s="19"/>
      <c r="CC108" s="191">
        <f t="shared" ref="CC108:CN108" si="524">CC23</f>
        <v>15</v>
      </c>
      <c r="CD108" s="189">
        <f t="shared" si="524"/>
        <v>-11</v>
      </c>
      <c r="CE108" s="189">
        <f t="shared" si="524"/>
        <v>-4</v>
      </c>
      <c r="CF108" s="189">
        <f t="shared" si="524"/>
        <v>-43</v>
      </c>
      <c r="CG108" s="189">
        <f t="shared" si="524"/>
        <v>-19</v>
      </c>
      <c r="CH108" s="189">
        <f t="shared" si="524"/>
        <v>8</v>
      </c>
      <c r="CI108" s="189">
        <f t="shared" si="524"/>
        <v>-33</v>
      </c>
      <c r="CJ108" s="189">
        <f t="shared" si="524"/>
        <v>-60</v>
      </c>
      <c r="CK108" s="189">
        <f t="shared" si="524"/>
        <v>-9</v>
      </c>
      <c r="CL108" s="189">
        <f t="shared" si="524"/>
        <v>-36</v>
      </c>
      <c r="CM108" s="189">
        <f t="shared" si="524"/>
        <v>-351</v>
      </c>
      <c r="CN108" s="189">
        <f t="shared" si="524"/>
        <v>-433</v>
      </c>
      <c r="CO108" s="189">
        <f t="shared" ref="CO108:CP108" si="525">CO23</f>
        <v>0</v>
      </c>
      <c r="CP108" s="190">
        <f t="shared" si="525"/>
        <v>0</v>
      </c>
      <c r="CQ108" s="7"/>
    </row>
    <row r="109" spans="1:95" ht="14.25" customHeight="1" outlineLevel="1">
      <c r="A109" s="7"/>
      <c r="B109" s="48" t="s">
        <v>170</v>
      </c>
      <c r="C109" s="49"/>
      <c r="D109" s="189">
        <f t="shared" si="473"/>
        <v>17</v>
      </c>
      <c r="E109" s="189">
        <f t="shared" si="474"/>
        <v>22</v>
      </c>
      <c r="F109" s="189">
        <f t="shared" si="474"/>
        <v>22</v>
      </c>
      <c r="G109" s="190">
        <f t="shared" si="474"/>
        <v>24</v>
      </c>
      <c r="H109" s="189">
        <f t="shared" si="475"/>
        <v>6</v>
      </c>
      <c r="I109" s="189">
        <f t="shared" si="476"/>
        <v>9</v>
      </c>
      <c r="J109" s="189">
        <f t="shared" si="476"/>
        <v>12</v>
      </c>
      <c r="K109" s="190">
        <f t="shared" si="476"/>
        <v>9</v>
      </c>
      <c r="L109" s="189">
        <f t="shared" si="477"/>
        <v>14</v>
      </c>
      <c r="M109" s="189">
        <f t="shared" si="478"/>
        <v>16</v>
      </c>
      <c r="N109" s="189">
        <f t="shared" si="478"/>
        <v>19</v>
      </c>
      <c r="O109" s="190">
        <f t="shared" si="478"/>
        <v>-3</v>
      </c>
      <c r="P109" s="189">
        <f t="shared" si="479"/>
        <v>-1</v>
      </c>
      <c r="Q109" s="189">
        <f t="shared" si="480"/>
        <v>7</v>
      </c>
      <c r="R109" s="189">
        <f t="shared" si="480"/>
        <v>17</v>
      </c>
      <c r="S109" s="190">
        <f t="shared" si="480"/>
        <v>41</v>
      </c>
      <c r="T109" s="189">
        <f t="shared" si="481"/>
        <v>2</v>
      </c>
      <c r="U109" s="189">
        <f t="shared" si="482"/>
        <v>11</v>
      </c>
      <c r="V109" s="189">
        <f t="shared" si="482"/>
        <v>12</v>
      </c>
      <c r="W109" s="190">
        <f t="shared" si="482"/>
        <v>-11</v>
      </c>
      <c r="X109" s="189">
        <f t="shared" si="483"/>
        <v>0</v>
      </c>
      <c r="Y109" s="189">
        <f t="shared" si="484"/>
        <v>1</v>
      </c>
      <c r="Z109" s="189">
        <f t="shared" si="484"/>
        <v>1</v>
      </c>
      <c r="AA109" s="190">
        <f t="shared" si="484"/>
        <v>-7</v>
      </c>
      <c r="AB109" s="189">
        <f t="shared" si="485"/>
        <v>-1</v>
      </c>
      <c r="AC109" s="189">
        <f t="shared" si="486"/>
        <v>-5</v>
      </c>
      <c r="AD109" s="189">
        <f t="shared" si="486"/>
        <v>-6</v>
      </c>
      <c r="AE109" s="190">
        <f t="shared" si="486"/>
        <v>-12</v>
      </c>
      <c r="AF109" s="189">
        <f t="shared" si="487"/>
        <v>1</v>
      </c>
      <c r="AG109" s="189">
        <f t="shared" si="488"/>
        <v>2</v>
      </c>
      <c r="AH109" s="189">
        <f t="shared" si="488"/>
        <v>-2</v>
      </c>
      <c r="AI109" s="190">
        <f t="shared" si="488"/>
        <v>-6</v>
      </c>
      <c r="AJ109" s="189">
        <f t="shared" si="489"/>
        <v>1</v>
      </c>
      <c r="AK109" s="189">
        <f t="shared" si="490"/>
        <v>-33</v>
      </c>
      <c r="AL109" s="189">
        <f t="shared" si="490"/>
        <v>-159</v>
      </c>
      <c r="AM109" s="190">
        <f t="shared" si="490"/>
        <v>-93</v>
      </c>
      <c r="AN109" s="189">
        <f t="shared" si="491"/>
        <v>-7</v>
      </c>
      <c r="AO109" s="189">
        <f t="shared" si="492"/>
        <v>-50</v>
      </c>
      <c r="AP109" s="189">
        <f t="shared" si="492"/>
        <v>-38</v>
      </c>
      <c r="AQ109" s="190">
        <f t="shared" si="492"/>
        <v>40</v>
      </c>
      <c r="AR109" s="189">
        <f t="shared" si="493"/>
        <v>5</v>
      </c>
      <c r="AS109" s="189">
        <f t="shared" si="494"/>
        <v>-21</v>
      </c>
      <c r="AT109" s="189">
        <f t="shared" si="494"/>
        <v>-47</v>
      </c>
      <c r="AU109" s="190">
        <f t="shared" si="494"/>
        <v>-120</v>
      </c>
      <c r="AV109" s="189">
        <f t="shared" si="495"/>
        <v>-100</v>
      </c>
      <c r="AW109" s="189">
        <f t="shared" si="494"/>
        <v>-101</v>
      </c>
      <c r="AX109" s="189">
        <f t="shared" si="496"/>
        <v>-115</v>
      </c>
      <c r="AY109" s="190">
        <f t="shared" si="496"/>
        <v>-261</v>
      </c>
      <c r="AZ109" s="189">
        <f t="shared" si="497"/>
        <v>-87</v>
      </c>
      <c r="BA109" s="189">
        <f t="shared" si="498"/>
        <v>-87</v>
      </c>
      <c r="BB109" s="189">
        <f t="shared" si="498"/>
        <v>-87</v>
      </c>
      <c r="BC109" s="190">
        <f t="shared" si="498"/>
        <v>-87</v>
      </c>
      <c r="BD109" s="189">
        <f t="shared" si="499"/>
        <v>0</v>
      </c>
      <c r="BE109" s="189">
        <f t="shared" si="500"/>
        <v>0</v>
      </c>
      <c r="BF109" s="189">
        <f t="shared" si="501"/>
        <v>0</v>
      </c>
      <c r="BG109" s="190">
        <f t="shared" si="502"/>
        <v>0</v>
      </c>
      <c r="BH109" s="189">
        <f t="shared" si="499"/>
        <v>0</v>
      </c>
      <c r="BI109" s="189">
        <f t="shared" si="503"/>
        <v>0</v>
      </c>
      <c r="BJ109" s="189">
        <f t="shared" si="504"/>
        <v>0</v>
      </c>
      <c r="BK109" s="190">
        <f t="shared" si="505"/>
        <v>0</v>
      </c>
      <c r="BL109" s="166"/>
      <c r="BM109" s="191">
        <f t="shared" si="461"/>
        <v>24</v>
      </c>
      <c r="BN109" s="189">
        <f t="shared" si="462"/>
        <v>9</v>
      </c>
      <c r="BO109" s="189">
        <f t="shared" si="463"/>
        <v>-3</v>
      </c>
      <c r="BP109" s="189">
        <f t="shared" si="464"/>
        <v>41</v>
      </c>
      <c r="BQ109" s="189">
        <f t="shared" si="506"/>
        <v>-11</v>
      </c>
      <c r="BR109" s="190">
        <f t="shared" si="507"/>
        <v>-7</v>
      </c>
      <c r="BS109" s="189">
        <f t="shared" si="508"/>
        <v>-12</v>
      </c>
      <c r="BT109" s="189">
        <f t="shared" si="509"/>
        <v>-6</v>
      </c>
      <c r="BU109" s="189">
        <f t="shared" si="510"/>
        <v>-93</v>
      </c>
      <c r="BV109" s="189">
        <f t="shared" si="511"/>
        <v>40</v>
      </c>
      <c r="BW109" s="189">
        <f t="shared" si="512"/>
        <v>-120</v>
      </c>
      <c r="BX109" s="189">
        <f t="shared" si="513"/>
        <v>-261</v>
      </c>
      <c r="BY109" s="189">
        <f t="shared" si="514"/>
        <v>-87</v>
      </c>
      <c r="BZ109" s="189">
        <f t="shared" si="515"/>
        <v>0</v>
      </c>
      <c r="CA109" s="190">
        <f t="shared" si="452"/>
        <v>0</v>
      </c>
      <c r="CB109" s="19"/>
      <c r="CC109" s="191">
        <f t="shared" ref="CC109:CN109" si="526">CC24</f>
        <v>13</v>
      </c>
      <c r="CD109" s="189">
        <f t="shared" si="526"/>
        <v>17</v>
      </c>
      <c r="CE109" s="189">
        <f t="shared" si="526"/>
        <v>-18</v>
      </c>
      <c r="CF109" s="189">
        <f t="shared" si="526"/>
        <v>44</v>
      </c>
      <c r="CG109" s="189">
        <f t="shared" si="526"/>
        <v>-13</v>
      </c>
      <c r="CH109" s="189">
        <f t="shared" si="526"/>
        <v>-8</v>
      </c>
      <c r="CI109" s="189">
        <f t="shared" si="526"/>
        <v>-10</v>
      </c>
      <c r="CJ109" s="189">
        <f t="shared" si="526"/>
        <v>-6</v>
      </c>
      <c r="CK109" s="189">
        <f t="shared" si="526"/>
        <v>-101</v>
      </c>
      <c r="CL109" s="189">
        <f t="shared" si="526"/>
        <v>52</v>
      </c>
      <c r="CM109" s="189">
        <f t="shared" si="526"/>
        <v>-225</v>
      </c>
      <c r="CN109" s="189">
        <f t="shared" si="526"/>
        <v>-248</v>
      </c>
      <c r="CO109" s="189">
        <f t="shared" ref="CO109:CP109" si="527">CO24</f>
        <v>0</v>
      </c>
      <c r="CP109" s="190">
        <f t="shared" si="527"/>
        <v>0</v>
      </c>
      <c r="CQ109" s="7"/>
    </row>
    <row r="110" spans="1:95" ht="14.25" customHeight="1" outlineLevel="1" thickBot="1">
      <c r="A110" s="7"/>
      <c r="B110" s="195" t="s">
        <v>77</v>
      </c>
      <c r="C110" s="196"/>
      <c r="D110" s="197">
        <f t="shared" ref="D110:AL110" si="528">D94+SUM(D96:D102)+SUM(D104:D109)</f>
        <v>133</v>
      </c>
      <c r="E110" s="197">
        <f t="shared" si="528"/>
        <v>242</v>
      </c>
      <c r="F110" s="197">
        <f t="shared" si="528"/>
        <v>257</v>
      </c>
      <c r="G110" s="199">
        <f t="shared" si="528"/>
        <v>342</v>
      </c>
      <c r="H110" s="197">
        <f t="shared" si="528"/>
        <v>-76</v>
      </c>
      <c r="I110" s="197">
        <f t="shared" si="528"/>
        <v>-32</v>
      </c>
      <c r="J110" s="197">
        <f t="shared" si="528"/>
        <v>24</v>
      </c>
      <c r="K110" s="199">
        <f t="shared" si="528"/>
        <v>144</v>
      </c>
      <c r="L110" s="197">
        <f t="shared" si="528"/>
        <v>-13</v>
      </c>
      <c r="M110" s="197">
        <f t="shared" si="528"/>
        <v>30</v>
      </c>
      <c r="N110" s="197">
        <f t="shared" si="528"/>
        <v>90</v>
      </c>
      <c r="O110" s="199">
        <f t="shared" si="528"/>
        <v>201</v>
      </c>
      <c r="P110" s="197">
        <f t="shared" si="528"/>
        <v>-4</v>
      </c>
      <c r="Q110" s="197">
        <f t="shared" si="528"/>
        <v>62</v>
      </c>
      <c r="R110" s="197">
        <f t="shared" si="528"/>
        <v>93</v>
      </c>
      <c r="S110" s="199">
        <f t="shared" si="528"/>
        <v>139</v>
      </c>
      <c r="T110" s="197">
        <f t="shared" si="528"/>
        <v>41</v>
      </c>
      <c r="U110" s="197">
        <f t="shared" si="528"/>
        <v>156</v>
      </c>
      <c r="V110" s="197">
        <f t="shared" si="528"/>
        <v>293</v>
      </c>
      <c r="W110" s="199">
        <f t="shared" si="528"/>
        <v>510</v>
      </c>
      <c r="X110" s="197">
        <f t="shared" si="528"/>
        <v>67</v>
      </c>
      <c r="Y110" s="197">
        <f t="shared" si="528"/>
        <v>320</v>
      </c>
      <c r="Z110" s="197">
        <f t="shared" si="528"/>
        <v>531</v>
      </c>
      <c r="AA110" s="199">
        <f t="shared" si="528"/>
        <v>726</v>
      </c>
      <c r="AB110" s="197">
        <f t="shared" si="528"/>
        <v>139</v>
      </c>
      <c r="AC110" s="197">
        <f t="shared" si="528"/>
        <v>350</v>
      </c>
      <c r="AD110" s="197">
        <f t="shared" si="528"/>
        <v>478</v>
      </c>
      <c r="AE110" s="199">
        <f t="shared" si="528"/>
        <v>693</v>
      </c>
      <c r="AF110" s="197">
        <f t="shared" si="528"/>
        <v>185</v>
      </c>
      <c r="AG110" s="197">
        <f t="shared" si="528"/>
        <v>376</v>
      </c>
      <c r="AH110" s="197">
        <f t="shared" si="528"/>
        <v>513</v>
      </c>
      <c r="AI110" s="199">
        <f t="shared" si="528"/>
        <v>725</v>
      </c>
      <c r="AJ110" s="197">
        <f t="shared" si="528"/>
        <v>229</v>
      </c>
      <c r="AK110" s="197">
        <f>AK94+SUM(AK96:AK102)+SUM(AK104:AK109)</f>
        <v>480</v>
      </c>
      <c r="AL110" s="197">
        <f t="shared" si="528"/>
        <v>794</v>
      </c>
      <c r="AM110" s="199">
        <f>AM94+SUM(AM96:AM102)+SUM(AM104:AM109)</f>
        <v>1175</v>
      </c>
      <c r="AN110" s="197">
        <f>AN94+SUM(AN96:AN102)+SUM(AN104:AN109)</f>
        <v>481</v>
      </c>
      <c r="AO110" s="197">
        <f t="shared" ref="AO110:AU110" si="529">AO94+SUM(AO96:AO102)+SUM(AO104:AO109)</f>
        <v>1144</v>
      </c>
      <c r="AP110" s="197">
        <f t="shared" ref="AP110" si="530">AP94+SUM(AP96:AP102)+SUM(AP104:AP109)</f>
        <v>1736</v>
      </c>
      <c r="AQ110" s="199">
        <f>AQ94+SUM(AQ96:AQ102)+SUM(AQ104:AQ109)</f>
        <v>2318</v>
      </c>
      <c r="AR110" s="197">
        <f>AR94+SUM(AR96:AR102)+SUM(AR104:AR109)</f>
        <v>474</v>
      </c>
      <c r="AS110" s="197">
        <f t="shared" si="529"/>
        <v>1096</v>
      </c>
      <c r="AT110" s="197">
        <f t="shared" si="529"/>
        <v>2059</v>
      </c>
      <c r="AU110" s="199">
        <f t="shared" si="529"/>
        <v>3411</v>
      </c>
      <c r="AV110" s="197">
        <f t="shared" ref="AV110:BC110" si="531">AV94+SUM(AV96:AV102)+SUM(AV104:AV109)</f>
        <v>1353</v>
      </c>
      <c r="AW110" s="197">
        <f t="shared" si="531"/>
        <v>2936</v>
      </c>
      <c r="AX110" s="197">
        <f t="shared" si="531"/>
        <v>4592</v>
      </c>
      <c r="AY110" s="199">
        <f t="shared" si="531"/>
        <v>6551</v>
      </c>
      <c r="AZ110" s="197">
        <f t="shared" si="531"/>
        <v>1685</v>
      </c>
      <c r="BA110" s="197">
        <f t="shared" si="531"/>
        <v>4071.5700189580239</v>
      </c>
      <c r="BB110" s="197">
        <f t="shared" si="531"/>
        <v>6345.8023295752491</v>
      </c>
      <c r="BC110" s="199">
        <f t="shared" si="531"/>
        <v>8726.6113982673487</v>
      </c>
      <c r="BD110" s="197">
        <f t="shared" ref="BD110:BK110" si="532">BD94+SUM(BD96:BD102)+SUM(BD104:BD109)</f>
        <v>2657.2123211511198</v>
      </c>
      <c r="BE110" s="197">
        <f t="shared" si="532"/>
        <v>5073.7182150159297</v>
      </c>
      <c r="BF110" s="197">
        <f t="shared" si="532"/>
        <v>7392.4268925524129</v>
      </c>
      <c r="BG110" s="199">
        <f t="shared" si="532"/>
        <v>9863.2876420064567</v>
      </c>
      <c r="BH110" s="197">
        <f t="shared" si="532"/>
        <v>2821.1333215945433</v>
      </c>
      <c r="BI110" s="197">
        <f t="shared" si="532"/>
        <v>5476.5568838214549</v>
      </c>
      <c r="BJ110" s="197">
        <f t="shared" si="532"/>
        <v>7990.3157331833554</v>
      </c>
      <c r="BK110" s="199">
        <f t="shared" si="532"/>
        <v>10612.313901859201</v>
      </c>
      <c r="BL110" s="166"/>
      <c r="BM110" s="198">
        <f t="shared" ref="BM110:BW110" si="533">BM94+SUM(BM96:BM102)+SUM(BM104:BM109)</f>
        <v>342</v>
      </c>
      <c r="BN110" s="197">
        <f t="shared" si="533"/>
        <v>144</v>
      </c>
      <c r="BO110" s="197">
        <f t="shared" si="533"/>
        <v>201</v>
      </c>
      <c r="BP110" s="197">
        <f t="shared" si="533"/>
        <v>139</v>
      </c>
      <c r="BQ110" s="197">
        <f t="shared" ref="BQ110:BS110" si="534">BQ94+SUM(BQ96:BQ102)+SUM(BQ104:BQ109)</f>
        <v>510</v>
      </c>
      <c r="BR110" s="199">
        <f t="shared" si="534"/>
        <v>726</v>
      </c>
      <c r="BS110" s="197">
        <f t="shared" si="534"/>
        <v>693</v>
      </c>
      <c r="BT110" s="197">
        <f t="shared" si="533"/>
        <v>725</v>
      </c>
      <c r="BU110" s="197">
        <f t="shared" si="533"/>
        <v>1175</v>
      </c>
      <c r="BV110" s="197">
        <f t="shared" si="533"/>
        <v>2318</v>
      </c>
      <c r="BW110" s="197">
        <f t="shared" si="533"/>
        <v>3411</v>
      </c>
      <c r="BX110" s="197">
        <f>BX94+SUM(BX96:BX102)+SUM(BX104:BX109)</f>
        <v>6551</v>
      </c>
      <c r="BY110" s="197">
        <f>BY94+SUM(BY96:BY102)+SUM(BY104:BY109)</f>
        <v>8726.6113982673487</v>
      </c>
      <c r="BZ110" s="197">
        <f>BZ94+SUM(BZ96:BZ102)+SUM(BZ104:BZ109)</f>
        <v>9863.2876420064567</v>
      </c>
      <c r="CA110" s="199">
        <f>CA94+SUM(CA96:CA102)+SUM(CA104:CA109)</f>
        <v>10612.313901859201</v>
      </c>
      <c r="CB110" s="19"/>
      <c r="CC110" s="198">
        <f t="shared" ref="CC110:CJ110" si="535">CC94+SUM(CC96:CC102)+SUM(CC104:CC109)</f>
        <v>133</v>
      </c>
      <c r="CD110" s="197">
        <f t="shared" si="535"/>
        <v>207</v>
      </c>
      <c r="CE110" s="197">
        <f t="shared" si="535"/>
        <v>210</v>
      </c>
      <c r="CF110" s="197">
        <f t="shared" si="535"/>
        <v>184</v>
      </c>
      <c r="CG110" s="197">
        <f t="shared" si="535"/>
        <v>536</v>
      </c>
      <c r="CH110" s="197">
        <f t="shared" si="535"/>
        <v>798</v>
      </c>
      <c r="CI110" s="197">
        <f t="shared" si="535"/>
        <v>739</v>
      </c>
      <c r="CJ110" s="197">
        <f t="shared" si="535"/>
        <v>769</v>
      </c>
      <c r="CK110" s="197">
        <f t="shared" ref="CK110:CP110" si="536">CK94+SUM(CK96:CK102)+SUM(CK104:CK109)</f>
        <v>1427</v>
      </c>
      <c r="CL110" s="197">
        <f t="shared" si="536"/>
        <v>2311</v>
      </c>
      <c r="CM110" s="197">
        <f t="shared" si="536"/>
        <v>4290</v>
      </c>
      <c r="CN110" s="197">
        <f t="shared" si="536"/>
        <v>6883</v>
      </c>
      <c r="CO110" s="197">
        <f t="shared" si="536"/>
        <v>9698.8237194184676</v>
      </c>
      <c r="CP110" s="199">
        <f t="shared" si="536"/>
        <v>10027.208642449879</v>
      </c>
      <c r="CQ110" s="7"/>
    </row>
    <row r="111" spans="1:95" ht="14.25" customHeight="1" outlineLevel="1" thickTop="1">
      <c r="A111" s="7"/>
      <c r="B111" s="21"/>
      <c r="C111" s="22"/>
      <c r="D111" s="192"/>
      <c r="E111" s="192"/>
      <c r="F111" s="192"/>
      <c r="G111" s="193"/>
      <c r="H111" s="192"/>
      <c r="I111" s="192"/>
      <c r="J111" s="192"/>
      <c r="K111" s="193"/>
      <c r="L111" s="192"/>
      <c r="M111" s="192"/>
      <c r="N111" s="192"/>
      <c r="O111" s="193"/>
      <c r="P111" s="192"/>
      <c r="Q111" s="192"/>
      <c r="R111" s="192"/>
      <c r="S111" s="193"/>
      <c r="T111" s="192"/>
      <c r="U111" s="192"/>
      <c r="V111" s="192"/>
      <c r="W111" s="193"/>
      <c r="X111" s="192"/>
      <c r="Y111" s="192"/>
      <c r="Z111" s="192"/>
      <c r="AA111" s="193"/>
      <c r="AB111" s="192"/>
      <c r="AC111" s="192"/>
      <c r="AD111" s="192"/>
      <c r="AE111" s="193"/>
      <c r="AF111" s="192"/>
      <c r="AG111" s="192"/>
      <c r="AH111" s="192"/>
      <c r="AI111" s="193"/>
      <c r="AJ111" s="192"/>
      <c r="AK111" s="192"/>
      <c r="AL111" s="192"/>
      <c r="AM111" s="193"/>
      <c r="AN111" s="192"/>
      <c r="AO111" s="192"/>
      <c r="AP111" s="192"/>
      <c r="AQ111" s="193"/>
      <c r="AR111" s="192"/>
      <c r="AS111" s="192"/>
      <c r="AT111" s="192"/>
      <c r="AU111" s="193"/>
      <c r="AV111" s="192"/>
      <c r="AW111" s="192"/>
      <c r="AX111" s="192"/>
      <c r="AY111" s="193"/>
      <c r="AZ111" s="192"/>
      <c r="BA111" s="192"/>
      <c r="BB111" s="192"/>
      <c r="BC111" s="193"/>
      <c r="BD111" s="192"/>
      <c r="BE111" s="192"/>
      <c r="BF111" s="192"/>
      <c r="BG111" s="193"/>
      <c r="BH111" s="192"/>
      <c r="BI111" s="192"/>
      <c r="BJ111" s="192"/>
      <c r="BK111" s="193"/>
      <c r="BL111" s="166"/>
      <c r="BM111" s="194"/>
      <c r="BN111" s="192"/>
      <c r="BO111" s="192"/>
      <c r="BP111" s="192"/>
      <c r="BQ111" s="192"/>
      <c r="BR111" s="193"/>
      <c r="BS111" s="192"/>
      <c r="BT111" s="192"/>
      <c r="BU111" s="192"/>
      <c r="BV111" s="192"/>
      <c r="BW111" s="192"/>
      <c r="BX111" s="192"/>
      <c r="BY111" s="192"/>
      <c r="BZ111" s="192"/>
      <c r="CA111" s="193"/>
      <c r="CB111" s="19"/>
      <c r="CC111" s="194"/>
      <c r="CD111" s="192"/>
      <c r="CE111" s="192"/>
      <c r="CF111" s="192"/>
      <c r="CG111" s="192"/>
      <c r="CH111" s="192"/>
      <c r="CI111" s="192"/>
      <c r="CJ111" s="192"/>
      <c r="CK111" s="192"/>
      <c r="CL111" s="192"/>
      <c r="CM111" s="192"/>
      <c r="CN111" s="192"/>
      <c r="CO111" s="192"/>
      <c r="CP111" s="193"/>
      <c r="CQ111" s="7"/>
    </row>
    <row r="112" spans="1:95" ht="14.25" customHeight="1" outlineLevel="1">
      <c r="A112" s="7"/>
      <c r="B112" s="43" t="s">
        <v>78</v>
      </c>
      <c r="C112" s="44"/>
      <c r="D112" s="192"/>
      <c r="E112" s="192"/>
      <c r="F112" s="192"/>
      <c r="G112" s="193"/>
      <c r="H112" s="192"/>
      <c r="I112" s="192"/>
      <c r="J112" s="192"/>
      <c r="K112" s="193"/>
      <c r="L112" s="192"/>
      <c r="M112" s="192"/>
      <c r="N112" s="192"/>
      <c r="O112" s="193"/>
      <c r="P112" s="192"/>
      <c r="Q112" s="192"/>
      <c r="R112" s="192"/>
      <c r="S112" s="193"/>
      <c r="T112" s="192"/>
      <c r="U112" s="192"/>
      <c r="V112" s="192"/>
      <c r="W112" s="193"/>
      <c r="X112" s="192"/>
      <c r="Y112" s="192"/>
      <c r="Z112" s="192"/>
      <c r="AA112" s="193"/>
      <c r="AB112" s="192"/>
      <c r="AC112" s="192"/>
      <c r="AD112" s="192"/>
      <c r="AE112" s="193"/>
      <c r="AF112" s="192"/>
      <c r="AG112" s="192"/>
      <c r="AH112" s="192"/>
      <c r="AI112" s="193"/>
      <c r="AJ112" s="192"/>
      <c r="AK112" s="192"/>
      <c r="AL112" s="192"/>
      <c r="AM112" s="193"/>
      <c r="AN112" s="192"/>
      <c r="AO112" s="192"/>
      <c r="AP112" s="192"/>
      <c r="AQ112" s="193"/>
      <c r="AR112" s="192"/>
      <c r="AS112" s="192"/>
      <c r="AT112" s="192"/>
      <c r="AU112" s="193"/>
      <c r="AV112" s="192"/>
      <c r="AW112" s="192"/>
      <c r="AX112" s="192"/>
      <c r="AY112" s="193"/>
      <c r="AZ112" s="192"/>
      <c r="BA112" s="192"/>
      <c r="BB112" s="192"/>
      <c r="BC112" s="193"/>
      <c r="BD112" s="192"/>
      <c r="BE112" s="192"/>
      <c r="BF112" s="192"/>
      <c r="BG112" s="193"/>
      <c r="BH112" s="192"/>
      <c r="BI112" s="192"/>
      <c r="BJ112" s="192"/>
      <c r="BK112" s="193"/>
      <c r="BL112" s="166"/>
      <c r="BM112" s="194"/>
      <c r="BN112" s="192"/>
      <c r="BO112" s="192"/>
      <c r="BP112" s="192"/>
      <c r="BQ112" s="192"/>
      <c r="BR112" s="193"/>
      <c r="BS112" s="192"/>
      <c r="BT112" s="192"/>
      <c r="BU112" s="192"/>
      <c r="BV112" s="192"/>
      <c r="BW112" s="192"/>
      <c r="BX112" s="192"/>
      <c r="BY112" s="192"/>
      <c r="BZ112" s="192"/>
      <c r="CA112" s="193"/>
      <c r="CB112" s="19"/>
      <c r="CC112" s="194"/>
      <c r="CD112" s="192"/>
      <c r="CE112" s="192"/>
      <c r="CF112" s="192"/>
      <c r="CG112" s="192"/>
      <c r="CH112" s="192"/>
      <c r="CI112" s="192"/>
      <c r="CJ112" s="192"/>
      <c r="CK112" s="192"/>
      <c r="CL112" s="192"/>
      <c r="CM112" s="192"/>
      <c r="CN112" s="192"/>
      <c r="CO112" s="192"/>
      <c r="CP112" s="193"/>
      <c r="CQ112" s="7"/>
    </row>
    <row r="113" spans="1:95" ht="14.25" customHeight="1" outlineLevel="1">
      <c r="A113" s="7"/>
      <c r="B113" s="27" t="s">
        <v>172</v>
      </c>
      <c r="C113" s="28"/>
      <c r="D113" s="189">
        <f>D28</f>
        <v>-8</v>
      </c>
      <c r="E113" s="189">
        <f t="shared" ref="E113:G117" si="537">D113+E28</f>
        <v>-31</v>
      </c>
      <c r="F113" s="189">
        <f t="shared" si="537"/>
        <v>-53</v>
      </c>
      <c r="G113" s="190">
        <f t="shared" si="537"/>
        <v>-65</v>
      </c>
      <c r="H113" s="189">
        <f>H28</f>
        <v>-11</v>
      </c>
      <c r="I113" s="189">
        <f t="shared" ref="I113:K117" si="538">H113+I28</f>
        <v>-19</v>
      </c>
      <c r="J113" s="189">
        <f t="shared" si="538"/>
        <v>-27</v>
      </c>
      <c r="K113" s="190">
        <f t="shared" si="538"/>
        <v>-37</v>
      </c>
      <c r="L113" s="189">
        <f>L28</f>
        <v>-15</v>
      </c>
      <c r="M113" s="189">
        <f t="shared" ref="M113:O117" si="539">L113+M28</f>
        <v>-28</v>
      </c>
      <c r="N113" s="189">
        <f t="shared" si="539"/>
        <v>-47</v>
      </c>
      <c r="O113" s="190">
        <f t="shared" si="539"/>
        <v>-65</v>
      </c>
      <c r="P113" s="189">
        <f>P28</f>
        <v>-12</v>
      </c>
      <c r="Q113" s="189">
        <f t="shared" ref="Q113:S117" si="540">P113+Q28</f>
        <v>-25</v>
      </c>
      <c r="R113" s="189">
        <f t="shared" si="540"/>
        <v>-37</v>
      </c>
      <c r="S113" s="190">
        <f t="shared" si="540"/>
        <v>-57</v>
      </c>
      <c r="T113" s="189">
        <f>T28</f>
        <v>-9</v>
      </c>
      <c r="U113" s="189">
        <f t="shared" ref="U113:W117" si="541">T113+U28</f>
        <v>-27</v>
      </c>
      <c r="V113" s="189">
        <f t="shared" si="541"/>
        <v>-49</v>
      </c>
      <c r="W113" s="190">
        <f t="shared" si="541"/>
        <v>-79</v>
      </c>
      <c r="X113" s="189">
        <f>X28</f>
        <v>-32</v>
      </c>
      <c r="Y113" s="189">
        <f t="shared" ref="Y113:AA117" si="542">X113+Y28</f>
        <v>-51</v>
      </c>
      <c r="Z113" s="189">
        <f t="shared" si="542"/>
        <v>-75</v>
      </c>
      <c r="AA113" s="190">
        <f t="shared" si="542"/>
        <v>-112</v>
      </c>
      <c r="AB113" s="189">
        <f>AB28</f>
        <v>-47</v>
      </c>
      <c r="AC113" s="189">
        <f t="shared" ref="AC113:AE117" si="543">AB113+AC28</f>
        <v>-103</v>
      </c>
      <c r="AD113" s="189">
        <f t="shared" si="543"/>
        <v>-168</v>
      </c>
      <c r="AE113" s="190">
        <f t="shared" si="543"/>
        <v>-241</v>
      </c>
      <c r="AF113" s="189">
        <f>AF28</f>
        <v>-67</v>
      </c>
      <c r="AG113" s="189">
        <f t="shared" ref="AG113:AI117" si="544">AF113+AG28</f>
        <v>-114</v>
      </c>
      <c r="AH113" s="189">
        <f t="shared" si="544"/>
        <v>-179</v>
      </c>
      <c r="AI113" s="190">
        <f t="shared" si="544"/>
        <v>-236</v>
      </c>
      <c r="AJ113" s="189">
        <f>AJ28</f>
        <v>-52</v>
      </c>
      <c r="AK113" s="189">
        <f t="shared" ref="AK113:AM117" si="545">AJ113+AK28</f>
        <v>-125</v>
      </c>
      <c r="AL113" s="189">
        <f t="shared" si="545"/>
        <v>-220</v>
      </c>
      <c r="AM113" s="190">
        <f t="shared" si="545"/>
        <v>-409</v>
      </c>
      <c r="AN113" s="189">
        <f>AN28</f>
        <v>-162</v>
      </c>
      <c r="AO113" s="189">
        <f t="shared" ref="AO113:AQ117" si="546">AN113+AO28</f>
        <v>-339</v>
      </c>
      <c r="AP113" s="189">
        <f t="shared" si="546"/>
        <v>-487</v>
      </c>
      <c r="AQ113" s="190">
        <f t="shared" si="546"/>
        <v>-593</v>
      </c>
      <c r="AR113" s="189">
        <f>AR28</f>
        <v>-140</v>
      </c>
      <c r="AS113" s="189">
        <f t="shared" ref="AS113:AW117" si="547">AR113+AS28</f>
        <v>-298</v>
      </c>
      <c r="AT113" s="189">
        <f t="shared" si="547"/>
        <v>-530</v>
      </c>
      <c r="AU113" s="190">
        <f t="shared" si="547"/>
        <v>-723</v>
      </c>
      <c r="AV113" s="189">
        <f>AV28</f>
        <v>-325</v>
      </c>
      <c r="AW113" s="189">
        <f t="shared" si="547"/>
        <v>-581</v>
      </c>
      <c r="AX113" s="189">
        <f t="shared" ref="AX113:AY117" si="548">AW113+AX28</f>
        <v>-836</v>
      </c>
      <c r="AY113" s="190">
        <f t="shared" si="548"/>
        <v>-1069</v>
      </c>
      <c r="AZ113" s="189">
        <f>AZ28</f>
        <v>-220</v>
      </c>
      <c r="BA113" s="189">
        <f t="shared" ref="BA113:BC117" si="549">AZ113+BA28</f>
        <v>-410.41952000000003</v>
      </c>
      <c r="BB113" s="189">
        <f t="shared" si="549"/>
        <v>-566.78756900000008</v>
      </c>
      <c r="BC113" s="190">
        <f t="shared" si="549"/>
        <v>-734.27048268500005</v>
      </c>
      <c r="BD113" s="189">
        <f t="shared" ref="BD113" si="550">BD28</f>
        <v>-159.93690461219998</v>
      </c>
      <c r="BE113" s="189">
        <f t="shared" ref="BE113:BE117" si="551">BD113+BE28</f>
        <v>-315.28374303417593</v>
      </c>
      <c r="BF113" s="189">
        <f t="shared" ref="BF113:BF117" si="552">BE113+BF28</f>
        <v>-481.70050155270758</v>
      </c>
      <c r="BG113" s="190">
        <f t="shared" ref="BG113:BG117" si="553">BF113+BG28</f>
        <v>-667.02989936035078</v>
      </c>
      <c r="BH113" s="189">
        <f t="shared" ref="BH113" si="554">BH28</f>
        <v>-177.06978188347361</v>
      </c>
      <c r="BI113" s="189">
        <f t="shared" ref="BI113:BI117" si="555">BH113+BI28</f>
        <v>-344.66410135365857</v>
      </c>
      <c r="BJ113" s="189">
        <f t="shared" ref="BJ113:BJ117" si="556">BI113+BJ28</f>
        <v>-519.06220578378998</v>
      </c>
      <c r="BK113" s="190">
        <f t="shared" ref="BK113:BK117" si="557">BJ113+BK28</f>
        <v>-704.53165873948763</v>
      </c>
      <c r="BL113" s="166"/>
      <c r="BM113" s="191">
        <f>G113</f>
        <v>-65</v>
      </c>
      <c r="BN113" s="189">
        <f>K113</f>
        <v>-37</v>
      </c>
      <c r="BO113" s="189">
        <f>O113</f>
        <v>-65</v>
      </c>
      <c r="BP113" s="189">
        <f>S113</f>
        <v>-57</v>
      </c>
      <c r="BQ113" s="189">
        <f t="shared" ref="BQ113:BQ117" si="558">W113</f>
        <v>-79</v>
      </c>
      <c r="BR113" s="190">
        <f t="shared" ref="BR113:BR117" si="559">AA113</f>
        <v>-112</v>
      </c>
      <c r="BS113" s="189">
        <f t="shared" ref="BS113:BS117" si="560">AE113</f>
        <v>-241</v>
      </c>
      <c r="BT113" s="189">
        <f>AI113</f>
        <v>-236</v>
      </c>
      <c r="BU113" s="189">
        <f>AM113</f>
        <v>-409</v>
      </c>
      <c r="BV113" s="189">
        <f>AQ113</f>
        <v>-593</v>
      </c>
      <c r="BW113" s="189">
        <f>AU113</f>
        <v>-723</v>
      </c>
      <c r="BX113" s="189">
        <f>AY113</f>
        <v>-1069</v>
      </c>
      <c r="BY113" s="189">
        <f t="shared" ref="BY113:BY117" si="561">BC113</f>
        <v>-734.27048268500005</v>
      </c>
      <c r="BZ113" s="189">
        <f>BG113</f>
        <v>-667.02989936035078</v>
      </c>
      <c r="CA113" s="190">
        <f t="shared" ref="CA113:CA117" si="562">BK113</f>
        <v>-704.53165873948763</v>
      </c>
      <c r="CB113" s="19"/>
      <c r="CC113" s="191">
        <f t="shared" ref="CC113:CN113" si="563">CC28</f>
        <v>-68</v>
      </c>
      <c r="CD113" s="189">
        <f t="shared" si="563"/>
        <v>-41</v>
      </c>
      <c r="CE113" s="189">
        <f t="shared" si="563"/>
        <v>-62</v>
      </c>
      <c r="CF113" s="189">
        <f t="shared" si="563"/>
        <v>-54</v>
      </c>
      <c r="CG113" s="189">
        <f t="shared" si="563"/>
        <v>-102</v>
      </c>
      <c r="CH113" s="189">
        <f t="shared" si="563"/>
        <v>-127</v>
      </c>
      <c r="CI113" s="189">
        <f t="shared" si="563"/>
        <v>-261</v>
      </c>
      <c r="CJ113" s="189">
        <f t="shared" si="563"/>
        <v>-221</v>
      </c>
      <c r="CK113" s="189">
        <f t="shared" si="563"/>
        <v>-519</v>
      </c>
      <c r="CL113" s="189">
        <f t="shared" si="563"/>
        <v>-571</v>
      </c>
      <c r="CM113" s="189">
        <f t="shared" si="563"/>
        <v>-908</v>
      </c>
      <c r="CN113" s="189">
        <f t="shared" si="563"/>
        <v>-964</v>
      </c>
      <c r="CO113" s="189">
        <f t="shared" ref="CO113:CP113" si="564">CO28</f>
        <v>-674.20738729720006</v>
      </c>
      <c r="CP113" s="190">
        <f t="shared" si="564"/>
        <v>-684.16277663162452</v>
      </c>
      <c r="CQ113" s="7"/>
    </row>
    <row r="114" spans="1:95" ht="14.25" customHeight="1" outlineLevel="1">
      <c r="A114" s="7"/>
      <c r="B114" s="27" t="s">
        <v>171</v>
      </c>
      <c r="C114" s="28"/>
      <c r="D114" s="189">
        <f>D29</f>
        <v>-2715</v>
      </c>
      <c r="E114" s="189">
        <f t="shared" si="537"/>
        <v>-2707</v>
      </c>
      <c r="F114" s="189">
        <f t="shared" si="537"/>
        <v>-2707</v>
      </c>
      <c r="G114" s="190">
        <f t="shared" si="537"/>
        <v>-2707</v>
      </c>
      <c r="H114" s="189">
        <f>H29</f>
        <v>0</v>
      </c>
      <c r="I114" s="189">
        <f t="shared" si="538"/>
        <v>0</v>
      </c>
      <c r="J114" s="189">
        <f t="shared" si="538"/>
        <v>-27</v>
      </c>
      <c r="K114" s="190">
        <f t="shared" si="538"/>
        <v>-27</v>
      </c>
      <c r="L114" s="189">
        <f>L29</f>
        <v>-38</v>
      </c>
      <c r="M114" s="189">
        <f t="shared" si="539"/>
        <v>-46</v>
      </c>
      <c r="N114" s="189">
        <f t="shared" si="539"/>
        <v>-46</v>
      </c>
      <c r="O114" s="190">
        <f t="shared" si="539"/>
        <v>-78</v>
      </c>
      <c r="P114" s="189">
        <f>P29</f>
        <v>0</v>
      </c>
      <c r="Q114" s="189">
        <f t="shared" si="540"/>
        <v>-7</v>
      </c>
      <c r="R114" s="189">
        <f t="shared" si="540"/>
        <v>-7</v>
      </c>
      <c r="S114" s="190">
        <f t="shared" si="540"/>
        <v>-7</v>
      </c>
      <c r="T114" s="189">
        <f>T29</f>
        <v>0</v>
      </c>
      <c r="U114" s="189">
        <f t="shared" si="541"/>
        <v>-1</v>
      </c>
      <c r="V114" s="189">
        <f t="shared" si="541"/>
        <v>-9</v>
      </c>
      <c r="W114" s="190">
        <f t="shared" si="541"/>
        <v>-9</v>
      </c>
      <c r="X114" s="189">
        <f>X29</f>
        <v>-9</v>
      </c>
      <c r="Y114" s="189">
        <f t="shared" si="542"/>
        <v>-9</v>
      </c>
      <c r="Z114" s="189">
        <f t="shared" si="542"/>
        <v>-9</v>
      </c>
      <c r="AA114" s="190">
        <f t="shared" si="542"/>
        <v>-10</v>
      </c>
      <c r="AB114" s="189">
        <f>AB29</f>
        <v>0</v>
      </c>
      <c r="AC114" s="189">
        <f t="shared" si="543"/>
        <v>0</v>
      </c>
      <c r="AD114" s="189">
        <f t="shared" si="543"/>
        <v>-2</v>
      </c>
      <c r="AE114" s="190">
        <f t="shared" si="543"/>
        <v>-3</v>
      </c>
      <c r="AF114" s="189">
        <f>AF29</f>
        <v>-9</v>
      </c>
      <c r="AG114" s="189">
        <f t="shared" si="544"/>
        <v>-46</v>
      </c>
      <c r="AH114" s="189">
        <f t="shared" si="544"/>
        <v>-419</v>
      </c>
      <c r="AI114" s="190">
        <f t="shared" si="544"/>
        <v>-416</v>
      </c>
      <c r="AJ114" s="189">
        <f>AJ29</f>
        <v>0</v>
      </c>
      <c r="AK114" s="189">
        <f t="shared" si="545"/>
        <v>0</v>
      </c>
      <c r="AL114" s="189">
        <f t="shared" si="545"/>
        <v>-5644</v>
      </c>
      <c r="AM114" s="190">
        <f t="shared" si="545"/>
        <v>-5961</v>
      </c>
      <c r="AN114" s="189">
        <f>AN29</f>
        <v>0</v>
      </c>
      <c r="AO114" s="189">
        <f t="shared" si="546"/>
        <v>0</v>
      </c>
      <c r="AP114" s="189">
        <f t="shared" si="546"/>
        <v>-394</v>
      </c>
      <c r="AQ114" s="190">
        <f t="shared" si="546"/>
        <v>-394</v>
      </c>
      <c r="AR114" s="189">
        <f>AR29</f>
        <v>-12</v>
      </c>
      <c r="AS114" s="189">
        <f t="shared" si="547"/>
        <v>-10035</v>
      </c>
      <c r="AT114" s="189">
        <f t="shared" si="547"/>
        <v>-10055</v>
      </c>
      <c r="AU114" s="190">
        <f t="shared" si="547"/>
        <v>-10036</v>
      </c>
      <c r="AV114" s="189">
        <f>AV29</f>
        <v>0</v>
      </c>
      <c r="AW114" s="189">
        <f t="shared" si="547"/>
        <v>-37</v>
      </c>
      <c r="AX114" s="189">
        <f t="shared" si="548"/>
        <v>-40</v>
      </c>
      <c r="AY114" s="190">
        <f t="shared" si="548"/>
        <v>-40</v>
      </c>
      <c r="AZ114" s="189">
        <f>AZ29</f>
        <v>-4786</v>
      </c>
      <c r="BA114" s="189">
        <f t="shared" si="549"/>
        <v>-4786</v>
      </c>
      <c r="BB114" s="189">
        <f t="shared" si="549"/>
        <v>-4786</v>
      </c>
      <c r="BC114" s="190">
        <f t="shared" si="549"/>
        <v>-4786</v>
      </c>
      <c r="BD114" s="189">
        <f t="shared" ref="BD114" si="565">BD29</f>
        <v>0</v>
      </c>
      <c r="BE114" s="189">
        <f t="shared" si="551"/>
        <v>0</v>
      </c>
      <c r="BF114" s="189">
        <f t="shared" si="552"/>
        <v>0</v>
      </c>
      <c r="BG114" s="190">
        <f t="shared" si="553"/>
        <v>0</v>
      </c>
      <c r="BH114" s="189">
        <f t="shared" ref="BH114" si="566">BH29</f>
        <v>0</v>
      </c>
      <c r="BI114" s="189">
        <f t="shared" si="555"/>
        <v>0</v>
      </c>
      <c r="BJ114" s="189">
        <f t="shared" si="556"/>
        <v>0</v>
      </c>
      <c r="BK114" s="190">
        <f t="shared" si="557"/>
        <v>0</v>
      </c>
      <c r="BL114" s="166"/>
      <c r="BM114" s="191">
        <f>G114</f>
        <v>-2707</v>
      </c>
      <c r="BN114" s="189">
        <f>K114</f>
        <v>-27</v>
      </c>
      <c r="BO114" s="189">
        <f>O114</f>
        <v>-78</v>
      </c>
      <c r="BP114" s="189">
        <f>S114</f>
        <v>-7</v>
      </c>
      <c r="BQ114" s="189">
        <f t="shared" si="558"/>
        <v>-9</v>
      </c>
      <c r="BR114" s="190">
        <f t="shared" si="559"/>
        <v>-10</v>
      </c>
      <c r="BS114" s="189">
        <f t="shared" si="560"/>
        <v>-3</v>
      </c>
      <c r="BT114" s="189">
        <f>AI114</f>
        <v>-416</v>
      </c>
      <c r="BU114" s="189">
        <f>AM114</f>
        <v>-5961</v>
      </c>
      <c r="BV114" s="189">
        <f>AQ114</f>
        <v>-394</v>
      </c>
      <c r="BW114" s="189">
        <f>AU114</f>
        <v>-10036</v>
      </c>
      <c r="BX114" s="189">
        <f>AY114</f>
        <v>-40</v>
      </c>
      <c r="BY114" s="189">
        <f t="shared" si="561"/>
        <v>-4786</v>
      </c>
      <c r="BZ114" s="189">
        <f>BG114</f>
        <v>0</v>
      </c>
      <c r="CA114" s="190">
        <f t="shared" si="562"/>
        <v>0</v>
      </c>
      <c r="CB114" s="19"/>
      <c r="CC114" s="191">
        <f t="shared" ref="CC114:CN114" si="567">CC29</f>
        <v>8</v>
      </c>
      <c r="CD114" s="189">
        <f t="shared" si="567"/>
        <v>-65</v>
      </c>
      <c r="CE114" s="189">
        <f t="shared" si="567"/>
        <v>-40</v>
      </c>
      <c r="CF114" s="189">
        <f t="shared" si="567"/>
        <v>-7</v>
      </c>
      <c r="CG114" s="189">
        <f t="shared" si="567"/>
        <v>-18</v>
      </c>
      <c r="CH114" s="189">
        <f t="shared" si="567"/>
        <v>-1</v>
      </c>
      <c r="CI114" s="189">
        <f t="shared" si="567"/>
        <v>-12</v>
      </c>
      <c r="CJ114" s="189">
        <f t="shared" si="567"/>
        <v>-407</v>
      </c>
      <c r="CK114" s="189">
        <f t="shared" si="567"/>
        <v>-5961</v>
      </c>
      <c r="CL114" s="189">
        <f t="shared" si="567"/>
        <v>-406</v>
      </c>
      <c r="CM114" s="189">
        <f t="shared" si="567"/>
        <v>-10024</v>
      </c>
      <c r="CN114" s="189">
        <f t="shared" si="567"/>
        <v>-4826</v>
      </c>
      <c r="CO114" s="189">
        <f t="shared" ref="CO114:CP114" si="568">CO29</f>
        <v>0</v>
      </c>
      <c r="CP114" s="190">
        <f t="shared" si="568"/>
        <v>0</v>
      </c>
      <c r="CQ114" s="7"/>
    </row>
    <row r="115" spans="1:95" ht="14.25" customHeight="1" outlineLevel="1">
      <c r="A115" s="7"/>
      <c r="B115" s="27" t="s">
        <v>138</v>
      </c>
      <c r="C115" s="28"/>
      <c r="D115" s="189">
        <f>D30</f>
        <v>0</v>
      </c>
      <c r="E115" s="189">
        <f t="shared" si="537"/>
        <v>0</v>
      </c>
      <c r="F115" s="189">
        <f t="shared" si="537"/>
        <v>0</v>
      </c>
      <c r="G115" s="190">
        <f t="shared" si="537"/>
        <v>0</v>
      </c>
      <c r="H115" s="189">
        <f>H30</f>
        <v>0</v>
      </c>
      <c r="I115" s="189">
        <f t="shared" si="538"/>
        <v>0</v>
      </c>
      <c r="J115" s="189">
        <f t="shared" si="538"/>
        <v>0</v>
      </c>
      <c r="K115" s="190">
        <f t="shared" si="538"/>
        <v>0</v>
      </c>
      <c r="L115" s="189">
        <f>L30</f>
        <v>0</v>
      </c>
      <c r="M115" s="189">
        <f t="shared" si="539"/>
        <v>0</v>
      </c>
      <c r="N115" s="189">
        <f t="shared" si="539"/>
        <v>0</v>
      </c>
      <c r="O115" s="190">
        <f t="shared" si="539"/>
        <v>0</v>
      </c>
      <c r="P115" s="189">
        <f>P30</f>
        <v>0</v>
      </c>
      <c r="Q115" s="189">
        <f t="shared" si="540"/>
        <v>0</v>
      </c>
      <c r="R115" s="189">
        <f t="shared" si="540"/>
        <v>0</v>
      </c>
      <c r="S115" s="190">
        <f t="shared" si="540"/>
        <v>0</v>
      </c>
      <c r="T115" s="189">
        <f>T30</f>
        <v>0</v>
      </c>
      <c r="U115" s="189">
        <f t="shared" si="541"/>
        <v>0</v>
      </c>
      <c r="V115" s="189">
        <f t="shared" si="541"/>
        <v>0</v>
      </c>
      <c r="W115" s="190">
        <f t="shared" si="541"/>
        <v>0</v>
      </c>
      <c r="X115" s="189">
        <f>X30</f>
        <v>0</v>
      </c>
      <c r="Y115" s="189">
        <f t="shared" si="542"/>
        <v>0</v>
      </c>
      <c r="Z115" s="189">
        <f t="shared" si="542"/>
        <v>0</v>
      </c>
      <c r="AA115" s="190">
        <f t="shared" si="542"/>
        <v>0</v>
      </c>
      <c r="AB115" s="189">
        <f>AB30</f>
        <v>0</v>
      </c>
      <c r="AC115" s="189">
        <f t="shared" si="543"/>
        <v>0</v>
      </c>
      <c r="AD115" s="189">
        <f t="shared" si="543"/>
        <v>0</v>
      </c>
      <c r="AE115" s="190">
        <f t="shared" si="543"/>
        <v>0</v>
      </c>
      <c r="AF115" s="189">
        <f>AF30</f>
        <v>0</v>
      </c>
      <c r="AG115" s="189">
        <f t="shared" si="544"/>
        <v>0</v>
      </c>
      <c r="AH115" s="189">
        <f t="shared" si="544"/>
        <v>0</v>
      </c>
      <c r="AI115" s="190">
        <f t="shared" si="544"/>
        <v>0</v>
      </c>
      <c r="AJ115" s="189">
        <f>AJ30</f>
        <v>0</v>
      </c>
      <c r="AK115" s="189">
        <f t="shared" si="545"/>
        <v>0</v>
      </c>
      <c r="AL115" s="189">
        <f t="shared" si="545"/>
        <v>0</v>
      </c>
      <c r="AM115" s="190">
        <f t="shared" si="545"/>
        <v>450</v>
      </c>
      <c r="AN115" s="189">
        <f>AN30</f>
        <v>650</v>
      </c>
      <c r="AO115" s="189">
        <f t="shared" si="546"/>
        <v>687</v>
      </c>
      <c r="AP115" s="189">
        <f t="shared" si="546"/>
        <v>687</v>
      </c>
      <c r="AQ115" s="190">
        <f t="shared" si="546"/>
        <v>734</v>
      </c>
      <c r="AR115" s="189">
        <f>AR30</f>
        <v>0</v>
      </c>
      <c r="AS115" s="189">
        <f t="shared" si="547"/>
        <v>0</v>
      </c>
      <c r="AT115" s="189">
        <f t="shared" si="547"/>
        <v>5</v>
      </c>
      <c r="AU115" s="190">
        <f t="shared" si="547"/>
        <v>5</v>
      </c>
      <c r="AV115" s="189">
        <f>AV30</f>
        <v>10</v>
      </c>
      <c r="AW115" s="189">
        <f t="shared" si="547"/>
        <v>10</v>
      </c>
      <c r="AX115" s="189">
        <f t="shared" si="548"/>
        <v>11</v>
      </c>
      <c r="AY115" s="190">
        <f t="shared" si="548"/>
        <v>451</v>
      </c>
      <c r="AZ115" s="189">
        <f>AZ30</f>
        <v>1019</v>
      </c>
      <c r="BA115" s="189">
        <f t="shared" si="549"/>
        <v>1019</v>
      </c>
      <c r="BB115" s="189">
        <f t="shared" si="549"/>
        <v>1019</v>
      </c>
      <c r="BC115" s="190">
        <f t="shared" si="549"/>
        <v>1019</v>
      </c>
      <c r="BD115" s="189">
        <f t="shared" ref="BD115" si="569">BD30</f>
        <v>0</v>
      </c>
      <c r="BE115" s="189">
        <f t="shared" si="551"/>
        <v>0</v>
      </c>
      <c r="BF115" s="189">
        <f t="shared" si="552"/>
        <v>0</v>
      </c>
      <c r="BG115" s="190">
        <f t="shared" si="553"/>
        <v>0</v>
      </c>
      <c r="BH115" s="189">
        <f t="shared" ref="BH115" si="570">BH30</f>
        <v>0</v>
      </c>
      <c r="BI115" s="189">
        <f t="shared" si="555"/>
        <v>0</v>
      </c>
      <c r="BJ115" s="189">
        <f t="shared" si="556"/>
        <v>0</v>
      </c>
      <c r="BK115" s="190">
        <f t="shared" si="557"/>
        <v>0</v>
      </c>
      <c r="BL115" s="166"/>
      <c r="BM115" s="191">
        <f>G115</f>
        <v>0</v>
      </c>
      <c r="BN115" s="189">
        <f>K115</f>
        <v>0</v>
      </c>
      <c r="BO115" s="189">
        <f>O115</f>
        <v>0</v>
      </c>
      <c r="BP115" s="189">
        <f>S115</f>
        <v>0</v>
      </c>
      <c r="BQ115" s="189">
        <f t="shared" si="558"/>
        <v>0</v>
      </c>
      <c r="BR115" s="190">
        <f t="shared" si="559"/>
        <v>0</v>
      </c>
      <c r="BS115" s="189">
        <f t="shared" si="560"/>
        <v>0</v>
      </c>
      <c r="BT115" s="189">
        <f>AI115</f>
        <v>0</v>
      </c>
      <c r="BU115" s="189">
        <f>AM115</f>
        <v>450</v>
      </c>
      <c r="BV115" s="189">
        <f>AQ115</f>
        <v>734</v>
      </c>
      <c r="BW115" s="189">
        <f>AU115</f>
        <v>5</v>
      </c>
      <c r="BX115" s="189">
        <f>AY115</f>
        <v>451</v>
      </c>
      <c r="BY115" s="189">
        <f t="shared" si="561"/>
        <v>1019</v>
      </c>
      <c r="BZ115" s="189">
        <f>BG115</f>
        <v>0</v>
      </c>
      <c r="CA115" s="190">
        <f t="shared" si="562"/>
        <v>0</v>
      </c>
      <c r="CB115" s="19"/>
      <c r="CC115" s="191">
        <f t="shared" ref="CC115:CN115" si="571">CC30</f>
        <v>0</v>
      </c>
      <c r="CD115" s="189">
        <f t="shared" si="571"/>
        <v>0</v>
      </c>
      <c r="CE115" s="189">
        <f t="shared" si="571"/>
        <v>0</v>
      </c>
      <c r="CF115" s="189">
        <f t="shared" si="571"/>
        <v>0</v>
      </c>
      <c r="CG115" s="189">
        <f t="shared" si="571"/>
        <v>0</v>
      </c>
      <c r="CH115" s="189">
        <f t="shared" si="571"/>
        <v>0</v>
      </c>
      <c r="CI115" s="189">
        <f t="shared" si="571"/>
        <v>0</v>
      </c>
      <c r="CJ115" s="189">
        <f t="shared" si="571"/>
        <v>0</v>
      </c>
      <c r="CK115" s="189">
        <f t="shared" si="571"/>
        <v>1100</v>
      </c>
      <c r="CL115" s="189">
        <f t="shared" si="571"/>
        <v>84</v>
      </c>
      <c r="CM115" s="189">
        <f t="shared" si="571"/>
        <v>15</v>
      </c>
      <c r="CN115" s="189">
        <f t="shared" si="571"/>
        <v>1460</v>
      </c>
      <c r="CO115" s="189">
        <f t="shared" ref="CO115:CP115" si="572">CO30</f>
        <v>0</v>
      </c>
      <c r="CP115" s="190">
        <f t="shared" si="572"/>
        <v>0</v>
      </c>
      <c r="CQ115" s="7"/>
    </row>
    <row r="116" spans="1:95" ht="14.25" customHeight="1" outlineLevel="1">
      <c r="A116" s="7"/>
      <c r="B116" s="27" t="s">
        <v>149</v>
      </c>
      <c r="C116" s="28"/>
      <c r="D116" s="189">
        <f>D31</f>
        <v>0</v>
      </c>
      <c r="E116" s="189">
        <f t="shared" si="537"/>
        <v>0</v>
      </c>
      <c r="F116" s="189">
        <f t="shared" si="537"/>
        <v>0</v>
      </c>
      <c r="G116" s="190">
        <f t="shared" si="537"/>
        <v>0</v>
      </c>
      <c r="H116" s="189">
        <f>H31</f>
        <v>0</v>
      </c>
      <c r="I116" s="189">
        <f t="shared" si="538"/>
        <v>0</v>
      </c>
      <c r="J116" s="189">
        <f t="shared" si="538"/>
        <v>0</v>
      </c>
      <c r="K116" s="190">
        <f t="shared" si="538"/>
        <v>0</v>
      </c>
      <c r="L116" s="189">
        <f>L31</f>
        <v>-6</v>
      </c>
      <c r="M116" s="189">
        <f t="shared" si="539"/>
        <v>-6</v>
      </c>
      <c r="N116" s="189">
        <f t="shared" si="539"/>
        <v>-6</v>
      </c>
      <c r="O116" s="190">
        <f t="shared" si="539"/>
        <v>-6</v>
      </c>
      <c r="P116" s="189">
        <f>P31</f>
        <v>0</v>
      </c>
      <c r="Q116" s="189">
        <f t="shared" si="540"/>
        <v>0</v>
      </c>
      <c r="R116" s="189">
        <f t="shared" si="540"/>
        <v>0</v>
      </c>
      <c r="S116" s="190">
        <f t="shared" si="540"/>
        <v>-1</v>
      </c>
      <c r="T116" s="189">
        <f>T31</f>
        <v>0</v>
      </c>
      <c r="U116" s="189">
        <f t="shared" si="541"/>
        <v>0</v>
      </c>
      <c r="V116" s="189">
        <f t="shared" si="541"/>
        <v>0</v>
      </c>
      <c r="W116" s="190">
        <f t="shared" si="541"/>
        <v>0</v>
      </c>
      <c r="X116" s="189">
        <f>X31</f>
        <v>0</v>
      </c>
      <c r="Y116" s="189">
        <f t="shared" si="542"/>
        <v>0</v>
      </c>
      <c r="Z116" s="189">
        <f t="shared" si="542"/>
        <v>0</v>
      </c>
      <c r="AA116" s="190">
        <f t="shared" si="542"/>
        <v>0</v>
      </c>
      <c r="AB116" s="189">
        <f>AB31</f>
        <v>0</v>
      </c>
      <c r="AC116" s="189">
        <f t="shared" si="543"/>
        <v>0</v>
      </c>
      <c r="AD116" s="189">
        <f t="shared" si="543"/>
        <v>0</v>
      </c>
      <c r="AE116" s="190">
        <f t="shared" si="543"/>
        <v>0</v>
      </c>
      <c r="AF116" s="189">
        <f>AF31</f>
        <v>0</v>
      </c>
      <c r="AG116" s="189">
        <f t="shared" si="544"/>
        <v>0</v>
      </c>
      <c r="AH116" s="189">
        <f t="shared" si="544"/>
        <v>0</v>
      </c>
      <c r="AI116" s="190">
        <f t="shared" si="544"/>
        <v>0</v>
      </c>
      <c r="AJ116" s="189">
        <f>AJ31</f>
        <v>0</v>
      </c>
      <c r="AK116" s="189">
        <f t="shared" si="545"/>
        <v>0</v>
      </c>
      <c r="AL116" s="189">
        <f t="shared" si="545"/>
        <v>0</v>
      </c>
      <c r="AM116" s="190">
        <f t="shared" si="545"/>
        <v>0</v>
      </c>
      <c r="AN116" s="189">
        <f>AN31</f>
        <v>0</v>
      </c>
      <c r="AO116" s="189">
        <f t="shared" si="546"/>
        <v>0</v>
      </c>
      <c r="AP116" s="189">
        <f t="shared" si="546"/>
        <v>0</v>
      </c>
      <c r="AQ116" s="190">
        <f t="shared" si="546"/>
        <v>0</v>
      </c>
      <c r="AR116" s="189">
        <f>AR31</f>
        <v>0</v>
      </c>
      <c r="AS116" s="189">
        <f t="shared" si="547"/>
        <v>0</v>
      </c>
      <c r="AT116" s="189">
        <f t="shared" si="547"/>
        <v>0</v>
      </c>
      <c r="AU116" s="190">
        <f t="shared" si="547"/>
        <v>0</v>
      </c>
      <c r="AV116" s="189">
        <f>AV31</f>
        <v>0</v>
      </c>
      <c r="AW116" s="189">
        <f t="shared" si="547"/>
        <v>0</v>
      </c>
      <c r="AX116" s="189">
        <f t="shared" si="548"/>
        <v>0</v>
      </c>
      <c r="AY116" s="190">
        <f t="shared" si="548"/>
        <v>0</v>
      </c>
      <c r="AZ116" s="189">
        <f>AZ31</f>
        <v>0</v>
      </c>
      <c r="BA116" s="189">
        <f t="shared" si="549"/>
        <v>0</v>
      </c>
      <c r="BB116" s="189">
        <f t="shared" si="549"/>
        <v>0</v>
      </c>
      <c r="BC116" s="190">
        <f t="shared" si="549"/>
        <v>0</v>
      </c>
      <c r="BD116" s="189">
        <f t="shared" ref="BD116" si="573">BD31</f>
        <v>0</v>
      </c>
      <c r="BE116" s="189">
        <f t="shared" si="551"/>
        <v>0</v>
      </c>
      <c r="BF116" s="189">
        <f t="shared" si="552"/>
        <v>0</v>
      </c>
      <c r="BG116" s="190">
        <f t="shared" si="553"/>
        <v>0</v>
      </c>
      <c r="BH116" s="189">
        <f t="shared" ref="BH116" si="574">BH31</f>
        <v>0</v>
      </c>
      <c r="BI116" s="189">
        <f t="shared" si="555"/>
        <v>0</v>
      </c>
      <c r="BJ116" s="189">
        <f t="shared" si="556"/>
        <v>0</v>
      </c>
      <c r="BK116" s="190">
        <f t="shared" si="557"/>
        <v>0</v>
      </c>
      <c r="BL116" s="166"/>
      <c r="BM116" s="191">
        <f>G116</f>
        <v>0</v>
      </c>
      <c r="BN116" s="189">
        <f>K116</f>
        <v>0</v>
      </c>
      <c r="BO116" s="189">
        <f>O116</f>
        <v>-6</v>
      </c>
      <c r="BP116" s="189">
        <f>S116</f>
        <v>-1</v>
      </c>
      <c r="BQ116" s="189">
        <f t="shared" si="558"/>
        <v>0</v>
      </c>
      <c r="BR116" s="190">
        <f t="shared" si="559"/>
        <v>0</v>
      </c>
      <c r="BS116" s="189">
        <f t="shared" si="560"/>
        <v>0</v>
      </c>
      <c r="BT116" s="189">
        <f>AI116</f>
        <v>0</v>
      </c>
      <c r="BU116" s="189">
        <f>AM116</f>
        <v>0</v>
      </c>
      <c r="BV116" s="189">
        <f>AQ116</f>
        <v>0</v>
      </c>
      <c r="BW116" s="189">
        <f>AU116</f>
        <v>0</v>
      </c>
      <c r="BX116" s="189">
        <f>AY116</f>
        <v>0</v>
      </c>
      <c r="BY116" s="189">
        <f t="shared" si="561"/>
        <v>0</v>
      </c>
      <c r="BZ116" s="189">
        <f>BG116</f>
        <v>0</v>
      </c>
      <c r="CA116" s="190">
        <f t="shared" si="562"/>
        <v>0</v>
      </c>
      <c r="CB116" s="19"/>
      <c r="CC116" s="191">
        <f t="shared" ref="CC116:CN116" si="575">CC31</f>
        <v>0</v>
      </c>
      <c r="CD116" s="189">
        <f t="shared" si="575"/>
        <v>-6</v>
      </c>
      <c r="CE116" s="189">
        <f t="shared" si="575"/>
        <v>0</v>
      </c>
      <c r="CF116" s="189">
        <f t="shared" si="575"/>
        <v>-1</v>
      </c>
      <c r="CG116" s="189">
        <f t="shared" si="575"/>
        <v>0</v>
      </c>
      <c r="CH116" s="189">
        <f t="shared" si="575"/>
        <v>0</v>
      </c>
      <c r="CI116" s="189">
        <f t="shared" si="575"/>
        <v>0</v>
      </c>
      <c r="CJ116" s="189">
        <f t="shared" si="575"/>
        <v>0</v>
      </c>
      <c r="CK116" s="189">
        <f t="shared" si="575"/>
        <v>0</v>
      </c>
      <c r="CL116" s="189">
        <f t="shared" si="575"/>
        <v>0</v>
      </c>
      <c r="CM116" s="189">
        <f t="shared" si="575"/>
        <v>0</v>
      </c>
      <c r="CN116" s="189">
        <f t="shared" si="575"/>
        <v>0</v>
      </c>
      <c r="CO116" s="189">
        <f t="shared" ref="CO116:CP116" si="576">CO31</f>
        <v>0</v>
      </c>
      <c r="CP116" s="190">
        <f t="shared" si="576"/>
        <v>0</v>
      </c>
      <c r="CQ116" s="7"/>
    </row>
    <row r="117" spans="1:95" ht="14.25" customHeight="1" outlineLevel="1">
      <c r="A117" s="10"/>
      <c r="B117" s="27" t="s">
        <v>79</v>
      </c>
      <c r="C117" s="28"/>
      <c r="D117" s="189">
        <f>D32</f>
        <v>0</v>
      </c>
      <c r="E117" s="189">
        <f t="shared" si="537"/>
        <v>420</v>
      </c>
      <c r="F117" s="189">
        <f t="shared" si="537"/>
        <v>666</v>
      </c>
      <c r="G117" s="190">
        <f t="shared" si="537"/>
        <v>666</v>
      </c>
      <c r="H117" s="189">
        <f>H32</f>
        <v>55</v>
      </c>
      <c r="I117" s="189">
        <f t="shared" si="538"/>
        <v>65</v>
      </c>
      <c r="J117" s="189">
        <f t="shared" si="538"/>
        <v>65</v>
      </c>
      <c r="K117" s="190">
        <f t="shared" si="538"/>
        <v>69</v>
      </c>
      <c r="L117" s="189">
        <f>L32</f>
        <v>25</v>
      </c>
      <c r="M117" s="189">
        <f t="shared" si="539"/>
        <v>25</v>
      </c>
      <c r="N117" s="189">
        <f t="shared" si="539"/>
        <v>50</v>
      </c>
      <c r="O117" s="190">
        <f t="shared" si="539"/>
        <v>55</v>
      </c>
      <c r="P117" s="189">
        <f>P32</f>
        <v>0</v>
      </c>
      <c r="Q117" s="189">
        <f t="shared" si="540"/>
        <v>2</v>
      </c>
      <c r="R117" s="189">
        <f t="shared" si="540"/>
        <v>2</v>
      </c>
      <c r="S117" s="190">
        <f t="shared" si="540"/>
        <v>2</v>
      </c>
      <c r="T117" s="189">
        <f>T32</f>
        <v>0</v>
      </c>
      <c r="U117" s="189">
        <f t="shared" si="541"/>
        <v>1</v>
      </c>
      <c r="V117" s="189">
        <f t="shared" si="541"/>
        <v>2</v>
      </c>
      <c r="W117" s="190">
        <f t="shared" si="541"/>
        <v>2</v>
      </c>
      <c r="X117" s="189">
        <f>X32</f>
        <v>0</v>
      </c>
      <c r="Y117" s="189">
        <f t="shared" si="542"/>
        <v>0</v>
      </c>
      <c r="Z117" s="189">
        <f t="shared" si="542"/>
        <v>0</v>
      </c>
      <c r="AA117" s="190">
        <f t="shared" si="542"/>
        <v>0</v>
      </c>
      <c r="AB117" s="189">
        <f>AB32</f>
        <v>0</v>
      </c>
      <c r="AC117" s="189">
        <f t="shared" si="543"/>
        <v>0</v>
      </c>
      <c r="AD117" s="189">
        <f t="shared" si="543"/>
        <v>0</v>
      </c>
      <c r="AE117" s="190">
        <f t="shared" si="543"/>
        <v>0</v>
      </c>
      <c r="AF117" s="189">
        <f>AF32</f>
        <v>0</v>
      </c>
      <c r="AG117" s="189">
        <f t="shared" si="544"/>
        <v>0</v>
      </c>
      <c r="AH117" s="189">
        <f t="shared" si="544"/>
        <v>0</v>
      </c>
      <c r="AI117" s="190">
        <f t="shared" si="544"/>
        <v>0</v>
      </c>
      <c r="AJ117" s="189">
        <f>AJ32</f>
        <v>0</v>
      </c>
      <c r="AK117" s="189">
        <f t="shared" si="545"/>
        <v>14</v>
      </c>
      <c r="AL117" s="189">
        <f t="shared" si="545"/>
        <v>14</v>
      </c>
      <c r="AM117" s="190">
        <f t="shared" si="545"/>
        <v>35</v>
      </c>
      <c r="AN117" s="189">
        <f>AN32</f>
        <v>26</v>
      </c>
      <c r="AO117" s="189">
        <f t="shared" si="546"/>
        <v>17</v>
      </c>
      <c r="AP117" s="189">
        <f t="shared" si="546"/>
        <v>17</v>
      </c>
      <c r="AQ117" s="190">
        <f t="shared" si="546"/>
        <v>12</v>
      </c>
      <c r="AR117" s="189">
        <f>AR32</f>
        <v>67</v>
      </c>
      <c r="AS117" s="189">
        <f t="shared" si="547"/>
        <v>41</v>
      </c>
      <c r="AT117" s="189">
        <f t="shared" si="547"/>
        <v>714</v>
      </c>
      <c r="AU117" s="190">
        <f t="shared" si="547"/>
        <v>914</v>
      </c>
      <c r="AV117" s="189">
        <f>AV32</f>
        <v>-4</v>
      </c>
      <c r="AW117" s="189">
        <f t="shared" si="547"/>
        <v>-204</v>
      </c>
      <c r="AX117" s="189">
        <f t="shared" si="548"/>
        <v>-205</v>
      </c>
      <c r="AY117" s="190">
        <f t="shared" si="548"/>
        <v>-16</v>
      </c>
      <c r="AZ117" s="189">
        <f>AZ32</f>
        <v>-240</v>
      </c>
      <c r="BA117" s="189">
        <f t="shared" si="549"/>
        <v>-240</v>
      </c>
      <c r="BB117" s="189">
        <f t="shared" si="549"/>
        <v>-240</v>
      </c>
      <c r="BC117" s="190">
        <f t="shared" si="549"/>
        <v>-240</v>
      </c>
      <c r="BD117" s="189">
        <f t="shared" ref="BD117" si="577">BD32</f>
        <v>0</v>
      </c>
      <c r="BE117" s="189">
        <f t="shared" si="551"/>
        <v>0</v>
      </c>
      <c r="BF117" s="189">
        <f t="shared" si="552"/>
        <v>0</v>
      </c>
      <c r="BG117" s="190">
        <f t="shared" si="553"/>
        <v>0</v>
      </c>
      <c r="BH117" s="189">
        <f t="shared" ref="BH117" si="578">BH32</f>
        <v>0</v>
      </c>
      <c r="BI117" s="189">
        <f t="shared" si="555"/>
        <v>0</v>
      </c>
      <c r="BJ117" s="189">
        <f t="shared" si="556"/>
        <v>0</v>
      </c>
      <c r="BK117" s="190">
        <f t="shared" si="557"/>
        <v>0</v>
      </c>
      <c r="BL117" s="166"/>
      <c r="BM117" s="191">
        <f>G117</f>
        <v>666</v>
      </c>
      <c r="BN117" s="189">
        <f>K117</f>
        <v>69</v>
      </c>
      <c r="BO117" s="189">
        <f>O117</f>
        <v>55</v>
      </c>
      <c r="BP117" s="189">
        <f>S117</f>
        <v>2</v>
      </c>
      <c r="BQ117" s="189">
        <f t="shared" si="558"/>
        <v>2</v>
      </c>
      <c r="BR117" s="190">
        <f t="shared" si="559"/>
        <v>0</v>
      </c>
      <c r="BS117" s="189">
        <f t="shared" si="560"/>
        <v>0</v>
      </c>
      <c r="BT117" s="189">
        <f>AI117</f>
        <v>0</v>
      </c>
      <c r="BU117" s="189">
        <f>AM117</f>
        <v>35</v>
      </c>
      <c r="BV117" s="189">
        <f>AQ117</f>
        <v>12</v>
      </c>
      <c r="BW117" s="189">
        <f>AU117</f>
        <v>914</v>
      </c>
      <c r="BX117" s="189">
        <f>AY117</f>
        <v>-16</v>
      </c>
      <c r="BY117" s="189">
        <f t="shared" si="561"/>
        <v>-240</v>
      </c>
      <c r="BZ117" s="189">
        <f>BG117</f>
        <v>0</v>
      </c>
      <c r="CA117" s="190">
        <f t="shared" si="562"/>
        <v>0</v>
      </c>
      <c r="CB117" s="166"/>
      <c r="CC117" s="191">
        <f t="shared" ref="CC117:CN117" si="579">CC32</f>
        <v>721</v>
      </c>
      <c r="CD117" s="189">
        <f t="shared" si="579"/>
        <v>39</v>
      </c>
      <c r="CE117" s="189">
        <f t="shared" si="579"/>
        <v>30</v>
      </c>
      <c r="CF117" s="189">
        <f t="shared" si="579"/>
        <v>2</v>
      </c>
      <c r="CG117" s="189">
        <f t="shared" si="579"/>
        <v>2</v>
      </c>
      <c r="CH117" s="189">
        <f t="shared" si="579"/>
        <v>0</v>
      </c>
      <c r="CI117" s="189">
        <f t="shared" si="579"/>
        <v>0</v>
      </c>
      <c r="CJ117" s="189">
        <f t="shared" si="579"/>
        <v>0</v>
      </c>
      <c r="CK117" s="189">
        <f t="shared" si="579"/>
        <v>61</v>
      </c>
      <c r="CL117" s="189">
        <f t="shared" si="579"/>
        <v>53</v>
      </c>
      <c r="CM117" s="189">
        <f t="shared" si="579"/>
        <v>843</v>
      </c>
      <c r="CN117" s="189">
        <f t="shared" si="579"/>
        <v>-252</v>
      </c>
      <c r="CO117" s="189">
        <f t="shared" ref="CO117:CP117" si="580">CO32</f>
        <v>0</v>
      </c>
      <c r="CP117" s="190">
        <f t="shared" si="580"/>
        <v>0</v>
      </c>
      <c r="CQ117" s="10"/>
    </row>
    <row r="118" spans="1:95" ht="14.25" customHeight="1" outlineLevel="1" thickBot="1">
      <c r="A118" s="7"/>
      <c r="B118" s="195" t="s">
        <v>80</v>
      </c>
      <c r="C118" s="196"/>
      <c r="D118" s="197">
        <f t="shared" ref="D118:AL118" si="581">SUM(D113:D117)</f>
        <v>-2723</v>
      </c>
      <c r="E118" s="197">
        <f t="shared" si="581"/>
        <v>-2318</v>
      </c>
      <c r="F118" s="197">
        <f t="shared" si="581"/>
        <v>-2094</v>
      </c>
      <c r="G118" s="199">
        <f t="shared" si="581"/>
        <v>-2106</v>
      </c>
      <c r="H118" s="197">
        <f t="shared" si="581"/>
        <v>44</v>
      </c>
      <c r="I118" s="197">
        <f t="shared" si="581"/>
        <v>46</v>
      </c>
      <c r="J118" s="197">
        <f t="shared" si="581"/>
        <v>11</v>
      </c>
      <c r="K118" s="199">
        <f t="shared" si="581"/>
        <v>5</v>
      </c>
      <c r="L118" s="197">
        <f t="shared" si="581"/>
        <v>-34</v>
      </c>
      <c r="M118" s="197">
        <f t="shared" si="581"/>
        <v>-55</v>
      </c>
      <c r="N118" s="197">
        <f t="shared" si="581"/>
        <v>-49</v>
      </c>
      <c r="O118" s="199">
        <f t="shared" si="581"/>
        <v>-94</v>
      </c>
      <c r="P118" s="197">
        <f t="shared" si="581"/>
        <v>-12</v>
      </c>
      <c r="Q118" s="197">
        <f t="shared" si="581"/>
        <v>-30</v>
      </c>
      <c r="R118" s="197">
        <f t="shared" si="581"/>
        <v>-42</v>
      </c>
      <c r="S118" s="199">
        <f t="shared" si="581"/>
        <v>-63</v>
      </c>
      <c r="T118" s="197">
        <f t="shared" si="581"/>
        <v>-9</v>
      </c>
      <c r="U118" s="197">
        <f t="shared" si="581"/>
        <v>-27</v>
      </c>
      <c r="V118" s="197">
        <f t="shared" si="581"/>
        <v>-56</v>
      </c>
      <c r="W118" s="199">
        <f t="shared" si="581"/>
        <v>-86</v>
      </c>
      <c r="X118" s="197">
        <f t="shared" si="581"/>
        <v>-41</v>
      </c>
      <c r="Y118" s="197">
        <f t="shared" si="581"/>
        <v>-60</v>
      </c>
      <c r="Z118" s="197">
        <f t="shared" si="581"/>
        <v>-84</v>
      </c>
      <c r="AA118" s="199">
        <f t="shared" si="581"/>
        <v>-122</v>
      </c>
      <c r="AB118" s="197">
        <f t="shared" si="581"/>
        <v>-47</v>
      </c>
      <c r="AC118" s="197">
        <f t="shared" si="581"/>
        <v>-103</v>
      </c>
      <c r="AD118" s="197">
        <f t="shared" si="581"/>
        <v>-170</v>
      </c>
      <c r="AE118" s="199">
        <f t="shared" si="581"/>
        <v>-244</v>
      </c>
      <c r="AF118" s="197">
        <f t="shared" si="581"/>
        <v>-76</v>
      </c>
      <c r="AG118" s="197">
        <f t="shared" si="581"/>
        <v>-160</v>
      </c>
      <c r="AH118" s="197">
        <f t="shared" si="581"/>
        <v>-598</v>
      </c>
      <c r="AI118" s="199">
        <f t="shared" si="581"/>
        <v>-652</v>
      </c>
      <c r="AJ118" s="197">
        <f t="shared" si="581"/>
        <v>-52</v>
      </c>
      <c r="AK118" s="197">
        <f>SUM(AK113:AK117)</f>
        <v>-111</v>
      </c>
      <c r="AL118" s="197">
        <f t="shared" si="581"/>
        <v>-5850</v>
      </c>
      <c r="AM118" s="199">
        <f>SUM(AM113:AM117)</f>
        <v>-5885</v>
      </c>
      <c r="AN118" s="197">
        <f>SUM(AN113:AN117)</f>
        <v>514</v>
      </c>
      <c r="AO118" s="197">
        <f t="shared" ref="AO118:AU118" si="582">SUM(AO113:AO117)</f>
        <v>365</v>
      </c>
      <c r="AP118" s="197">
        <f t="shared" ref="AP118" si="583">SUM(AP113:AP117)</f>
        <v>-177</v>
      </c>
      <c r="AQ118" s="199">
        <f>SUM(AQ113:AQ117)</f>
        <v>-241</v>
      </c>
      <c r="AR118" s="197">
        <f>SUM(AR113:AR117)</f>
        <v>-85</v>
      </c>
      <c r="AS118" s="197">
        <f t="shared" si="582"/>
        <v>-10292</v>
      </c>
      <c r="AT118" s="197">
        <f t="shared" si="582"/>
        <v>-9866</v>
      </c>
      <c r="AU118" s="199">
        <f t="shared" si="582"/>
        <v>-9840</v>
      </c>
      <c r="AV118" s="197">
        <f t="shared" ref="AV118:BC118" si="584">SUM(AV113:AV117)</f>
        <v>-319</v>
      </c>
      <c r="AW118" s="197">
        <f t="shared" si="584"/>
        <v>-812</v>
      </c>
      <c r="AX118" s="197">
        <f t="shared" si="584"/>
        <v>-1070</v>
      </c>
      <c r="AY118" s="199">
        <f t="shared" si="584"/>
        <v>-674</v>
      </c>
      <c r="AZ118" s="197">
        <f t="shared" si="584"/>
        <v>-4227</v>
      </c>
      <c r="BA118" s="197">
        <f t="shared" si="584"/>
        <v>-4417.4195200000004</v>
      </c>
      <c r="BB118" s="197">
        <f t="shared" si="584"/>
        <v>-4573.7875690000001</v>
      </c>
      <c r="BC118" s="199">
        <f t="shared" si="584"/>
        <v>-4741.2704826850004</v>
      </c>
      <c r="BD118" s="197">
        <f t="shared" ref="BD118:BK118" si="585">SUM(BD113:BD117)</f>
        <v>-159.93690461219998</v>
      </c>
      <c r="BE118" s="197">
        <f t="shared" si="585"/>
        <v>-315.28374303417593</v>
      </c>
      <c r="BF118" s="197">
        <f t="shared" si="585"/>
        <v>-481.70050155270758</v>
      </c>
      <c r="BG118" s="199">
        <f t="shared" si="585"/>
        <v>-667.02989936035078</v>
      </c>
      <c r="BH118" s="197">
        <f t="shared" si="585"/>
        <v>-177.06978188347361</v>
      </c>
      <c r="BI118" s="197">
        <f t="shared" si="585"/>
        <v>-344.66410135365857</v>
      </c>
      <c r="BJ118" s="197">
        <f t="shared" si="585"/>
        <v>-519.06220578378998</v>
      </c>
      <c r="BK118" s="199">
        <f t="shared" si="585"/>
        <v>-704.53165873948763</v>
      </c>
      <c r="BL118" s="166"/>
      <c r="BM118" s="198">
        <f t="shared" ref="BM118:BW118" si="586">SUM(BM113:BM117)</f>
        <v>-2106</v>
      </c>
      <c r="BN118" s="197">
        <f t="shared" si="586"/>
        <v>5</v>
      </c>
      <c r="BO118" s="197">
        <f t="shared" si="586"/>
        <v>-94</v>
      </c>
      <c r="BP118" s="197">
        <f t="shared" si="586"/>
        <v>-63</v>
      </c>
      <c r="BQ118" s="197">
        <f t="shared" ref="BQ118:BS118" si="587">SUM(BQ113:BQ117)</f>
        <v>-86</v>
      </c>
      <c r="BR118" s="199">
        <f t="shared" si="587"/>
        <v>-122</v>
      </c>
      <c r="BS118" s="197">
        <f t="shared" si="587"/>
        <v>-244</v>
      </c>
      <c r="BT118" s="197">
        <f t="shared" si="586"/>
        <v>-652</v>
      </c>
      <c r="BU118" s="197">
        <f t="shared" si="586"/>
        <v>-5885</v>
      </c>
      <c r="BV118" s="197">
        <f t="shared" si="586"/>
        <v>-241</v>
      </c>
      <c r="BW118" s="197">
        <f t="shared" si="586"/>
        <v>-9840</v>
      </c>
      <c r="BX118" s="197">
        <f>SUM(BX113:BX117)</f>
        <v>-674</v>
      </c>
      <c r="BY118" s="197">
        <f>SUM(BY113:BY117)</f>
        <v>-4741.2704826850004</v>
      </c>
      <c r="BZ118" s="197">
        <f>SUM(BZ113:BZ117)</f>
        <v>-667.02989936035078</v>
      </c>
      <c r="CA118" s="199">
        <f>SUM(CA113:CA117)</f>
        <v>-704.53165873948763</v>
      </c>
      <c r="CB118" s="19"/>
      <c r="CC118" s="198">
        <f t="shared" ref="CC118:CJ118" si="588">SUM(CC113:CC117)</f>
        <v>661</v>
      </c>
      <c r="CD118" s="197">
        <f t="shared" si="588"/>
        <v>-73</v>
      </c>
      <c r="CE118" s="197">
        <f t="shared" si="588"/>
        <v>-72</v>
      </c>
      <c r="CF118" s="197">
        <f t="shared" si="588"/>
        <v>-60</v>
      </c>
      <c r="CG118" s="197">
        <f t="shared" si="588"/>
        <v>-118</v>
      </c>
      <c r="CH118" s="197">
        <f t="shared" si="588"/>
        <v>-128</v>
      </c>
      <c r="CI118" s="197">
        <f t="shared" si="588"/>
        <v>-273</v>
      </c>
      <c r="CJ118" s="197">
        <f t="shared" si="588"/>
        <v>-628</v>
      </c>
      <c r="CK118" s="197">
        <f t="shared" ref="CK118:CP118" si="589">SUM(CK113:CK117)</f>
        <v>-5319</v>
      </c>
      <c r="CL118" s="197">
        <f t="shared" si="589"/>
        <v>-840</v>
      </c>
      <c r="CM118" s="197">
        <f t="shared" si="589"/>
        <v>-10074</v>
      </c>
      <c r="CN118" s="197">
        <f t="shared" si="589"/>
        <v>-4582</v>
      </c>
      <c r="CO118" s="197">
        <f t="shared" si="589"/>
        <v>-674.20738729720006</v>
      </c>
      <c r="CP118" s="199">
        <f t="shared" si="589"/>
        <v>-684.16277663162452</v>
      </c>
      <c r="CQ118" s="7"/>
    </row>
    <row r="119" spans="1:95" ht="14.25" customHeight="1" outlineLevel="1" thickTop="1">
      <c r="A119" s="7"/>
      <c r="B119" s="21"/>
      <c r="C119" s="22"/>
      <c r="D119" s="192"/>
      <c r="E119" s="192"/>
      <c r="F119" s="192"/>
      <c r="G119" s="193"/>
      <c r="H119" s="192"/>
      <c r="I119" s="192"/>
      <c r="J119" s="192"/>
      <c r="K119" s="193"/>
      <c r="L119" s="192"/>
      <c r="M119" s="192"/>
      <c r="N119" s="192"/>
      <c r="O119" s="193"/>
      <c r="P119" s="192"/>
      <c r="Q119" s="192"/>
      <c r="R119" s="192"/>
      <c r="S119" s="193"/>
      <c r="T119" s="192"/>
      <c r="U119" s="192"/>
      <c r="V119" s="192"/>
      <c r="W119" s="193"/>
      <c r="X119" s="192"/>
      <c r="Y119" s="192"/>
      <c r="Z119" s="192"/>
      <c r="AA119" s="193"/>
      <c r="AB119" s="192"/>
      <c r="AC119" s="192"/>
      <c r="AD119" s="192"/>
      <c r="AE119" s="193"/>
      <c r="AF119" s="192"/>
      <c r="AG119" s="192"/>
      <c r="AH119" s="192"/>
      <c r="AI119" s="193"/>
      <c r="AJ119" s="192"/>
      <c r="AK119" s="192"/>
      <c r="AL119" s="192"/>
      <c r="AM119" s="193"/>
      <c r="AN119" s="192"/>
      <c r="AO119" s="192"/>
      <c r="AP119" s="192"/>
      <c r="AQ119" s="193"/>
      <c r="AR119" s="192"/>
      <c r="AS119" s="192"/>
      <c r="AT119" s="192"/>
      <c r="AU119" s="193"/>
      <c r="AV119" s="192"/>
      <c r="AW119" s="192"/>
      <c r="AX119" s="192"/>
      <c r="AY119" s="193"/>
      <c r="AZ119" s="192"/>
      <c r="BA119" s="192"/>
      <c r="BB119" s="192"/>
      <c r="BC119" s="193"/>
      <c r="BD119" s="192"/>
      <c r="BE119" s="192"/>
      <c r="BF119" s="192"/>
      <c r="BG119" s="193"/>
      <c r="BH119" s="192"/>
      <c r="BI119" s="192"/>
      <c r="BJ119" s="192"/>
      <c r="BK119" s="193"/>
      <c r="BL119" s="166"/>
      <c r="BM119" s="194"/>
      <c r="BN119" s="192"/>
      <c r="BO119" s="192"/>
      <c r="BP119" s="192"/>
      <c r="BQ119" s="192"/>
      <c r="BR119" s="193"/>
      <c r="BS119" s="192"/>
      <c r="BT119" s="192"/>
      <c r="BU119" s="192"/>
      <c r="BV119" s="192"/>
      <c r="BW119" s="192"/>
      <c r="BX119" s="192"/>
      <c r="BY119" s="192"/>
      <c r="BZ119" s="192"/>
      <c r="CA119" s="193"/>
      <c r="CB119" s="19"/>
      <c r="CC119" s="194"/>
      <c r="CD119" s="192"/>
      <c r="CE119" s="192"/>
      <c r="CF119" s="192"/>
      <c r="CG119" s="192"/>
      <c r="CH119" s="192"/>
      <c r="CI119" s="192"/>
      <c r="CJ119" s="192"/>
      <c r="CK119" s="192"/>
      <c r="CL119" s="192"/>
      <c r="CM119" s="192"/>
      <c r="CN119" s="192"/>
      <c r="CO119" s="192"/>
      <c r="CP119" s="193"/>
      <c r="CQ119" s="7"/>
    </row>
    <row r="120" spans="1:95" ht="14.25" customHeight="1" outlineLevel="1">
      <c r="A120" s="7"/>
      <c r="B120" s="200" t="s">
        <v>81</v>
      </c>
      <c r="C120" s="201"/>
      <c r="D120" s="192"/>
      <c r="E120" s="192"/>
      <c r="F120" s="192"/>
      <c r="G120" s="193"/>
      <c r="H120" s="192"/>
      <c r="I120" s="192"/>
      <c r="J120" s="192"/>
      <c r="K120" s="193"/>
      <c r="L120" s="192"/>
      <c r="M120" s="192"/>
      <c r="N120" s="192"/>
      <c r="O120" s="193"/>
      <c r="P120" s="192"/>
      <c r="Q120" s="192"/>
      <c r="R120" s="192"/>
      <c r="S120" s="193"/>
      <c r="T120" s="192"/>
      <c r="U120" s="192"/>
      <c r="V120" s="192"/>
      <c r="W120" s="193"/>
      <c r="X120" s="192"/>
      <c r="Y120" s="192"/>
      <c r="Z120" s="192"/>
      <c r="AA120" s="193"/>
      <c r="AB120" s="192"/>
      <c r="AC120" s="192"/>
      <c r="AD120" s="192"/>
      <c r="AE120" s="193"/>
      <c r="AF120" s="192"/>
      <c r="AG120" s="192"/>
      <c r="AH120" s="192"/>
      <c r="AI120" s="193"/>
      <c r="AJ120" s="192"/>
      <c r="AK120" s="192"/>
      <c r="AL120" s="192"/>
      <c r="AM120" s="193"/>
      <c r="AN120" s="192"/>
      <c r="AO120" s="192"/>
      <c r="AP120" s="192"/>
      <c r="AQ120" s="193"/>
      <c r="AR120" s="192"/>
      <c r="AS120" s="192"/>
      <c r="AT120" s="192"/>
      <c r="AU120" s="193"/>
      <c r="AV120" s="192"/>
      <c r="AW120" s="192"/>
      <c r="AX120" s="192"/>
      <c r="AY120" s="193"/>
      <c r="AZ120" s="192"/>
      <c r="BA120" s="192"/>
      <c r="BB120" s="192"/>
      <c r="BC120" s="193"/>
      <c r="BD120" s="192"/>
      <c r="BE120" s="192"/>
      <c r="BF120" s="192"/>
      <c r="BG120" s="193"/>
      <c r="BH120" s="192"/>
      <c r="BI120" s="192"/>
      <c r="BJ120" s="192"/>
      <c r="BK120" s="193"/>
      <c r="BL120" s="166"/>
      <c r="BM120" s="194"/>
      <c r="BN120" s="192"/>
      <c r="BO120" s="192"/>
      <c r="BP120" s="192"/>
      <c r="BQ120" s="192"/>
      <c r="BR120" s="193"/>
      <c r="BS120" s="192"/>
      <c r="BT120" s="192"/>
      <c r="BU120" s="192"/>
      <c r="BV120" s="192"/>
      <c r="BW120" s="192"/>
      <c r="BX120" s="192"/>
      <c r="BY120" s="192"/>
      <c r="BZ120" s="192"/>
      <c r="CA120" s="193"/>
      <c r="CB120" s="19"/>
      <c r="CC120" s="194"/>
      <c r="CD120" s="192"/>
      <c r="CE120" s="192"/>
      <c r="CF120" s="192"/>
      <c r="CG120" s="192"/>
      <c r="CH120" s="192"/>
      <c r="CI120" s="192"/>
      <c r="CJ120" s="192"/>
      <c r="CK120" s="192"/>
      <c r="CL120" s="192"/>
      <c r="CM120" s="192"/>
      <c r="CN120" s="192"/>
      <c r="CO120" s="192"/>
      <c r="CP120" s="193"/>
      <c r="CQ120" s="7"/>
    </row>
    <row r="121" spans="1:95" ht="14.25" customHeight="1" outlineLevel="1">
      <c r="A121" s="7"/>
      <c r="B121" s="27" t="s">
        <v>150</v>
      </c>
      <c r="C121" s="28"/>
      <c r="D121" s="189">
        <f t="shared" ref="D121:D127" si="590">D36</f>
        <v>1665</v>
      </c>
      <c r="E121" s="189">
        <f t="shared" ref="E121:G127" si="591">D121+E36</f>
        <v>1190</v>
      </c>
      <c r="F121" s="189">
        <f t="shared" si="591"/>
        <v>941</v>
      </c>
      <c r="G121" s="190">
        <f t="shared" si="591"/>
        <v>941</v>
      </c>
      <c r="H121" s="189">
        <f t="shared" ref="H121:H127" si="592">H36</f>
        <v>0</v>
      </c>
      <c r="I121" s="189">
        <f t="shared" ref="I121:K127" si="593">H121+I36</f>
        <v>-85</v>
      </c>
      <c r="J121" s="189">
        <f t="shared" si="593"/>
        <v>-92</v>
      </c>
      <c r="K121" s="190">
        <f t="shared" si="593"/>
        <v>-107</v>
      </c>
      <c r="L121" s="189">
        <f t="shared" ref="L121:L127" si="594">L36</f>
        <v>-200</v>
      </c>
      <c r="M121" s="189">
        <f t="shared" ref="M121:O127" si="595">L121+M36</f>
        <v>-200</v>
      </c>
      <c r="N121" s="189">
        <f t="shared" si="595"/>
        <v>-202</v>
      </c>
      <c r="O121" s="190">
        <f t="shared" si="595"/>
        <v>-202</v>
      </c>
      <c r="P121" s="189">
        <f t="shared" ref="P121:P127" si="596">P36</f>
        <v>-2</v>
      </c>
      <c r="Q121" s="189">
        <f t="shared" ref="Q121:S127" si="597">P121+Q36</f>
        <v>-2</v>
      </c>
      <c r="R121" s="189">
        <f t="shared" si="597"/>
        <v>-2</v>
      </c>
      <c r="S121" s="190">
        <f t="shared" si="597"/>
        <v>-114</v>
      </c>
      <c r="T121" s="189">
        <f t="shared" ref="T121:T127" si="598">T36</f>
        <v>-364</v>
      </c>
      <c r="U121" s="189">
        <f t="shared" ref="U121:W127" si="599">T121+U36</f>
        <v>-364</v>
      </c>
      <c r="V121" s="189">
        <f t="shared" si="599"/>
        <v>-364</v>
      </c>
      <c r="W121" s="190">
        <f t="shared" si="599"/>
        <v>-364</v>
      </c>
      <c r="X121" s="189">
        <f t="shared" ref="X121:X127" si="600">X36</f>
        <v>-230</v>
      </c>
      <c r="Y121" s="189">
        <f t="shared" ref="Y121:AA127" si="601">X121+Y36</f>
        <v>-232</v>
      </c>
      <c r="Z121" s="189">
        <f t="shared" si="601"/>
        <v>-232</v>
      </c>
      <c r="AA121" s="190">
        <f t="shared" si="601"/>
        <v>-232</v>
      </c>
      <c r="AB121" s="189">
        <f t="shared" ref="AB121:AB127" si="602">AB36</f>
        <v>0</v>
      </c>
      <c r="AC121" s="189">
        <f t="shared" ref="AC121:AE127" si="603">AB121+AC36</f>
        <v>0</v>
      </c>
      <c r="AD121" s="189">
        <f t="shared" si="603"/>
        <v>0</v>
      </c>
      <c r="AE121" s="190">
        <f t="shared" si="603"/>
        <v>0</v>
      </c>
      <c r="AF121" s="189">
        <f t="shared" ref="AF121:AF127" si="604">AF36</f>
        <v>0</v>
      </c>
      <c r="AG121" s="189">
        <f t="shared" ref="AG121:AI127" si="605">AF121+AG36</f>
        <v>0</v>
      </c>
      <c r="AH121" s="189">
        <f t="shared" si="605"/>
        <v>0</v>
      </c>
      <c r="AI121" s="190">
        <f t="shared" si="605"/>
        <v>-2</v>
      </c>
      <c r="AJ121" s="189">
        <f t="shared" ref="AJ121:AJ127" si="606">AJ36</f>
        <v>0</v>
      </c>
      <c r="AK121" s="189">
        <f t="shared" ref="AK121:AM127" si="607">AJ121+AK36</f>
        <v>0</v>
      </c>
      <c r="AL121" s="189">
        <f t="shared" si="607"/>
        <v>5600</v>
      </c>
      <c r="AM121" s="190">
        <f t="shared" si="607"/>
        <v>5588</v>
      </c>
      <c r="AN121" s="189">
        <f t="shared" ref="AN121:AN127" si="608">AN36</f>
        <v>-12</v>
      </c>
      <c r="AO121" s="189">
        <f t="shared" ref="AO121:AQ127" si="609">AN121+AO36</f>
        <v>-617</v>
      </c>
      <c r="AP121" s="189">
        <f t="shared" si="609"/>
        <v>-1805</v>
      </c>
      <c r="AQ121" s="190">
        <f t="shared" si="609"/>
        <v>-1817</v>
      </c>
      <c r="AR121" s="189">
        <f t="shared" ref="AR121:AR127" si="610">AR36</f>
        <v>-11</v>
      </c>
      <c r="AS121" s="189">
        <f t="shared" ref="AS121:AW127" si="611">AR121+AS36</f>
        <v>-6314</v>
      </c>
      <c r="AT121" s="189">
        <f t="shared" si="611"/>
        <v>-7620</v>
      </c>
      <c r="AU121" s="190">
        <f t="shared" si="611"/>
        <v>-7733</v>
      </c>
      <c r="AV121" s="189">
        <f t="shared" ref="AV121:AV127" si="612">AV36</f>
        <v>-118</v>
      </c>
      <c r="AW121" s="189">
        <f t="shared" si="611"/>
        <v>-118</v>
      </c>
      <c r="AX121" s="189">
        <f t="shared" ref="AX121:AY127" si="613">AW121+AX36</f>
        <v>-118</v>
      </c>
      <c r="AY121" s="190">
        <f t="shared" si="613"/>
        <v>3861</v>
      </c>
      <c r="AZ121" s="189">
        <f t="shared" ref="AZ121:AZ127" si="614">AZ36</f>
        <v>0</v>
      </c>
      <c r="BA121" s="189">
        <f t="shared" ref="BA121:BC127" si="615">AZ121+BA36</f>
        <v>0</v>
      </c>
      <c r="BB121" s="189">
        <f t="shared" si="615"/>
        <v>0</v>
      </c>
      <c r="BC121" s="190">
        <f t="shared" si="615"/>
        <v>0</v>
      </c>
      <c r="BD121" s="189">
        <f t="shared" ref="BD121:BH127" si="616">BD36</f>
        <v>0</v>
      </c>
      <c r="BE121" s="189">
        <f t="shared" ref="BE121:BE127" si="617">BD121+BE36</f>
        <v>0</v>
      </c>
      <c r="BF121" s="189">
        <f t="shared" ref="BF121:BF127" si="618">BE121+BF36</f>
        <v>0</v>
      </c>
      <c r="BG121" s="190">
        <f t="shared" ref="BG121:BG127" si="619">BF121+BG36</f>
        <v>0</v>
      </c>
      <c r="BH121" s="189">
        <f t="shared" si="616"/>
        <v>0</v>
      </c>
      <c r="BI121" s="189">
        <f t="shared" ref="BI121:BI127" si="620">BH121+BI36</f>
        <v>0</v>
      </c>
      <c r="BJ121" s="189">
        <f t="shared" ref="BJ121:BJ127" si="621">BI121+BJ36</f>
        <v>0</v>
      </c>
      <c r="BK121" s="190">
        <f t="shared" ref="BK121:BK127" si="622">BJ121+BK36</f>
        <v>0</v>
      </c>
      <c r="BL121" s="166"/>
      <c r="BM121" s="191">
        <f t="shared" ref="BM121:BM127" si="623">G121</f>
        <v>941</v>
      </c>
      <c r="BN121" s="189">
        <f t="shared" ref="BN121:BN127" si="624">K121</f>
        <v>-107</v>
      </c>
      <c r="BO121" s="189">
        <f t="shared" ref="BO121:BO127" si="625">O121</f>
        <v>-202</v>
      </c>
      <c r="BP121" s="189">
        <f t="shared" ref="BP121:BP127" si="626">S121</f>
        <v>-114</v>
      </c>
      <c r="BQ121" s="189">
        <f t="shared" ref="BQ121:BQ127" si="627">W121</f>
        <v>-364</v>
      </c>
      <c r="BR121" s="190">
        <f t="shared" ref="BR121:BR127" si="628">AA121</f>
        <v>-232</v>
      </c>
      <c r="BS121" s="189">
        <f t="shared" ref="BS121:BS127" si="629">AE121</f>
        <v>0</v>
      </c>
      <c r="BT121" s="189">
        <f t="shared" ref="BT121:BT127" si="630">AI121</f>
        <v>-2</v>
      </c>
      <c r="BU121" s="189">
        <f t="shared" ref="BU121:BU127" si="631">AM121</f>
        <v>5588</v>
      </c>
      <c r="BV121" s="189">
        <f t="shared" ref="BV121:BV127" si="632">AQ121</f>
        <v>-1817</v>
      </c>
      <c r="BW121" s="189">
        <f t="shared" ref="BW121:BW127" si="633">AU121</f>
        <v>-7733</v>
      </c>
      <c r="BX121" s="189">
        <f t="shared" ref="BX121:BX127" si="634">AY121</f>
        <v>3861</v>
      </c>
      <c r="BY121" s="189">
        <f t="shared" ref="BY121:BY127" si="635">BC121</f>
        <v>0</v>
      </c>
      <c r="BZ121" s="189">
        <f t="shared" ref="BZ121:BZ127" si="636">BG121</f>
        <v>0</v>
      </c>
      <c r="CA121" s="190">
        <f t="shared" ref="CA121:CA127" si="637">BK121</f>
        <v>0</v>
      </c>
      <c r="CB121" s="19"/>
      <c r="CC121" s="191">
        <f t="shared" ref="CC121:CN121" si="638">CC36</f>
        <v>-724</v>
      </c>
      <c r="CD121" s="189">
        <f t="shared" si="638"/>
        <v>-307</v>
      </c>
      <c r="CE121" s="189">
        <f t="shared" si="638"/>
        <v>-4</v>
      </c>
      <c r="CF121" s="189">
        <f t="shared" si="638"/>
        <v>-476</v>
      </c>
      <c r="CG121" s="189">
        <f t="shared" si="638"/>
        <v>-230</v>
      </c>
      <c r="CH121" s="189">
        <f t="shared" si="638"/>
        <v>-2</v>
      </c>
      <c r="CI121" s="189">
        <f t="shared" si="638"/>
        <v>0</v>
      </c>
      <c r="CJ121" s="189">
        <f t="shared" si="638"/>
        <v>-2</v>
      </c>
      <c r="CK121" s="189">
        <f t="shared" si="638"/>
        <v>5576</v>
      </c>
      <c r="CL121" s="189">
        <f t="shared" si="638"/>
        <v>-1816</v>
      </c>
      <c r="CM121" s="189">
        <f t="shared" si="638"/>
        <v>-7840</v>
      </c>
      <c r="CN121" s="189">
        <f t="shared" si="638"/>
        <v>3979</v>
      </c>
      <c r="CO121" s="189">
        <f t="shared" ref="CO121:CP121" si="639">CO36</f>
        <v>0</v>
      </c>
      <c r="CP121" s="190">
        <f t="shared" si="639"/>
        <v>0</v>
      </c>
      <c r="CQ121" s="7"/>
    </row>
    <row r="122" spans="1:95" ht="14.25" customHeight="1" outlineLevel="1">
      <c r="A122" s="7"/>
      <c r="B122" s="27" t="s">
        <v>174</v>
      </c>
      <c r="C122" s="28"/>
      <c r="D122" s="189">
        <f t="shared" si="590"/>
        <v>0</v>
      </c>
      <c r="E122" s="189">
        <f t="shared" si="591"/>
        <v>0</v>
      </c>
      <c r="F122" s="189">
        <f t="shared" si="591"/>
        <v>0</v>
      </c>
      <c r="G122" s="190">
        <f t="shared" si="591"/>
        <v>-1</v>
      </c>
      <c r="H122" s="189">
        <f t="shared" si="592"/>
        <v>0</v>
      </c>
      <c r="I122" s="189">
        <f t="shared" si="593"/>
        <v>-1</v>
      </c>
      <c r="J122" s="189">
        <f t="shared" si="593"/>
        <v>-1</v>
      </c>
      <c r="K122" s="190">
        <f t="shared" si="593"/>
        <v>-1</v>
      </c>
      <c r="L122" s="189">
        <f t="shared" si="594"/>
        <v>0</v>
      </c>
      <c r="M122" s="189">
        <f t="shared" si="595"/>
        <v>0</v>
      </c>
      <c r="N122" s="189">
        <f t="shared" si="595"/>
        <v>0</v>
      </c>
      <c r="O122" s="190">
        <f t="shared" si="595"/>
        <v>0</v>
      </c>
      <c r="P122" s="189">
        <f t="shared" si="596"/>
        <v>0</v>
      </c>
      <c r="Q122" s="189">
        <f t="shared" si="597"/>
        <v>0</v>
      </c>
      <c r="R122" s="189">
        <f t="shared" si="597"/>
        <v>-1</v>
      </c>
      <c r="S122" s="190">
        <f t="shared" si="597"/>
        <v>-1</v>
      </c>
      <c r="T122" s="189">
        <f t="shared" si="598"/>
        <v>0</v>
      </c>
      <c r="U122" s="189">
        <f t="shared" si="599"/>
        <v>-1</v>
      </c>
      <c r="V122" s="189">
        <f t="shared" si="599"/>
        <v>-1</v>
      </c>
      <c r="W122" s="190">
        <f t="shared" si="599"/>
        <v>-2</v>
      </c>
      <c r="X122" s="189">
        <f t="shared" si="600"/>
        <v>-1</v>
      </c>
      <c r="Y122" s="189">
        <f t="shared" si="601"/>
        <v>-2</v>
      </c>
      <c r="Z122" s="189">
        <f t="shared" si="601"/>
        <v>-2</v>
      </c>
      <c r="AA122" s="190">
        <f t="shared" si="601"/>
        <v>-3</v>
      </c>
      <c r="AB122" s="189">
        <f t="shared" si="602"/>
        <v>0</v>
      </c>
      <c r="AC122" s="189">
        <f t="shared" si="603"/>
        <v>-1</v>
      </c>
      <c r="AD122" s="189">
        <f t="shared" si="603"/>
        <v>-2</v>
      </c>
      <c r="AE122" s="190">
        <f t="shared" si="603"/>
        <v>-2</v>
      </c>
      <c r="AF122" s="189">
        <f t="shared" si="604"/>
        <v>0</v>
      </c>
      <c r="AG122" s="189">
        <f t="shared" si="605"/>
        <v>-1</v>
      </c>
      <c r="AH122" s="189">
        <f t="shared" si="605"/>
        <v>-1</v>
      </c>
      <c r="AI122" s="190">
        <f t="shared" si="605"/>
        <v>-2</v>
      </c>
      <c r="AJ122" s="189">
        <f t="shared" si="606"/>
        <v>0</v>
      </c>
      <c r="AK122" s="189">
        <f t="shared" si="607"/>
        <v>0</v>
      </c>
      <c r="AL122" s="189">
        <f t="shared" si="607"/>
        <v>-1</v>
      </c>
      <c r="AM122" s="190">
        <f t="shared" si="607"/>
        <v>-1</v>
      </c>
      <c r="AN122" s="189">
        <f t="shared" si="608"/>
        <v>0</v>
      </c>
      <c r="AO122" s="189">
        <f t="shared" si="609"/>
        <v>0</v>
      </c>
      <c r="AP122" s="189">
        <f t="shared" si="609"/>
        <v>0</v>
      </c>
      <c r="AQ122" s="190">
        <f t="shared" si="609"/>
        <v>0</v>
      </c>
      <c r="AR122" s="189">
        <f t="shared" si="610"/>
        <v>0</v>
      </c>
      <c r="AS122" s="189">
        <f t="shared" si="611"/>
        <v>0</v>
      </c>
      <c r="AT122" s="189">
        <f t="shared" si="611"/>
        <v>0</v>
      </c>
      <c r="AU122" s="190">
        <f t="shared" si="611"/>
        <v>0</v>
      </c>
      <c r="AV122" s="189">
        <f t="shared" si="612"/>
        <v>0</v>
      </c>
      <c r="AW122" s="189">
        <f t="shared" si="611"/>
        <v>-4</v>
      </c>
      <c r="AX122" s="189">
        <f t="shared" si="613"/>
        <v>-10</v>
      </c>
      <c r="AY122" s="190">
        <f t="shared" si="613"/>
        <v>-16</v>
      </c>
      <c r="AZ122" s="189">
        <f t="shared" si="614"/>
        <v>-6</v>
      </c>
      <c r="BA122" s="189">
        <f t="shared" si="615"/>
        <v>-12</v>
      </c>
      <c r="BB122" s="189">
        <f t="shared" si="615"/>
        <v>-18</v>
      </c>
      <c r="BC122" s="190">
        <f t="shared" si="615"/>
        <v>-24</v>
      </c>
      <c r="BD122" s="189">
        <f t="shared" si="616"/>
        <v>-6</v>
      </c>
      <c r="BE122" s="189">
        <f t="shared" si="617"/>
        <v>-12</v>
      </c>
      <c r="BF122" s="189">
        <f t="shared" si="618"/>
        <v>-18</v>
      </c>
      <c r="BG122" s="190">
        <f t="shared" si="619"/>
        <v>-24</v>
      </c>
      <c r="BH122" s="189">
        <f t="shared" si="616"/>
        <v>-6</v>
      </c>
      <c r="BI122" s="189">
        <f t="shared" si="620"/>
        <v>-12</v>
      </c>
      <c r="BJ122" s="189">
        <f t="shared" si="621"/>
        <v>-18</v>
      </c>
      <c r="BK122" s="190">
        <f t="shared" si="622"/>
        <v>-24</v>
      </c>
      <c r="BL122" s="166"/>
      <c r="BM122" s="191">
        <f t="shared" si="623"/>
        <v>-1</v>
      </c>
      <c r="BN122" s="189">
        <f t="shared" si="624"/>
        <v>-1</v>
      </c>
      <c r="BO122" s="189">
        <f t="shared" si="625"/>
        <v>0</v>
      </c>
      <c r="BP122" s="189">
        <f t="shared" si="626"/>
        <v>-1</v>
      </c>
      <c r="BQ122" s="189">
        <f t="shared" si="627"/>
        <v>-2</v>
      </c>
      <c r="BR122" s="190">
        <f t="shared" si="628"/>
        <v>-3</v>
      </c>
      <c r="BS122" s="189">
        <f t="shared" si="629"/>
        <v>-2</v>
      </c>
      <c r="BT122" s="189">
        <f t="shared" si="630"/>
        <v>-2</v>
      </c>
      <c r="BU122" s="189">
        <f t="shared" si="631"/>
        <v>-1</v>
      </c>
      <c r="BV122" s="189">
        <f t="shared" si="632"/>
        <v>0</v>
      </c>
      <c r="BW122" s="189">
        <f t="shared" si="633"/>
        <v>0</v>
      </c>
      <c r="BX122" s="189">
        <f t="shared" si="634"/>
        <v>-16</v>
      </c>
      <c r="BY122" s="189">
        <f t="shared" si="635"/>
        <v>-24</v>
      </c>
      <c r="BZ122" s="189">
        <f t="shared" si="636"/>
        <v>-24</v>
      </c>
      <c r="CA122" s="190">
        <f t="shared" si="637"/>
        <v>-24</v>
      </c>
      <c r="CB122" s="19"/>
      <c r="CC122" s="191">
        <f t="shared" ref="CC122:CN122" si="640">CC37</f>
        <v>-1</v>
      </c>
      <c r="CD122" s="189">
        <f t="shared" si="640"/>
        <v>-1</v>
      </c>
      <c r="CE122" s="189">
        <f t="shared" si="640"/>
        <v>0</v>
      </c>
      <c r="CF122" s="189">
        <f t="shared" si="640"/>
        <v>-1</v>
      </c>
      <c r="CG122" s="189">
        <f t="shared" si="640"/>
        <v>-3</v>
      </c>
      <c r="CH122" s="189">
        <f t="shared" si="640"/>
        <v>-2</v>
      </c>
      <c r="CI122" s="189">
        <f t="shared" si="640"/>
        <v>-2</v>
      </c>
      <c r="CJ122" s="189">
        <f t="shared" si="640"/>
        <v>-2</v>
      </c>
      <c r="CK122" s="189">
        <f t="shared" si="640"/>
        <v>-1</v>
      </c>
      <c r="CL122" s="189">
        <f t="shared" si="640"/>
        <v>0</v>
      </c>
      <c r="CM122" s="189">
        <f t="shared" si="640"/>
        <v>0</v>
      </c>
      <c r="CN122" s="189">
        <f t="shared" si="640"/>
        <v>-22</v>
      </c>
      <c r="CO122" s="189">
        <f t="shared" ref="CO122:CP122" si="641">CO37</f>
        <v>-24</v>
      </c>
      <c r="CP122" s="190">
        <f t="shared" si="641"/>
        <v>-24</v>
      </c>
      <c r="CQ122" s="7"/>
    </row>
    <row r="123" spans="1:95" ht="14.25" customHeight="1" outlineLevel="1">
      <c r="A123" s="7"/>
      <c r="B123" s="27" t="s">
        <v>173</v>
      </c>
      <c r="C123" s="28"/>
      <c r="D123" s="189">
        <f t="shared" si="590"/>
        <v>1049</v>
      </c>
      <c r="E123" s="189">
        <f t="shared" si="591"/>
        <v>1051</v>
      </c>
      <c r="F123" s="189">
        <f t="shared" si="591"/>
        <v>1051</v>
      </c>
      <c r="G123" s="190">
        <f t="shared" si="591"/>
        <v>1051</v>
      </c>
      <c r="H123" s="189">
        <f t="shared" si="592"/>
        <v>0</v>
      </c>
      <c r="I123" s="189">
        <f t="shared" si="593"/>
        <v>0</v>
      </c>
      <c r="J123" s="189">
        <f t="shared" si="593"/>
        <v>0</v>
      </c>
      <c r="K123" s="190">
        <f t="shared" si="593"/>
        <v>0</v>
      </c>
      <c r="L123" s="189">
        <f t="shared" si="594"/>
        <v>0</v>
      </c>
      <c r="M123" s="189">
        <f t="shared" si="595"/>
        <v>0</v>
      </c>
      <c r="N123" s="189">
        <f t="shared" si="595"/>
        <v>0</v>
      </c>
      <c r="O123" s="190">
        <f t="shared" si="595"/>
        <v>0</v>
      </c>
      <c r="P123" s="189">
        <f t="shared" si="596"/>
        <v>0</v>
      </c>
      <c r="Q123" s="189">
        <f t="shared" si="597"/>
        <v>-1</v>
      </c>
      <c r="R123" s="189">
        <f t="shared" si="597"/>
        <v>-6</v>
      </c>
      <c r="S123" s="190">
        <f t="shared" si="597"/>
        <v>298</v>
      </c>
      <c r="T123" s="189">
        <f t="shared" si="598"/>
        <v>4</v>
      </c>
      <c r="U123" s="189">
        <f t="shared" si="599"/>
        <v>19</v>
      </c>
      <c r="V123" s="189">
        <f t="shared" si="599"/>
        <v>22</v>
      </c>
      <c r="W123" s="190">
        <f t="shared" si="599"/>
        <v>28</v>
      </c>
      <c r="X123" s="189">
        <f t="shared" si="600"/>
        <v>22</v>
      </c>
      <c r="Y123" s="189">
        <f t="shared" si="601"/>
        <v>44</v>
      </c>
      <c r="Z123" s="189">
        <f t="shared" si="601"/>
        <v>55</v>
      </c>
      <c r="AA123" s="190">
        <f t="shared" si="601"/>
        <v>70</v>
      </c>
      <c r="AB123" s="189">
        <f t="shared" si="602"/>
        <v>5</v>
      </c>
      <c r="AC123" s="189">
        <f t="shared" si="603"/>
        <v>22</v>
      </c>
      <c r="AD123" s="189">
        <f t="shared" si="603"/>
        <v>28</v>
      </c>
      <c r="AE123" s="190">
        <f t="shared" si="603"/>
        <v>44</v>
      </c>
      <c r="AF123" s="189">
        <f t="shared" si="604"/>
        <v>10</v>
      </c>
      <c r="AG123" s="189">
        <f t="shared" si="605"/>
        <v>28</v>
      </c>
      <c r="AH123" s="189">
        <f t="shared" si="605"/>
        <v>60</v>
      </c>
      <c r="AI123" s="190">
        <f t="shared" si="605"/>
        <v>101</v>
      </c>
      <c r="AJ123" s="189">
        <f t="shared" si="606"/>
        <v>19</v>
      </c>
      <c r="AK123" s="189">
        <f t="shared" si="607"/>
        <v>53</v>
      </c>
      <c r="AL123" s="189">
        <f t="shared" si="607"/>
        <v>86</v>
      </c>
      <c r="AM123" s="190">
        <f t="shared" si="607"/>
        <v>124</v>
      </c>
      <c r="AN123" s="189">
        <f t="shared" si="608"/>
        <v>51</v>
      </c>
      <c r="AO123" s="189">
        <f t="shared" si="609"/>
        <v>130</v>
      </c>
      <c r="AP123" s="189">
        <f t="shared" si="609"/>
        <v>186</v>
      </c>
      <c r="AQ123" s="190">
        <f t="shared" si="609"/>
        <v>241</v>
      </c>
      <c r="AR123" s="189">
        <f t="shared" si="610"/>
        <v>72</v>
      </c>
      <c r="AS123" s="189">
        <f t="shared" si="611"/>
        <v>179</v>
      </c>
      <c r="AT123" s="189">
        <f t="shared" si="611"/>
        <v>217</v>
      </c>
      <c r="AU123" s="190">
        <f t="shared" si="611"/>
        <v>295</v>
      </c>
      <c r="AV123" s="189">
        <f t="shared" si="612"/>
        <v>61</v>
      </c>
      <c r="AW123" s="189">
        <f t="shared" si="611"/>
        <v>150</v>
      </c>
      <c r="AX123" s="189">
        <f t="shared" si="613"/>
        <v>191</v>
      </c>
      <c r="AY123" s="190">
        <f t="shared" si="613"/>
        <v>257</v>
      </c>
      <c r="AZ123" s="189">
        <f t="shared" si="614"/>
        <v>34</v>
      </c>
      <c r="BA123" s="189">
        <f t="shared" si="615"/>
        <v>34</v>
      </c>
      <c r="BB123" s="189">
        <f t="shared" si="615"/>
        <v>34</v>
      </c>
      <c r="BC123" s="190">
        <f t="shared" si="615"/>
        <v>34</v>
      </c>
      <c r="BD123" s="189">
        <f t="shared" si="616"/>
        <v>0</v>
      </c>
      <c r="BE123" s="189">
        <f t="shared" si="617"/>
        <v>0</v>
      </c>
      <c r="BF123" s="189">
        <f t="shared" si="618"/>
        <v>0</v>
      </c>
      <c r="BG123" s="190">
        <f t="shared" si="619"/>
        <v>0</v>
      </c>
      <c r="BH123" s="189">
        <f t="shared" si="616"/>
        <v>0</v>
      </c>
      <c r="BI123" s="189">
        <f t="shared" si="620"/>
        <v>0</v>
      </c>
      <c r="BJ123" s="189">
        <f t="shared" si="621"/>
        <v>0</v>
      </c>
      <c r="BK123" s="190">
        <f t="shared" si="622"/>
        <v>0</v>
      </c>
      <c r="BL123" s="166"/>
      <c r="BM123" s="191">
        <f t="shared" si="623"/>
        <v>1051</v>
      </c>
      <c r="BN123" s="189">
        <f t="shared" si="624"/>
        <v>0</v>
      </c>
      <c r="BO123" s="189">
        <f t="shared" si="625"/>
        <v>0</v>
      </c>
      <c r="BP123" s="189">
        <f t="shared" si="626"/>
        <v>298</v>
      </c>
      <c r="BQ123" s="189">
        <f t="shared" si="627"/>
        <v>28</v>
      </c>
      <c r="BR123" s="190">
        <f t="shared" si="628"/>
        <v>70</v>
      </c>
      <c r="BS123" s="189">
        <f t="shared" si="629"/>
        <v>44</v>
      </c>
      <c r="BT123" s="189">
        <f t="shared" si="630"/>
        <v>101</v>
      </c>
      <c r="BU123" s="189">
        <f t="shared" si="631"/>
        <v>124</v>
      </c>
      <c r="BV123" s="189">
        <f t="shared" si="632"/>
        <v>241</v>
      </c>
      <c r="BW123" s="189">
        <f t="shared" si="633"/>
        <v>295</v>
      </c>
      <c r="BX123" s="189">
        <f t="shared" si="634"/>
        <v>257</v>
      </c>
      <c r="BY123" s="189">
        <f t="shared" si="635"/>
        <v>34</v>
      </c>
      <c r="BZ123" s="189">
        <f t="shared" si="636"/>
        <v>0</v>
      </c>
      <c r="CA123" s="190">
        <f t="shared" si="637"/>
        <v>0</v>
      </c>
      <c r="CB123" s="19"/>
      <c r="CC123" s="191">
        <f t="shared" ref="CC123:CN123" si="642">CC38</f>
        <v>2</v>
      </c>
      <c r="CD123" s="189">
        <f t="shared" si="642"/>
        <v>0</v>
      </c>
      <c r="CE123" s="189">
        <f t="shared" si="642"/>
        <v>0</v>
      </c>
      <c r="CF123" s="189">
        <f t="shared" si="642"/>
        <v>302</v>
      </c>
      <c r="CG123" s="189">
        <f t="shared" si="642"/>
        <v>46</v>
      </c>
      <c r="CH123" s="189">
        <f t="shared" si="642"/>
        <v>53</v>
      </c>
      <c r="CI123" s="189">
        <f t="shared" si="642"/>
        <v>49</v>
      </c>
      <c r="CJ123" s="189">
        <f t="shared" si="642"/>
        <v>110</v>
      </c>
      <c r="CK123" s="189">
        <f t="shared" si="642"/>
        <v>156</v>
      </c>
      <c r="CL123" s="189">
        <f t="shared" si="642"/>
        <v>262</v>
      </c>
      <c r="CM123" s="189">
        <f t="shared" si="642"/>
        <v>284</v>
      </c>
      <c r="CN123" s="189">
        <f t="shared" si="642"/>
        <v>230</v>
      </c>
      <c r="CO123" s="189">
        <f t="shared" ref="CO123:CP123" si="643">CO38</f>
        <v>0</v>
      </c>
      <c r="CP123" s="190">
        <f t="shared" si="643"/>
        <v>0</v>
      </c>
      <c r="CQ123" s="7"/>
    </row>
    <row r="124" spans="1:95" ht="14.25" customHeight="1" outlineLevel="1">
      <c r="A124" s="7"/>
      <c r="B124" s="27" t="s">
        <v>175</v>
      </c>
      <c r="C124" s="28"/>
      <c r="D124" s="189">
        <f t="shared" si="590"/>
        <v>0</v>
      </c>
      <c r="E124" s="189">
        <f t="shared" si="591"/>
        <v>0</v>
      </c>
      <c r="F124" s="189">
        <f t="shared" si="591"/>
        <v>0</v>
      </c>
      <c r="G124" s="190">
        <f t="shared" si="591"/>
        <v>0</v>
      </c>
      <c r="H124" s="189">
        <f t="shared" si="592"/>
        <v>0</v>
      </c>
      <c r="I124" s="189">
        <f t="shared" si="593"/>
        <v>0</v>
      </c>
      <c r="J124" s="189">
        <f t="shared" si="593"/>
        <v>0</v>
      </c>
      <c r="K124" s="190">
        <f t="shared" si="593"/>
        <v>1</v>
      </c>
      <c r="L124" s="189">
        <f t="shared" si="594"/>
        <v>0</v>
      </c>
      <c r="M124" s="189">
        <f t="shared" si="595"/>
        <v>0</v>
      </c>
      <c r="N124" s="189">
        <f t="shared" si="595"/>
        <v>1</v>
      </c>
      <c r="O124" s="190">
        <f t="shared" si="595"/>
        <v>1</v>
      </c>
      <c r="P124" s="189">
        <f t="shared" si="596"/>
        <v>0</v>
      </c>
      <c r="Q124" s="189">
        <f t="shared" si="597"/>
        <v>0</v>
      </c>
      <c r="R124" s="189">
        <f t="shared" si="597"/>
        <v>0</v>
      </c>
      <c r="S124" s="190">
        <f t="shared" si="597"/>
        <v>1</v>
      </c>
      <c r="T124" s="189">
        <f t="shared" si="598"/>
        <v>0</v>
      </c>
      <c r="U124" s="189">
        <f t="shared" si="599"/>
        <v>1</v>
      </c>
      <c r="V124" s="189">
        <f t="shared" si="599"/>
        <v>1</v>
      </c>
      <c r="W124" s="190">
        <f t="shared" si="599"/>
        <v>3</v>
      </c>
      <c r="X124" s="189">
        <f t="shared" si="600"/>
        <v>2</v>
      </c>
      <c r="Y124" s="189">
        <f t="shared" si="601"/>
        <v>2</v>
      </c>
      <c r="Z124" s="189">
        <f t="shared" si="601"/>
        <v>2</v>
      </c>
      <c r="AA124" s="190">
        <f t="shared" si="601"/>
        <v>8</v>
      </c>
      <c r="AB124" s="189">
        <f t="shared" si="602"/>
        <v>0</v>
      </c>
      <c r="AC124" s="189">
        <f t="shared" si="603"/>
        <v>0</v>
      </c>
      <c r="AD124" s="189">
        <f t="shared" si="603"/>
        <v>0</v>
      </c>
      <c r="AE124" s="190">
        <f t="shared" si="603"/>
        <v>0</v>
      </c>
      <c r="AF124" s="189">
        <f t="shared" si="604"/>
        <v>0</v>
      </c>
      <c r="AG124" s="189">
        <f t="shared" si="605"/>
        <v>0</v>
      </c>
      <c r="AH124" s="189">
        <f t="shared" si="605"/>
        <v>0</v>
      </c>
      <c r="AI124" s="190">
        <f t="shared" si="605"/>
        <v>0</v>
      </c>
      <c r="AJ124" s="189">
        <f t="shared" si="606"/>
        <v>0</v>
      </c>
      <c r="AK124" s="189">
        <f t="shared" si="607"/>
        <v>0</v>
      </c>
      <c r="AL124" s="189">
        <f t="shared" si="607"/>
        <v>0</v>
      </c>
      <c r="AM124" s="190">
        <f t="shared" si="607"/>
        <v>39</v>
      </c>
      <c r="AN124" s="189">
        <f t="shared" si="608"/>
        <v>20</v>
      </c>
      <c r="AO124" s="189">
        <f t="shared" si="609"/>
        <v>70</v>
      </c>
      <c r="AP124" s="189">
        <f t="shared" si="609"/>
        <v>70</v>
      </c>
      <c r="AQ124" s="190">
        <f t="shared" si="609"/>
        <v>70</v>
      </c>
      <c r="AR124" s="189">
        <f t="shared" si="610"/>
        <v>23</v>
      </c>
      <c r="AS124" s="189">
        <f t="shared" si="611"/>
        <v>58</v>
      </c>
      <c r="AT124" s="189">
        <f t="shared" si="611"/>
        <v>58</v>
      </c>
      <c r="AU124" s="190">
        <f t="shared" si="611"/>
        <v>79</v>
      </c>
      <c r="AV124" s="189">
        <f t="shared" si="612"/>
        <v>0</v>
      </c>
      <c r="AW124" s="189">
        <f t="shared" si="611"/>
        <v>0</v>
      </c>
      <c r="AX124" s="189">
        <f t="shared" si="613"/>
        <v>0</v>
      </c>
      <c r="AY124" s="190">
        <f t="shared" si="613"/>
        <v>0</v>
      </c>
      <c r="AZ124" s="189">
        <f t="shared" si="614"/>
        <v>0</v>
      </c>
      <c r="BA124" s="189">
        <f t="shared" si="615"/>
        <v>0</v>
      </c>
      <c r="BB124" s="189">
        <f t="shared" si="615"/>
        <v>0</v>
      </c>
      <c r="BC124" s="190">
        <f t="shared" si="615"/>
        <v>0</v>
      </c>
      <c r="BD124" s="189">
        <f t="shared" si="616"/>
        <v>0</v>
      </c>
      <c r="BE124" s="189">
        <f t="shared" si="617"/>
        <v>0</v>
      </c>
      <c r="BF124" s="189">
        <f t="shared" si="618"/>
        <v>0</v>
      </c>
      <c r="BG124" s="190">
        <f t="shared" si="619"/>
        <v>0</v>
      </c>
      <c r="BH124" s="189">
        <f t="shared" si="616"/>
        <v>0</v>
      </c>
      <c r="BI124" s="189">
        <f t="shared" si="620"/>
        <v>0</v>
      </c>
      <c r="BJ124" s="189">
        <f t="shared" si="621"/>
        <v>0</v>
      </c>
      <c r="BK124" s="190">
        <f t="shared" si="622"/>
        <v>0</v>
      </c>
      <c r="BL124" s="166"/>
      <c r="BM124" s="191">
        <f t="shared" si="623"/>
        <v>0</v>
      </c>
      <c r="BN124" s="189">
        <f t="shared" si="624"/>
        <v>1</v>
      </c>
      <c r="BO124" s="189">
        <f t="shared" si="625"/>
        <v>1</v>
      </c>
      <c r="BP124" s="189">
        <f t="shared" si="626"/>
        <v>1</v>
      </c>
      <c r="BQ124" s="189">
        <f t="shared" si="627"/>
        <v>3</v>
      </c>
      <c r="BR124" s="190">
        <f t="shared" si="628"/>
        <v>8</v>
      </c>
      <c r="BS124" s="189">
        <f t="shared" si="629"/>
        <v>0</v>
      </c>
      <c r="BT124" s="189">
        <f t="shared" si="630"/>
        <v>0</v>
      </c>
      <c r="BU124" s="189">
        <f t="shared" si="631"/>
        <v>39</v>
      </c>
      <c r="BV124" s="189">
        <f t="shared" si="632"/>
        <v>70</v>
      </c>
      <c r="BW124" s="189">
        <f t="shared" si="633"/>
        <v>79</v>
      </c>
      <c r="BX124" s="189">
        <f t="shared" si="634"/>
        <v>0</v>
      </c>
      <c r="BY124" s="189">
        <f t="shared" si="635"/>
        <v>0</v>
      </c>
      <c r="BZ124" s="189">
        <f t="shared" si="636"/>
        <v>0</v>
      </c>
      <c r="CA124" s="190">
        <f t="shared" si="637"/>
        <v>0</v>
      </c>
      <c r="CB124" s="19"/>
      <c r="CC124" s="191">
        <f t="shared" ref="CC124:CN124" si="644">CC39</f>
        <v>0</v>
      </c>
      <c r="CD124" s="189">
        <f t="shared" si="644"/>
        <v>1</v>
      </c>
      <c r="CE124" s="189">
        <f t="shared" si="644"/>
        <v>1</v>
      </c>
      <c r="CF124" s="189">
        <f t="shared" si="644"/>
        <v>1</v>
      </c>
      <c r="CG124" s="189">
        <f t="shared" si="644"/>
        <v>5</v>
      </c>
      <c r="CH124" s="189">
        <f t="shared" si="644"/>
        <v>6</v>
      </c>
      <c r="CI124" s="189">
        <f t="shared" si="644"/>
        <v>0</v>
      </c>
      <c r="CJ124" s="189">
        <f t="shared" si="644"/>
        <v>0</v>
      </c>
      <c r="CK124" s="189">
        <f t="shared" si="644"/>
        <v>59</v>
      </c>
      <c r="CL124" s="189">
        <f t="shared" si="644"/>
        <v>73</v>
      </c>
      <c r="CM124" s="189">
        <f t="shared" si="644"/>
        <v>56</v>
      </c>
      <c r="CN124" s="189">
        <f t="shared" si="644"/>
        <v>0</v>
      </c>
      <c r="CO124" s="189">
        <f t="shared" ref="CO124:CP124" si="645">CO39</f>
        <v>0</v>
      </c>
      <c r="CP124" s="190">
        <f t="shared" si="645"/>
        <v>0</v>
      </c>
      <c r="CQ124" s="7"/>
    </row>
    <row r="125" spans="1:95" ht="14.25" customHeight="1" outlineLevel="1">
      <c r="A125" s="7"/>
      <c r="B125" s="27" t="s">
        <v>139</v>
      </c>
      <c r="C125" s="28"/>
      <c r="D125" s="189">
        <f t="shared" si="590"/>
        <v>0</v>
      </c>
      <c r="E125" s="189">
        <f t="shared" si="591"/>
        <v>0</v>
      </c>
      <c r="F125" s="189">
        <f t="shared" si="591"/>
        <v>0</v>
      </c>
      <c r="G125" s="190">
        <f t="shared" si="591"/>
        <v>0</v>
      </c>
      <c r="H125" s="189">
        <f t="shared" si="592"/>
        <v>0</v>
      </c>
      <c r="I125" s="189">
        <f t="shared" si="593"/>
        <v>0</v>
      </c>
      <c r="J125" s="189">
        <f t="shared" si="593"/>
        <v>0</v>
      </c>
      <c r="K125" s="190">
        <f t="shared" si="593"/>
        <v>0</v>
      </c>
      <c r="L125" s="189">
        <f t="shared" si="594"/>
        <v>0</v>
      </c>
      <c r="M125" s="189">
        <f t="shared" si="595"/>
        <v>0</v>
      </c>
      <c r="N125" s="189">
        <f t="shared" si="595"/>
        <v>0</v>
      </c>
      <c r="O125" s="190">
        <f t="shared" si="595"/>
        <v>0</v>
      </c>
      <c r="P125" s="189">
        <f t="shared" si="596"/>
        <v>0</v>
      </c>
      <c r="Q125" s="189">
        <f t="shared" si="597"/>
        <v>0</v>
      </c>
      <c r="R125" s="189">
        <f t="shared" si="597"/>
        <v>0</v>
      </c>
      <c r="S125" s="190">
        <f t="shared" si="597"/>
        <v>0</v>
      </c>
      <c r="T125" s="189">
        <f t="shared" si="598"/>
        <v>0</v>
      </c>
      <c r="U125" s="189">
        <f t="shared" si="599"/>
        <v>0</v>
      </c>
      <c r="V125" s="189">
        <f t="shared" si="599"/>
        <v>0</v>
      </c>
      <c r="W125" s="190">
        <f t="shared" si="599"/>
        <v>0</v>
      </c>
      <c r="X125" s="189">
        <f t="shared" si="600"/>
        <v>0</v>
      </c>
      <c r="Y125" s="189">
        <f t="shared" si="601"/>
        <v>0</v>
      </c>
      <c r="Z125" s="189">
        <f t="shared" si="601"/>
        <v>-68</v>
      </c>
      <c r="AA125" s="190">
        <f t="shared" si="601"/>
        <v>-93</v>
      </c>
      <c r="AB125" s="189">
        <f t="shared" si="602"/>
        <v>-79</v>
      </c>
      <c r="AC125" s="189">
        <f t="shared" si="603"/>
        <v>-85</v>
      </c>
      <c r="AD125" s="189">
        <f t="shared" si="603"/>
        <v>-100</v>
      </c>
      <c r="AE125" s="190">
        <f t="shared" si="603"/>
        <v>-110</v>
      </c>
      <c r="AF125" s="189">
        <f t="shared" si="604"/>
        <v>-13</v>
      </c>
      <c r="AG125" s="189">
        <f t="shared" si="605"/>
        <v>-24</v>
      </c>
      <c r="AH125" s="189">
        <f t="shared" si="605"/>
        <v>-62</v>
      </c>
      <c r="AI125" s="190">
        <f t="shared" si="605"/>
        <v>-95</v>
      </c>
      <c r="AJ125" s="189">
        <f t="shared" si="606"/>
        <v>-12</v>
      </c>
      <c r="AK125" s="189">
        <f t="shared" si="607"/>
        <v>-12</v>
      </c>
      <c r="AL125" s="189">
        <f t="shared" si="607"/>
        <v>-12</v>
      </c>
      <c r="AM125" s="190">
        <f t="shared" si="607"/>
        <v>-12</v>
      </c>
      <c r="AN125" s="189">
        <f t="shared" si="608"/>
        <v>0</v>
      </c>
      <c r="AO125" s="189">
        <f t="shared" si="609"/>
        <v>0</v>
      </c>
      <c r="AP125" s="189">
        <f t="shared" si="609"/>
        <v>0</v>
      </c>
      <c r="AQ125" s="190">
        <f t="shared" si="609"/>
        <v>0</v>
      </c>
      <c r="AR125" s="189">
        <f t="shared" si="610"/>
        <v>0</v>
      </c>
      <c r="AS125" s="189">
        <f t="shared" si="611"/>
        <v>0</v>
      </c>
      <c r="AT125" s="189">
        <f t="shared" si="611"/>
        <v>0</v>
      </c>
      <c r="AU125" s="190">
        <f t="shared" si="611"/>
        <v>0</v>
      </c>
      <c r="AV125" s="189">
        <f t="shared" si="612"/>
        <v>0</v>
      </c>
      <c r="AW125" s="189">
        <f t="shared" si="611"/>
        <v>0</v>
      </c>
      <c r="AX125" s="189">
        <f t="shared" si="613"/>
        <v>0</v>
      </c>
      <c r="AY125" s="190">
        <f t="shared" si="613"/>
        <v>0</v>
      </c>
      <c r="AZ125" s="189">
        <f t="shared" si="614"/>
        <v>0</v>
      </c>
      <c r="BA125" s="189">
        <f t="shared" si="615"/>
        <v>0</v>
      </c>
      <c r="BB125" s="189">
        <f t="shared" si="615"/>
        <v>0</v>
      </c>
      <c r="BC125" s="190">
        <f t="shared" si="615"/>
        <v>0</v>
      </c>
      <c r="BD125" s="189">
        <f t="shared" si="616"/>
        <v>0</v>
      </c>
      <c r="BE125" s="189">
        <f t="shared" si="617"/>
        <v>0</v>
      </c>
      <c r="BF125" s="189">
        <f t="shared" si="618"/>
        <v>0</v>
      </c>
      <c r="BG125" s="190">
        <f t="shared" si="619"/>
        <v>0</v>
      </c>
      <c r="BH125" s="189">
        <f t="shared" si="616"/>
        <v>0</v>
      </c>
      <c r="BI125" s="189">
        <f t="shared" si="620"/>
        <v>0</v>
      </c>
      <c r="BJ125" s="189">
        <f t="shared" si="621"/>
        <v>0</v>
      </c>
      <c r="BK125" s="190">
        <f t="shared" si="622"/>
        <v>0</v>
      </c>
      <c r="BL125" s="166"/>
      <c r="BM125" s="191">
        <f t="shared" si="623"/>
        <v>0</v>
      </c>
      <c r="BN125" s="189">
        <f t="shared" si="624"/>
        <v>0</v>
      </c>
      <c r="BO125" s="189">
        <f t="shared" si="625"/>
        <v>0</v>
      </c>
      <c r="BP125" s="189">
        <f t="shared" si="626"/>
        <v>0</v>
      </c>
      <c r="BQ125" s="189">
        <f t="shared" si="627"/>
        <v>0</v>
      </c>
      <c r="BR125" s="190">
        <f t="shared" si="628"/>
        <v>-93</v>
      </c>
      <c r="BS125" s="189">
        <f t="shared" si="629"/>
        <v>-110</v>
      </c>
      <c r="BT125" s="189">
        <f t="shared" si="630"/>
        <v>-95</v>
      </c>
      <c r="BU125" s="189">
        <f t="shared" si="631"/>
        <v>-12</v>
      </c>
      <c r="BV125" s="189">
        <f t="shared" si="632"/>
        <v>0</v>
      </c>
      <c r="BW125" s="189">
        <f t="shared" si="633"/>
        <v>0</v>
      </c>
      <c r="BX125" s="189">
        <f t="shared" si="634"/>
        <v>0</v>
      </c>
      <c r="BY125" s="189">
        <f t="shared" si="635"/>
        <v>0</v>
      </c>
      <c r="BZ125" s="189">
        <f t="shared" si="636"/>
        <v>0</v>
      </c>
      <c r="CA125" s="190">
        <f t="shared" si="637"/>
        <v>0</v>
      </c>
      <c r="CB125" s="19"/>
      <c r="CC125" s="191">
        <f t="shared" ref="CC125:CN125" si="646">CC40</f>
        <v>0</v>
      </c>
      <c r="CD125" s="189">
        <f t="shared" si="646"/>
        <v>0</v>
      </c>
      <c r="CE125" s="189">
        <f t="shared" si="646"/>
        <v>0</v>
      </c>
      <c r="CF125" s="189">
        <f t="shared" si="646"/>
        <v>0</v>
      </c>
      <c r="CG125" s="189">
        <f t="shared" si="646"/>
        <v>0</v>
      </c>
      <c r="CH125" s="189">
        <f t="shared" si="646"/>
        <v>-172</v>
      </c>
      <c r="CI125" s="189">
        <f t="shared" si="646"/>
        <v>-44</v>
      </c>
      <c r="CJ125" s="189">
        <f t="shared" si="646"/>
        <v>-94</v>
      </c>
      <c r="CK125" s="189">
        <f t="shared" si="646"/>
        <v>0</v>
      </c>
      <c r="CL125" s="189">
        <f t="shared" si="646"/>
        <v>0</v>
      </c>
      <c r="CM125" s="189">
        <f t="shared" si="646"/>
        <v>0</v>
      </c>
      <c r="CN125" s="189">
        <f t="shared" si="646"/>
        <v>0</v>
      </c>
      <c r="CO125" s="189">
        <f t="shared" ref="CO125:CP125" si="647">CO40</f>
        <v>0</v>
      </c>
      <c r="CP125" s="190">
        <f t="shared" si="647"/>
        <v>0</v>
      </c>
      <c r="CQ125" s="7"/>
    </row>
    <row r="126" spans="1:95" ht="14.25" customHeight="1" outlineLevel="1">
      <c r="A126" s="7"/>
      <c r="B126" s="27" t="s">
        <v>176</v>
      </c>
      <c r="C126" s="28"/>
      <c r="D126" s="189">
        <f t="shared" si="590"/>
        <v>0</v>
      </c>
      <c r="E126" s="189">
        <f t="shared" si="591"/>
        <v>0</v>
      </c>
      <c r="F126" s="189">
        <f t="shared" si="591"/>
        <v>0</v>
      </c>
      <c r="G126" s="190">
        <f t="shared" si="591"/>
        <v>0</v>
      </c>
      <c r="H126" s="189">
        <f t="shared" si="592"/>
        <v>0</v>
      </c>
      <c r="I126" s="189">
        <f t="shared" si="593"/>
        <v>0</v>
      </c>
      <c r="J126" s="189">
        <f t="shared" si="593"/>
        <v>0</v>
      </c>
      <c r="K126" s="190">
        <f t="shared" si="593"/>
        <v>0</v>
      </c>
      <c r="L126" s="189">
        <f t="shared" si="594"/>
        <v>0</v>
      </c>
      <c r="M126" s="189">
        <f t="shared" si="595"/>
        <v>0</v>
      </c>
      <c r="N126" s="189">
        <f t="shared" si="595"/>
        <v>0</v>
      </c>
      <c r="O126" s="190">
        <f t="shared" si="595"/>
        <v>0</v>
      </c>
      <c r="P126" s="189">
        <f t="shared" si="596"/>
        <v>0</v>
      </c>
      <c r="Q126" s="189">
        <f t="shared" si="597"/>
        <v>0</v>
      </c>
      <c r="R126" s="189">
        <f t="shared" si="597"/>
        <v>0</v>
      </c>
      <c r="S126" s="190">
        <f t="shared" si="597"/>
        <v>0</v>
      </c>
      <c r="T126" s="189">
        <f t="shared" si="598"/>
        <v>0</v>
      </c>
      <c r="U126" s="189">
        <f t="shared" si="599"/>
        <v>0</v>
      </c>
      <c r="V126" s="189">
        <f t="shared" si="599"/>
        <v>0</v>
      </c>
      <c r="W126" s="190">
        <f t="shared" si="599"/>
        <v>0</v>
      </c>
      <c r="X126" s="189">
        <f t="shared" si="600"/>
        <v>-17</v>
      </c>
      <c r="Y126" s="189">
        <f t="shared" si="601"/>
        <v>-37</v>
      </c>
      <c r="Z126" s="189">
        <f t="shared" si="601"/>
        <v>-59</v>
      </c>
      <c r="AA126" s="190">
        <f t="shared" si="601"/>
        <v>-86</v>
      </c>
      <c r="AB126" s="189">
        <f t="shared" si="602"/>
        <v>-29</v>
      </c>
      <c r="AC126" s="189">
        <f t="shared" si="603"/>
        <v>-61</v>
      </c>
      <c r="AD126" s="189">
        <f t="shared" si="603"/>
        <v>-98</v>
      </c>
      <c r="AE126" s="190">
        <f t="shared" si="603"/>
        <v>-137</v>
      </c>
      <c r="AF126" s="189">
        <f t="shared" si="604"/>
        <v>-42</v>
      </c>
      <c r="AG126" s="189">
        <f t="shared" si="605"/>
        <v>-89</v>
      </c>
      <c r="AH126" s="189">
        <f t="shared" si="605"/>
        <v>-141</v>
      </c>
      <c r="AI126" s="190">
        <f t="shared" si="605"/>
        <v>-198</v>
      </c>
      <c r="AJ126" s="189">
        <f t="shared" si="606"/>
        <v>-62</v>
      </c>
      <c r="AK126" s="189">
        <f t="shared" si="607"/>
        <v>-130</v>
      </c>
      <c r="AL126" s="189">
        <f t="shared" si="607"/>
        <v>-203</v>
      </c>
      <c r="AM126" s="190">
        <f t="shared" si="607"/>
        <v>-284</v>
      </c>
      <c r="AN126" s="189">
        <f t="shared" si="608"/>
        <v>-89</v>
      </c>
      <c r="AO126" s="189">
        <f t="shared" si="609"/>
        <v>-188</v>
      </c>
      <c r="AP126" s="189">
        <f t="shared" si="609"/>
        <v>-292</v>
      </c>
      <c r="AQ126" s="190">
        <f t="shared" si="609"/>
        <v>-408</v>
      </c>
      <c r="AR126" s="189">
        <f t="shared" si="610"/>
        <v>-122</v>
      </c>
      <c r="AS126" s="189">
        <f t="shared" si="611"/>
        <v>-326</v>
      </c>
      <c r="AT126" s="189">
        <f t="shared" si="611"/>
        <v>-537</v>
      </c>
      <c r="AU126" s="190">
        <f t="shared" si="611"/>
        <v>-750</v>
      </c>
      <c r="AV126" s="189">
        <f t="shared" si="612"/>
        <v>-431</v>
      </c>
      <c r="AW126" s="189">
        <f t="shared" si="611"/>
        <v>-868</v>
      </c>
      <c r="AX126" s="189">
        <f t="shared" si="613"/>
        <v>-1306</v>
      </c>
      <c r="AY126" s="190">
        <f t="shared" si="613"/>
        <v>-1745</v>
      </c>
      <c r="AZ126" s="189">
        <f t="shared" si="614"/>
        <v>-755</v>
      </c>
      <c r="BA126" s="189">
        <f t="shared" si="615"/>
        <v>-1527.2212903225804</v>
      </c>
      <c r="BB126" s="189">
        <f t="shared" si="615"/>
        <v>-2300.3426054590568</v>
      </c>
      <c r="BC126" s="190">
        <f t="shared" si="615"/>
        <v>-3074.3639454094291</v>
      </c>
      <c r="BD126" s="189">
        <f t="shared" si="616"/>
        <v>-1077.1406970223322</v>
      </c>
      <c r="BE126" s="189">
        <f t="shared" si="617"/>
        <v>-2155.5324285359798</v>
      </c>
      <c r="BF126" s="189">
        <f t="shared" si="618"/>
        <v>-3235.1751945409424</v>
      </c>
      <c r="BG126" s="190">
        <f t="shared" si="619"/>
        <v>-4316.0689950372198</v>
      </c>
      <c r="BH126" s="189">
        <f t="shared" si="616"/>
        <v>-1082.1448349875927</v>
      </c>
      <c r="BI126" s="189">
        <f t="shared" si="620"/>
        <v>-2165.5407044665008</v>
      </c>
      <c r="BJ126" s="189">
        <f t="shared" si="621"/>
        <v>-3250.1876084367241</v>
      </c>
      <c r="BK126" s="190">
        <f t="shared" si="622"/>
        <v>-4336.0855468982627</v>
      </c>
      <c r="BL126" s="166"/>
      <c r="BM126" s="191">
        <f t="shared" si="623"/>
        <v>0</v>
      </c>
      <c r="BN126" s="189">
        <f t="shared" si="624"/>
        <v>0</v>
      </c>
      <c r="BO126" s="189">
        <f t="shared" si="625"/>
        <v>0</v>
      </c>
      <c r="BP126" s="189">
        <f t="shared" si="626"/>
        <v>0</v>
      </c>
      <c r="BQ126" s="189">
        <f t="shared" si="627"/>
        <v>0</v>
      </c>
      <c r="BR126" s="190">
        <f t="shared" si="628"/>
        <v>-86</v>
      </c>
      <c r="BS126" s="189">
        <f t="shared" si="629"/>
        <v>-137</v>
      </c>
      <c r="BT126" s="189">
        <f t="shared" si="630"/>
        <v>-198</v>
      </c>
      <c r="BU126" s="189">
        <f t="shared" si="631"/>
        <v>-284</v>
      </c>
      <c r="BV126" s="189">
        <f t="shared" si="632"/>
        <v>-408</v>
      </c>
      <c r="BW126" s="189">
        <f t="shared" si="633"/>
        <v>-750</v>
      </c>
      <c r="BX126" s="189">
        <f t="shared" si="634"/>
        <v>-1745</v>
      </c>
      <c r="BY126" s="189">
        <f t="shared" si="635"/>
        <v>-3074.3639454094291</v>
      </c>
      <c r="BZ126" s="189">
        <f t="shared" si="636"/>
        <v>-4316.0689950372198</v>
      </c>
      <c r="CA126" s="190">
        <f t="shared" si="637"/>
        <v>-4336.0855468982627</v>
      </c>
      <c r="CB126" s="19"/>
      <c r="CC126" s="191">
        <f t="shared" ref="CC126:CN126" si="648">CC41</f>
        <v>0</v>
      </c>
      <c r="CD126" s="189">
        <f t="shared" si="648"/>
        <v>0</v>
      </c>
      <c r="CE126" s="189">
        <f t="shared" si="648"/>
        <v>0</v>
      </c>
      <c r="CF126" s="189">
        <f t="shared" si="648"/>
        <v>0</v>
      </c>
      <c r="CG126" s="189">
        <f t="shared" si="648"/>
        <v>-17</v>
      </c>
      <c r="CH126" s="189">
        <f t="shared" si="648"/>
        <v>-98</v>
      </c>
      <c r="CI126" s="189">
        <f t="shared" si="648"/>
        <v>-150</v>
      </c>
      <c r="CJ126" s="189">
        <f t="shared" si="648"/>
        <v>-218</v>
      </c>
      <c r="CK126" s="189">
        <f t="shared" si="648"/>
        <v>-311</v>
      </c>
      <c r="CL126" s="189">
        <f t="shared" si="648"/>
        <v>-441</v>
      </c>
      <c r="CM126" s="189">
        <f t="shared" si="648"/>
        <v>-1059</v>
      </c>
      <c r="CN126" s="189">
        <f t="shared" si="648"/>
        <v>-2069</v>
      </c>
      <c r="CO126" s="189">
        <f t="shared" ref="CO126:CP126" si="649">CO41</f>
        <v>-3396.5046424317616</v>
      </c>
      <c r="CP126" s="190">
        <f t="shared" si="649"/>
        <v>-4321.0731330024801</v>
      </c>
      <c r="CQ126" s="7"/>
    </row>
    <row r="127" spans="1:95" ht="14.25" customHeight="1" outlineLevel="1">
      <c r="A127" s="10"/>
      <c r="B127" s="27" t="s">
        <v>102</v>
      </c>
      <c r="C127" s="28"/>
      <c r="D127" s="189">
        <f t="shared" si="590"/>
        <v>45</v>
      </c>
      <c r="E127" s="189">
        <f t="shared" si="591"/>
        <v>45</v>
      </c>
      <c r="F127" s="189">
        <f t="shared" si="591"/>
        <v>45</v>
      </c>
      <c r="G127" s="190">
        <f t="shared" si="591"/>
        <v>45</v>
      </c>
      <c r="H127" s="189">
        <f t="shared" si="592"/>
        <v>0</v>
      </c>
      <c r="I127" s="189">
        <f t="shared" si="593"/>
        <v>0</v>
      </c>
      <c r="J127" s="189">
        <f t="shared" si="593"/>
        <v>-1</v>
      </c>
      <c r="K127" s="190">
        <f t="shared" si="593"/>
        <v>-5</v>
      </c>
      <c r="L127" s="189">
        <f t="shared" si="594"/>
        <v>-1</v>
      </c>
      <c r="M127" s="189">
        <f t="shared" si="595"/>
        <v>-1</v>
      </c>
      <c r="N127" s="189">
        <f t="shared" si="595"/>
        <v>-1</v>
      </c>
      <c r="O127" s="190">
        <f t="shared" si="595"/>
        <v>-2</v>
      </c>
      <c r="P127" s="189">
        <f t="shared" si="596"/>
        <v>0</v>
      </c>
      <c r="Q127" s="189">
        <f t="shared" si="597"/>
        <v>-1</v>
      </c>
      <c r="R127" s="189">
        <f t="shared" si="597"/>
        <v>-1</v>
      </c>
      <c r="S127" s="190">
        <f t="shared" si="597"/>
        <v>-1</v>
      </c>
      <c r="T127" s="189">
        <f t="shared" si="598"/>
        <v>0</v>
      </c>
      <c r="U127" s="189">
        <f t="shared" si="599"/>
        <v>0</v>
      </c>
      <c r="V127" s="189">
        <f t="shared" si="599"/>
        <v>0</v>
      </c>
      <c r="W127" s="190">
        <f t="shared" si="599"/>
        <v>0</v>
      </c>
      <c r="X127" s="189">
        <f t="shared" si="600"/>
        <v>0</v>
      </c>
      <c r="Y127" s="189">
        <f t="shared" si="601"/>
        <v>0</v>
      </c>
      <c r="Z127" s="189">
        <f t="shared" si="601"/>
        <v>0</v>
      </c>
      <c r="AA127" s="190">
        <f t="shared" si="601"/>
        <v>0</v>
      </c>
      <c r="AB127" s="189">
        <f t="shared" si="602"/>
        <v>1</v>
      </c>
      <c r="AC127" s="189">
        <f t="shared" si="603"/>
        <v>3</v>
      </c>
      <c r="AD127" s="189">
        <f t="shared" si="603"/>
        <v>8</v>
      </c>
      <c r="AE127" s="190">
        <f t="shared" si="603"/>
        <v>11</v>
      </c>
      <c r="AF127" s="189">
        <f t="shared" si="604"/>
        <v>3</v>
      </c>
      <c r="AG127" s="189">
        <f t="shared" si="605"/>
        <v>5</v>
      </c>
      <c r="AH127" s="189">
        <f t="shared" si="605"/>
        <v>8</v>
      </c>
      <c r="AI127" s="190">
        <f t="shared" si="605"/>
        <v>24</v>
      </c>
      <c r="AJ127" s="189">
        <f t="shared" si="606"/>
        <v>5</v>
      </c>
      <c r="AK127" s="189">
        <f t="shared" si="607"/>
        <v>13</v>
      </c>
      <c r="AL127" s="189">
        <f t="shared" si="607"/>
        <v>-122</v>
      </c>
      <c r="AM127" s="190">
        <f t="shared" si="607"/>
        <v>-125</v>
      </c>
      <c r="AN127" s="189">
        <f t="shared" si="608"/>
        <v>0</v>
      </c>
      <c r="AO127" s="189">
        <f t="shared" si="609"/>
        <v>0</v>
      </c>
      <c r="AP127" s="189">
        <f t="shared" si="609"/>
        <v>32</v>
      </c>
      <c r="AQ127" s="190">
        <f t="shared" si="609"/>
        <v>55</v>
      </c>
      <c r="AR127" s="189">
        <f t="shared" si="610"/>
        <v>-4</v>
      </c>
      <c r="AS127" s="189">
        <f t="shared" si="611"/>
        <v>15818</v>
      </c>
      <c r="AT127" s="189">
        <f t="shared" si="611"/>
        <v>15828</v>
      </c>
      <c r="AU127" s="190">
        <f t="shared" si="611"/>
        <v>15813</v>
      </c>
      <c r="AV127" s="189">
        <f t="shared" si="612"/>
        <v>-107</v>
      </c>
      <c r="AW127" s="189">
        <f t="shared" si="611"/>
        <v>-127</v>
      </c>
      <c r="AX127" s="189">
        <f t="shared" si="613"/>
        <v>-127</v>
      </c>
      <c r="AY127" s="190">
        <f t="shared" si="613"/>
        <v>-127</v>
      </c>
      <c r="AZ127" s="189">
        <f t="shared" si="614"/>
        <v>-859</v>
      </c>
      <c r="BA127" s="189">
        <f t="shared" si="615"/>
        <v>-859</v>
      </c>
      <c r="BB127" s="189">
        <f t="shared" si="615"/>
        <v>-859</v>
      </c>
      <c r="BC127" s="190">
        <f t="shared" si="615"/>
        <v>-859</v>
      </c>
      <c r="BD127" s="189">
        <f t="shared" si="616"/>
        <v>0</v>
      </c>
      <c r="BE127" s="189">
        <f t="shared" si="617"/>
        <v>0</v>
      </c>
      <c r="BF127" s="189">
        <f t="shared" si="618"/>
        <v>0</v>
      </c>
      <c r="BG127" s="190">
        <f t="shared" si="619"/>
        <v>0</v>
      </c>
      <c r="BH127" s="189">
        <f t="shared" si="616"/>
        <v>0</v>
      </c>
      <c r="BI127" s="189">
        <f t="shared" si="620"/>
        <v>0</v>
      </c>
      <c r="BJ127" s="189">
        <f t="shared" si="621"/>
        <v>0</v>
      </c>
      <c r="BK127" s="190">
        <f t="shared" si="622"/>
        <v>0</v>
      </c>
      <c r="BL127" s="166"/>
      <c r="BM127" s="191">
        <f t="shared" si="623"/>
        <v>45</v>
      </c>
      <c r="BN127" s="189">
        <f t="shared" si="624"/>
        <v>-5</v>
      </c>
      <c r="BO127" s="189">
        <f t="shared" si="625"/>
        <v>-2</v>
      </c>
      <c r="BP127" s="189">
        <f t="shared" si="626"/>
        <v>-1</v>
      </c>
      <c r="BQ127" s="189">
        <f t="shared" si="627"/>
        <v>0</v>
      </c>
      <c r="BR127" s="190">
        <f t="shared" si="628"/>
        <v>0</v>
      </c>
      <c r="BS127" s="189">
        <f t="shared" si="629"/>
        <v>11</v>
      </c>
      <c r="BT127" s="189">
        <f t="shared" si="630"/>
        <v>24</v>
      </c>
      <c r="BU127" s="189">
        <f t="shared" si="631"/>
        <v>-125</v>
      </c>
      <c r="BV127" s="189">
        <f t="shared" si="632"/>
        <v>55</v>
      </c>
      <c r="BW127" s="189">
        <f t="shared" si="633"/>
        <v>15813</v>
      </c>
      <c r="BX127" s="189">
        <f t="shared" si="634"/>
        <v>-127</v>
      </c>
      <c r="BY127" s="189">
        <f t="shared" si="635"/>
        <v>-859</v>
      </c>
      <c r="BZ127" s="189">
        <f t="shared" si="636"/>
        <v>0</v>
      </c>
      <c r="CA127" s="190">
        <f t="shared" si="637"/>
        <v>0</v>
      </c>
      <c r="CB127" s="166"/>
      <c r="CC127" s="191">
        <f t="shared" ref="CC127:CN127" si="650">CC42</f>
        <v>0</v>
      </c>
      <c r="CD127" s="189">
        <f t="shared" si="650"/>
        <v>-6</v>
      </c>
      <c r="CE127" s="189">
        <f t="shared" si="650"/>
        <v>-1</v>
      </c>
      <c r="CF127" s="189">
        <f t="shared" si="650"/>
        <v>-1</v>
      </c>
      <c r="CG127" s="189">
        <f t="shared" si="650"/>
        <v>0</v>
      </c>
      <c r="CH127" s="189">
        <f t="shared" si="650"/>
        <v>1</v>
      </c>
      <c r="CI127" s="189">
        <f t="shared" si="650"/>
        <v>13</v>
      </c>
      <c r="CJ127" s="189">
        <f t="shared" si="650"/>
        <v>26</v>
      </c>
      <c r="CK127" s="189">
        <f t="shared" si="650"/>
        <v>-130</v>
      </c>
      <c r="CL127" s="189">
        <f t="shared" si="650"/>
        <v>51</v>
      </c>
      <c r="CM127" s="189">
        <f t="shared" si="650"/>
        <v>15710</v>
      </c>
      <c r="CN127" s="189">
        <f t="shared" si="650"/>
        <v>-879</v>
      </c>
      <c r="CO127" s="189">
        <f t="shared" ref="CO127:CP127" si="651">CO42</f>
        <v>0</v>
      </c>
      <c r="CP127" s="190">
        <f t="shared" si="651"/>
        <v>0</v>
      </c>
      <c r="CQ127" s="10"/>
    </row>
    <row r="128" spans="1:95" ht="14.25" customHeight="1" outlineLevel="1" thickBot="1">
      <c r="A128" s="7"/>
      <c r="B128" s="195" t="s">
        <v>82</v>
      </c>
      <c r="C128" s="196"/>
      <c r="D128" s="197">
        <f t="shared" ref="D128:AK128" si="652">SUM(D121:D127)</f>
        <v>2759</v>
      </c>
      <c r="E128" s="197">
        <f t="shared" si="652"/>
        <v>2286</v>
      </c>
      <c r="F128" s="197">
        <f t="shared" si="652"/>
        <v>2037</v>
      </c>
      <c r="G128" s="199">
        <f t="shared" si="652"/>
        <v>2036</v>
      </c>
      <c r="H128" s="197">
        <f t="shared" si="652"/>
        <v>0</v>
      </c>
      <c r="I128" s="197">
        <f t="shared" si="652"/>
        <v>-86</v>
      </c>
      <c r="J128" s="197">
        <f t="shared" si="652"/>
        <v>-94</v>
      </c>
      <c r="K128" s="199">
        <f t="shared" si="652"/>
        <v>-112</v>
      </c>
      <c r="L128" s="197">
        <f t="shared" si="652"/>
        <v>-201</v>
      </c>
      <c r="M128" s="197">
        <f t="shared" si="652"/>
        <v>-201</v>
      </c>
      <c r="N128" s="197">
        <f t="shared" si="652"/>
        <v>-202</v>
      </c>
      <c r="O128" s="199">
        <f t="shared" si="652"/>
        <v>-203</v>
      </c>
      <c r="P128" s="197">
        <f t="shared" si="652"/>
        <v>-2</v>
      </c>
      <c r="Q128" s="197">
        <f t="shared" si="652"/>
        <v>-4</v>
      </c>
      <c r="R128" s="197">
        <f t="shared" si="652"/>
        <v>-10</v>
      </c>
      <c r="S128" s="199">
        <f t="shared" si="652"/>
        <v>183</v>
      </c>
      <c r="T128" s="197">
        <f t="shared" si="652"/>
        <v>-360</v>
      </c>
      <c r="U128" s="197">
        <f t="shared" si="652"/>
        <v>-345</v>
      </c>
      <c r="V128" s="197">
        <f t="shared" si="652"/>
        <v>-342</v>
      </c>
      <c r="W128" s="199">
        <f t="shared" si="652"/>
        <v>-335</v>
      </c>
      <c r="X128" s="197">
        <f t="shared" si="652"/>
        <v>-224</v>
      </c>
      <c r="Y128" s="197">
        <f t="shared" si="652"/>
        <v>-225</v>
      </c>
      <c r="Z128" s="197">
        <f t="shared" si="652"/>
        <v>-304</v>
      </c>
      <c r="AA128" s="199">
        <f t="shared" si="652"/>
        <v>-336</v>
      </c>
      <c r="AB128" s="197">
        <f t="shared" si="652"/>
        <v>-102</v>
      </c>
      <c r="AC128" s="197">
        <f t="shared" si="652"/>
        <v>-122</v>
      </c>
      <c r="AD128" s="197">
        <f t="shared" si="652"/>
        <v>-164</v>
      </c>
      <c r="AE128" s="199">
        <f t="shared" si="652"/>
        <v>-194</v>
      </c>
      <c r="AF128" s="197">
        <f t="shared" si="652"/>
        <v>-42</v>
      </c>
      <c r="AG128" s="197">
        <f t="shared" ref="AG128:AN128" si="653">SUM(AG121:AG127)</f>
        <v>-81</v>
      </c>
      <c r="AH128" s="197">
        <f t="shared" si="652"/>
        <v>-136</v>
      </c>
      <c r="AI128" s="199">
        <f t="shared" si="652"/>
        <v>-172</v>
      </c>
      <c r="AJ128" s="197">
        <f t="shared" si="652"/>
        <v>-50</v>
      </c>
      <c r="AK128" s="197">
        <f t="shared" si="652"/>
        <v>-76</v>
      </c>
      <c r="AL128" s="197">
        <f t="shared" si="653"/>
        <v>5348</v>
      </c>
      <c r="AM128" s="199">
        <f t="shared" si="653"/>
        <v>5329</v>
      </c>
      <c r="AN128" s="197">
        <f t="shared" si="653"/>
        <v>-30</v>
      </c>
      <c r="AO128" s="197">
        <f t="shared" ref="AO128:AU128" si="654">SUM(AO121:AO127)</f>
        <v>-605</v>
      </c>
      <c r="AP128" s="197">
        <f t="shared" si="654"/>
        <v>-1809</v>
      </c>
      <c r="AQ128" s="199">
        <f t="shared" si="654"/>
        <v>-1859</v>
      </c>
      <c r="AR128" s="197">
        <f t="shared" si="654"/>
        <v>-42</v>
      </c>
      <c r="AS128" s="197">
        <f t="shared" si="654"/>
        <v>9415</v>
      </c>
      <c r="AT128" s="197">
        <f t="shared" si="654"/>
        <v>7946</v>
      </c>
      <c r="AU128" s="199">
        <f t="shared" si="654"/>
        <v>7704</v>
      </c>
      <c r="AV128" s="197">
        <f t="shared" ref="AV128:BC128" si="655">SUM(AV121:AV127)</f>
        <v>-595</v>
      </c>
      <c r="AW128" s="197">
        <f t="shared" si="655"/>
        <v>-967</v>
      </c>
      <c r="AX128" s="197">
        <f t="shared" si="655"/>
        <v>-1370</v>
      </c>
      <c r="AY128" s="199">
        <f t="shared" si="655"/>
        <v>2230</v>
      </c>
      <c r="AZ128" s="197">
        <f t="shared" si="655"/>
        <v>-1586</v>
      </c>
      <c r="BA128" s="197">
        <f t="shared" si="655"/>
        <v>-2364.2212903225804</v>
      </c>
      <c r="BB128" s="197">
        <f t="shared" si="655"/>
        <v>-3143.3426054590568</v>
      </c>
      <c r="BC128" s="199">
        <f t="shared" si="655"/>
        <v>-3923.3639454094291</v>
      </c>
      <c r="BD128" s="197">
        <f t="shared" ref="BD128:BK128" si="656">SUM(BD121:BD127)</f>
        <v>-1083.1406970223322</v>
      </c>
      <c r="BE128" s="197">
        <f t="shared" si="656"/>
        <v>-2167.5324285359798</v>
      </c>
      <c r="BF128" s="197">
        <f t="shared" si="656"/>
        <v>-3253.1751945409424</v>
      </c>
      <c r="BG128" s="199">
        <f t="shared" si="656"/>
        <v>-4340.0689950372198</v>
      </c>
      <c r="BH128" s="197">
        <f t="shared" si="656"/>
        <v>-1088.1448349875927</v>
      </c>
      <c r="BI128" s="197">
        <f t="shared" si="656"/>
        <v>-2177.5407044665008</v>
      </c>
      <c r="BJ128" s="197">
        <f t="shared" si="656"/>
        <v>-3268.1876084367241</v>
      </c>
      <c r="BK128" s="199">
        <f t="shared" si="656"/>
        <v>-4360.0855468982627</v>
      </c>
      <c r="BL128" s="166"/>
      <c r="BM128" s="198">
        <f t="shared" ref="BM128:BW128" si="657">SUM(BM121:BM127)</f>
        <v>2036</v>
      </c>
      <c r="BN128" s="197">
        <f t="shared" si="657"/>
        <v>-112</v>
      </c>
      <c r="BO128" s="197">
        <f t="shared" si="657"/>
        <v>-203</v>
      </c>
      <c r="BP128" s="197">
        <f t="shared" si="657"/>
        <v>183</v>
      </c>
      <c r="BQ128" s="197">
        <f t="shared" ref="BQ128:BS128" si="658">SUM(BQ121:BQ127)</f>
        <v>-335</v>
      </c>
      <c r="BR128" s="199">
        <f t="shared" si="658"/>
        <v>-336</v>
      </c>
      <c r="BS128" s="197">
        <f t="shared" si="658"/>
        <v>-194</v>
      </c>
      <c r="BT128" s="197">
        <f t="shared" si="657"/>
        <v>-172</v>
      </c>
      <c r="BU128" s="197">
        <f t="shared" si="657"/>
        <v>5329</v>
      </c>
      <c r="BV128" s="197">
        <f t="shared" si="657"/>
        <v>-1859</v>
      </c>
      <c r="BW128" s="197">
        <f t="shared" si="657"/>
        <v>7704</v>
      </c>
      <c r="BX128" s="197">
        <f>SUM(BX121:BX127)</f>
        <v>2230</v>
      </c>
      <c r="BY128" s="197">
        <f>SUM(BY121:BY127)</f>
        <v>-3923.3639454094291</v>
      </c>
      <c r="BZ128" s="197">
        <f>SUM(BZ121:BZ127)</f>
        <v>-4340.0689950372198</v>
      </c>
      <c r="CA128" s="199">
        <f>SUM(CA121:CA127)</f>
        <v>-4360.0855468982627</v>
      </c>
      <c r="CB128" s="19"/>
      <c r="CC128" s="198">
        <f t="shared" ref="CC128:CJ128" si="659">SUM(CC121:CC127)</f>
        <v>-723</v>
      </c>
      <c r="CD128" s="197">
        <f t="shared" si="659"/>
        <v>-313</v>
      </c>
      <c r="CE128" s="197">
        <f t="shared" si="659"/>
        <v>-4</v>
      </c>
      <c r="CF128" s="197">
        <f t="shared" si="659"/>
        <v>-175</v>
      </c>
      <c r="CG128" s="197">
        <f t="shared" si="659"/>
        <v>-199</v>
      </c>
      <c r="CH128" s="197">
        <f t="shared" si="659"/>
        <v>-214</v>
      </c>
      <c r="CI128" s="197">
        <f t="shared" si="659"/>
        <v>-134</v>
      </c>
      <c r="CJ128" s="197">
        <f t="shared" si="659"/>
        <v>-180</v>
      </c>
      <c r="CK128" s="197">
        <f t="shared" ref="CK128:CP128" si="660">SUM(CK121:CK127)</f>
        <v>5349</v>
      </c>
      <c r="CL128" s="197">
        <f t="shared" si="660"/>
        <v>-1871</v>
      </c>
      <c r="CM128" s="197">
        <f t="shared" si="660"/>
        <v>7151</v>
      </c>
      <c r="CN128" s="197">
        <f t="shared" si="660"/>
        <v>1239</v>
      </c>
      <c r="CO128" s="197">
        <f t="shared" si="660"/>
        <v>-3420.5046424317616</v>
      </c>
      <c r="CP128" s="199">
        <f t="shared" si="660"/>
        <v>-4345.0731330024801</v>
      </c>
      <c r="CQ128" s="7"/>
    </row>
    <row r="129" spans="1:95" ht="14.25" customHeight="1" outlineLevel="1" thickTop="1">
      <c r="A129" s="7"/>
      <c r="B129" s="43"/>
      <c r="C129" s="44"/>
      <c r="D129" s="203"/>
      <c r="E129" s="203"/>
      <c r="F129" s="203"/>
      <c r="G129" s="205"/>
      <c r="H129" s="203"/>
      <c r="I129" s="203"/>
      <c r="J129" s="203"/>
      <c r="K129" s="205"/>
      <c r="L129" s="203"/>
      <c r="M129" s="203"/>
      <c r="N129" s="203"/>
      <c r="O129" s="205"/>
      <c r="P129" s="203"/>
      <c r="Q129" s="203"/>
      <c r="R129" s="203"/>
      <c r="S129" s="205"/>
      <c r="T129" s="203"/>
      <c r="U129" s="203"/>
      <c r="V129" s="203"/>
      <c r="W129" s="205"/>
      <c r="X129" s="203"/>
      <c r="Y129" s="203"/>
      <c r="Z129" s="203"/>
      <c r="AA129" s="205"/>
      <c r="AB129" s="203"/>
      <c r="AC129" s="203"/>
      <c r="AD129" s="203"/>
      <c r="AE129" s="205"/>
      <c r="AF129" s="203"/>
      <c r="AG129" s="203"/>
      <c r="AH129" s="203"/>
      <c r="AI129" s="205"/>
      <c r="AJ129" s="203"/>
      <c r="AK129" s="203"/>
      <c r="AL129" s="203"/>
      <c r="AM129" s="205"/>
      <c r="AN129" s="203"/>
      <c r="AO129" s="203"/>
      <c r="AP129" s="203"/>
      <c r="AQ129" s="205"/>
      <c r="AR129" s="203"/>
      <c r="AS129" s="203"/>
      <c r="AT129" s="203"/>
      <c r="AU129" s="205"/>
      <c r="AV129" s="203"/>
      <c r="AW129" s="203"/>
      <c r="AX129" s="203"/>
      <c r="AY129" s="205"/>
      <c r="AZ129" s="203"/>
      <c r="BA129" s="203"/>
      <c r="BB129" s="203"/>
      <c r="BC129" s="205"/>
      <c r="BD129" s="203"/>
      <c r="BE129" s="203"/>
      <c r="BF129" s="203"/>
      <c r="BG129" s="205"/>
      <c r="BH129" s="203"/>
      <c r="BI129" s="203"/>
      <c r="BJ129" s="203"/>
      <c r="BK129" s="205"/>
      <c r="BL129" s="166"/>
      <c r="BM129" s="204"/>
      <c r="BN129" s="203"/>
      <c r="BO129" s="203"/>
      <c r="BP129" s="203"/>
      <c r="BQ129" s="203"/>
      <c r="BR129" s="205"/>
      <c r="BS129" s="203"/>
      <c r="BT129" s="203"/>
      <c r="BU129" s="203"/>
      <c r="BV129" s="203"/>
      <c r="BW129" s="203"/>
      <c r="BX129" s="203"/>
      <c r="BY129" s="203"/>
      <c r="BZ129" s="203"/>
      <c r="CA129" s="205"/>
      <c r="CB129" s="19"/>
      <c r="CC129" s="204"/>
      <c r="CD129" s="203"/>
      <c r="CE129" s="203"/>
      <c r="CF129" s="203"/>
      <c r="CG129" s="203"/>
      <c r="CH129" s="203"/>
      <c r="CI129" s="203"/>
      <c r="CJ129" s="203"/>
      <c r="CK129" s="203"/>
      <c r="CL129" s="203"/>
      <c r="CM129" s="203"/>
      <c r="CN129" s="203"/>
      <c r="CO129" s="203"/>
      <c r="CP129" s="205"/>
      <c r="CQ129" s="7"/>
    </row>
    <row r="130" spans="1:95" ht="14.25" customHeight="1" outlineLevel="1">
      <c r="A130" s="7"/>
      <c r="B130" s="43" t="s">
        <v>83</v>
      </c>
      <c r="C130" s="44"/>
      <c r="D130" s="189">
        <f>D45</f>
        <v>0</v>
      </c>
      <c r="E130" s="189">
        <f>D130+E45</f>
        <v>0</v>
      </c>
      <c r="F130" s="189">
        <f>E130+F45</f>
        <v>0</v>
      </c>
      <c r="G130" s="190">
        <f>F130+G45</f>
        <v>0</v>
      </c>
      <c r="H130" s="189">
        <f>H45</f>
        <v>0</v>
      </c>
      <c r="I130" s="189">
        <f>H130+I45</f>
        <v>0</v>
      </c>
      <c r="J130" s="189">
        <f>I130+J45</f>
        <v>0</v>
      </c>
      <c r="K130" s="190">
        <f>J130+K45</f>
        <v>0</v>
      </c>
      <c r="L130" s="189">
        <f>L45</f>
        <v>0</v>
      </c>
      <c r="M130" s="189">
        <f>L130+M45</f>
        <v>0</v>
      </c>
      <c r="N130" s="189">
        <f>M130+N45</f>
        <v>0</v>
      </c>
      <c r="O130" s="190">
        <f>N130+O45</f>
        <v>0</v>
      </c>
      <c r="P130" s="189">
        <f>P45</f>
        <v>0</v>
      </c>
      <c r="Q130" s="189">
        <f>P130+Q45</f>
        <v>0</v>
      </c>
      <c r="R130" s="189">
        <f>Q130+R45</f>
        <v>0</v>
      </c>
      <c r="S130" s="190">
        <f>R130+S45</f>
        <v>0</v>
      </c>
      <c r="T130" s="189">
        <f>T45</f>
        <v>0</v>
      </c>
      <c r="U130" s="189">
        <f>T130+U45</f>
        <v>0</v>
      </c>
      <c r="V130" s="189">
        <f>U130+V45</f>
        <v>0</v>
      </c>
      <c r="W130" s="190">
        <f>V130+W45</f>
        <v>0</v>
      </c>
      <c r="X130" s="189">
        <f>X45</f>
        <v>0</v>
      </c>
      <c r="Y130" s="189">
        <f>X130+Y45</f>
        <v>0</v>
      </c>
      <c r="Z130" s="189">
        <f>Y130+Z45</f>
        <v>0</v>
      </c>
      <c r="AA130" s="190">
        <f>Z130+AA45</f>
        <v>0</v>
      </c>
      <c r="AB130" s="189">
        <f>AB45</f>
        <v>0</v>
      </c>
      <c r="AC130" s="189">
        <f>AB130+AC45</f>
        <v>0</v>
      </c>
      <c r="AD130" s="189">
        <f>AC130+AD45</f>
        <v>0</v>
      </c>
      <c r="AE130" s="190">
        <f>AD130+AE45</f>
        <v>0</v>
      </c>
      <c r="AF130" s="189">
        <f>AF45</f>
        <v>0</v>
      </c>
      <c r="AG130" s="189">
        <f>AF130+AG45</f>
        <v>0</v>
      </c>
      <c r="AH130" s="189">
        <f>AG130+AH45</f>
        <v>0</v>
      </c>
      <c r="AI130" s="190">
        <f>AH130+AI45</f>
        <v>0</v>
      </c>
      <c r="AJ130" s="189">
        <f>AJ45</f>
        <v>0</v>
      </c>
      <c r="AK130" s="189">
        <f>AJ130+AK45</f>
        <v>0</v>
      </c>
      <c r="AL130" s="189">
        <f>AK130+AL45</f>
        <v>0</v>
      </c>
      <c r="AM130" s="190">
        <f>AL130+AM45</f>
        <v>0</v>
      </c>
      <c r="AN130" s="189">
        <f>AN45</f>
        <v>0</v>
      </c>
      <c r="AO130" s="189">
        <f>AN130+AO45</f>
        <v>0</v>
      </c>
      <c r="AP130" s="189">
        <f>AO130+AP45</f>
        <v>0</v>
      </c>
      <c r="AQ130" s="190">
        <f>AP130+AQ45</f>
        <v>0</v>
      </c>
      <c r="AR130" s="189">
        <f>AR45</f>
        <v>0</v>
      </c>
      <c r="AS130" s="189">
        <f>AR130+AS45</f>
        <v>0</v>
      </c>
      <c r="AT130" s="189">
        <f>AS130+AT45</f>
        <v>0</v>
      </c>
      <c r="AU130" s="190">
        <f>AT130+AU45</f>
        <v>0</v>
      </c>
      <c r="AV130" s="189">
        <f>AV45</f>
        <v>0</v>
      </c>
      <c r="AW130" s="189">
        <f>AV130+AW45</f>
        <v>0</v>
      </c>
      <c r="AX130" s="189">
        <f>AW130+AX45</f>
        <v>0</v>
      </c>
      <c r="AY130" s="190">
        <f>AX130+AY45</f>
        <v>0</v>
      </c>
      <c r="AZ130" s="189">
        <f>AZ45</f>
        <v>0</v>
      </c>
      <c r="BA130" s="189">
        <f>AZ130+BA45</f>
        <v>0</v>
      </c>
      <c r="BB130" s="189">
        <f>BA130+BB45</f>
        <v>0</v>
      </c>
      <c r="BC130" s="190">
        <f>BB130+BC45</f>
        <v>0</v>
      </c>
      <c r="BD130" s="189">
        <f t="shared" ref="BD130" si="661">BD45</f>
        <v>0</v>
      </c>
      <c r="BE130" s="189">
        <f t="shared" ref="BE130:BG130" si="662">BD130+BE45</f>
        <v>0</v>
      </c>
      <c r="BF130" s="189">
        <f t="shared" si="662"/>
        <v>0</v>
      </c>
      <c r="BG130" s="190">
        <f t="shared" si="662"/>
        <v>0</v>
      </c>
      <c r="BH130" s="189">
        <f t="shared" ref="BH130" si="663">BH45</f>
        <v>0</v>
      </c>
      <c r="BI130" s="189">
        <f t="shared" ref="BI130:BK130" si="664">BH130+BI45</f>
        <v>0</v>
      </c>
      <c r="BJ130" s="189">
        <f t="shared" si="664"/>
        <v>0</v>
      </c>
      <c r="BK130" s="190">
        <f t="shared" si="664"/>
        <v>0</v>
      </c>
      <c r="BL130" s="166"/>
      <c r="BM130" s="191">
        <f>G130</f>
        <v>0</v>
      </c>
      <c r="BN130" s="189">
        <f>K130</f>
        <v>0</v>
      </c>
      <c r="BO130" s="189">
        <f>O130</f>
        <v>0</v>
      </c>
      <c r="BP130" s="189">
        <f>S130</f>
        <v>0</v>
      </c>
      <c r="BQ130" s="189">
        <f>W130</f>
        <v>0</v>
      </c>
      <c r="BR130" s="190">
        <f>AA130</f>
        <v>0</v>
      </c>
      <c r="BS130" s="189">
        <f>AE130</f>
        <v>0</v>
      </c>
      <c r="BT130" s="189">
        <f>AI130</f>
        <v>0</v>
      </c>
      <c r="BU130" s="189">
        <f>AM130</f>
        <v>0</v>
      </c>
      <c r="BV130" s="189">
        <f>AQ130</f>
        <v>0</v>
      </c>
      <c r="BW130" s="189">
        <f>AU130</f>
        <v>0</v>
      </c>
      <c r="BX130" s="189">
        <f>AY130</f>
        <v>0</v>
      </c>
      <c r="BY130" s="189">
        <f>BC130</f>
        <v>0</v>
      </c>
      <c r="BZ130" s="189">
        <f>BG130</f>
        <v>0</v>
      </c>
      <c r="CA130" s="190">
        <f>BK130</f>
        <v>0</v>
      </c>
      <c r="CB130" s="19"/>
      <c r="CC130" s="191">
        <f t="shared" ref="CC130:CN130" si="665">CC45</f>
        <v>0</v>
      </c>
      <c r="CD130" s="189">
        <f t="shared" si="665"/>
        <v>0</v>
      </c>
      <c r="CE130" s="189">
        <f t="shared" si="665"/>
        <v>0</v>
      </c>
      <c r="CF130" s="189">
        <f t="shared" si="665"/>
        <v>0</v>
      </c>
      <c r="CG130" s="189">
        <f t="shared" si="665"/>
        <v>0</v>
      </c>
      <c r="CH130" s="189">
        <f t="shared" si="665"/>
        <v>0</v>
      </c>
      <c r="CI130" s="189">
        <f t="shared" si="665"/>
        <v>0</v>
      </c>
      <c r="CJ130" s="189">
        <f t="shared" si="665"/>
        <v>0</v>
      </c>
      <c r="CK130" s="189">
        <f t="shared" si="665"/>
        <v>0</v>
      </c>
      <c r="CL130" s="189">
        <f t="shared" si="665"/>
        <v>0</v>
      </c>
      <c r="CM130" s="189">
        <f t="shared" si="665"/>
        <v>0</v>
      </c>
      <c r="CN130" s="189">
        <f t="shared" si="665"/>
        <v>0</v>
      </c>
      <c r="CO130" s="189">
        <f t="shared" ref="CO130:CP130" si="666">CO45</f>
        <v>0</v>
      </c>
      <c r="CP130" s="190">
        <f t="shared" si="666"/>
        <v>0</v>
      </c>
      <c r="CQ130" s="7"/>
    </row>
    <row r="131" spans="1:95" ht="14.25" customHeight="1" outlineLevel="1">
      <c r="A131" s="7"/>
      <c r="B131" s="43"/>
      <c r="C131" s="44"/>
      <c r="D131" s="208"/>
      <c r="E131" s="206"/>
      <c r="F131" s="206"/>
      <c r="G131" s="207"/>
      <c r="H131" s="208"/>
      <c r="I131" s="206"/>
      <c r="J131" s="206"/>
      <c r="K131" s="207"/>
      <c r="L131" s="208"/>
      <c r="M131" s="206"/>
      <c r="N131" s="206"/>
      <c r="O131" s="207"/>
      <c r="P131" s="208"/>
      <c r="Q131" s="206"/>
      <c r="R131" s="206"/>
      <c r="S131" s="207"/>
      <c r="T131" s="208"/>
      <c r="U131" s="206"/>
      <c r="V131" s="206"/>
      <c r="W131" s="207"/>
      <c r="X131" s="206"/>
      <c r="Y131" s="206"/>
      <c r="Z131" s="206"/>
      <c r="AA131" s="207"/>
      <c r="AB131" s="206"/>
      <c r="AC131" s="206"/>
      <c r="AD131" s="206"/>
      <c r="AE131" s="207"/>
      <c r="AF131" s="206"/>
      <c r="AG131" s="206"/>
      <c r="AH131" s="206"/>
      <c r="AI131" s="207"/>
      <c r="AJ131" s="206"/>
      <c r="AK131" s="206"/>
      <c r="AL131" s="206"/>
      <c r="AM131" s="207"/>
      <c r="AN131" s="208"/>
      <c r="AO131" s="206"/>
      <c r="AP131" s="206"/>
      <c r="AQ131" s="207"/>
      <c r="AR131" s="208"/>
      <c r="AS131" s="206"/>
      <c r="AT131" s="206"/>
      <c r="AU131" s="207"/>
      <c r="AV131" s="208"/>
      <c r="AW131" s="206"/>
      <c r="AX131" s="206"/>
      <c r="AY131" s="207"/>
      <c r="AZ131" s="208"/>
      <c r="BA131" s="206"/>
      <c r="BB131" s="206"/>
      <c r="BC131" s="207"/>
      <c r="BD131" s="208"/>
      <c r="BE131" s="206"/>
      <c r="BF131" s="206"/>
      <c r="BG131" s="207"/>
      <c r="BH131" s="208"/>
      <c r="BI131" s="206"/>
      <c r="BJ131" s="206"/>
      <c r="BK131" s="207"/>
      <c r="BL131" s="166"/>
      <c r="BM131" s="208"/>
      <c r="BN131" s="206"/>
      <c r="BO131" s="206"/>
      <c r="BP131" s="206"/>
      <c r="BQ131" s="206"/>
      <c r="BR131" s="207"/>
      <c r="BS131" s="206"/>
      <c r="BT131" s="206"/>
      <c r="BU131" s="206"/>
      <c r="BV131" s="206"/>
      <c r="BW131" s="206"/>
      <c r="BX131" s="206"/>
      <c r="BY131" s="206"/>
      <c r="BZ131" s="206"/>
      <c r="CA131" s="207"/>
      <c r="CB131" s="19"/>
      <c r="CC131" s="208"/>
      <c r="CD131" s="206"/>
      <c r="CE131" s="206"/>
      <c r="CF131" s="206"/>
      <c r="CG131" s="206"/>
      <c r="CH131" s="206"/>
      <c r="CI131" s="206"/>
      <c r="CJ131" s="206"/>
      <c r="CK131" s="206"/>
      <c r="CL131" s="206"/>
      <c r="CM131" s="206"/>
      <c r="CN131" s="206"/>
      <c r="CO131" s="206"/>
      <c r="CP131" s="207"/>
      <c r="CQ131" s="7"/>
    </row>
    <row r="132" spans="1:95" ht="14.25" customHeight="1" outlineLevel="1">
      <c r="A132" s="7"/>
      <c r="B132" s="43" t="s">
        <v>84</v>
      </c>
      <c r="C132" s="44"/>
      <c r="D132" s="208">
        <v>0</v>
      </c>
      <c r="E132" s="203">
        <f>D132</f>
        <v>0</v>
      </c>
      <c r="F132" s="203">
        <f>D132</f>
        <v>0</v>
      </c>
      <c r="G132" s="203">
        <f>D132</f>
        <v>0</v>
      </c>
      <c r="H132" s="204">
        <f>G135</f>
        <v>272</v>
      </c>
      <c r="I132" s="203">
        <f>H132</f>
        <v>272</v>
      </c>
      <c r="J132" s="203">
        <f>H132</f>
        <v>272</v>
      </c>
      <c r="K132" s="203">
        <f>H132</f>
        <v>272</v>
      </c>
      <c r="L132" s="204">
        <f>K135</f>
        <v>309</v>
      </c>
      <c r="M132" s="203">
        <f>L132</f>
        <v>309</v>
      </c>
      <c r="N132" s="203">
        <f>L132</f>
        <v>309</v>
      </c>
      <c r="O132" s="203">
        <f>L132</f>
        <v>309</v>
      </c>
      <c r="P132" s="204">
        <f>O135</f>
        <v>213</v>
      </c>
      <c r="Q132" s="203">
        <f>P132</f>
        <v>213</v>
      </c>
      <c r="R132" s="203">
        <f>P132</f>
        <v>213</v>
      </c>
      <c r="S132" s="203">
        <f>P132</f>
        <v>213</v>
      </c>
      <c r="T132" s="204">
        <f>S135</f>
        <v>472</v>
      </c>
      <c r="U132" s="203">
        <f>T132</f>
        <v>472</v>
      </c>
      <c r="V132" s="203">
        <f>T132</f>
        <v>472</v>
      </c>
      <c r="W132" s="203">
        <f>T132</f>
        <v>472</v>
      </c>
      <c r="X132" s="204">
        <f>W135</f>
        <v>561</v>
      </c>
      <c r="Y132" s="203">
        <f>X132</f>
        <v>561</v>
      </c>
      <c r="Z132" s="203">
        <f>Y132</f>
        <v>561</v>
      </c>
      <c r="AA132" s="205">
        <f>X132</f>
        <v>561</v>
      </c>
      <c r="AB132" s="204">
        <f>AA135</f>
        <v>829</v>
      </c>
      <c r="AC132" s="203">
        <f>AB132</f>
        <v>829</v>
      </c>
      <c r="AD132" s="203">
        <f>AC132</f>
        <v>829</v>
      </c>
      <c r="AE132" s="205">
        <f>AB132</f>
        <v>829</v>
      </c>
      <c r="AF132" s="204">
        <f>AE135</f>
        <v>1084</v>
      </c>
      <c r="AG132" s="203">
        <f>AF132</f>
        <v>1084</v>
      </c>
      <c r="AH132" s="203">
        <f>AG132</f>
        <v>1084</v>
      </c>
      <c r="AI132" s="205">
        <f>AF132</f>
        <v>1084</v>
      </c>
      <c r="AJ132" s="204">
        <f>AI135</f>
        <v>985</v>
      </c>
      <c r="AK132" s="203">
        <f>AJ132</f>
        <v>985</v>
      </c>
      <c r="AL132" s="203">
        <f>AJ132</f>
        <v>985</v>
      </c>
      <c r="AM132" s="205">
        <f>AJ132</f>
        <v>985</v>
      </c>
      <c r="AN132" s="204">
        <f>AM135</f>
        <v>1604</v>
      </c>
      <c r="AO132" s="203">
        <f>AN132</f>
        <v>1604</v>
      </c>
      <c r="AP132" s="203">
        <f>AN132</f>
        <v>1604</v>
      </c>
      <c r="AQ132" s="205">
        <f>AN132</f>
        <v>1604</v>
      </c>
      <c r="AR132" s="204">
        <f>AQ135</f>
        <v>1822</v>
      </c>
      <c r="AS132" s="203">
        <f>AR132</f>
        <v>1822</v>
      </c>
      <c r="AT132" s="203">
        <f>AR132</f>
        <v>1822</v>
      </c>
      <c r="AU132" s="205">
        <f>AR132</f>
        <v>1822</v>
      </c>
      <c r="AV132" s="204">
        <f>AU135</f>
        <v>3097</v>
      </c>
      <c r="AW132" s="203">
        <f>AV132</f>
        <v>3097</v>
      </c>
      <c r="AX132" s="203">
        <f>AV132</f>
        <v>3097</v>
      </c>
      <c r="AY132" s="205">
        <f>AV132</f>
        <v>3097</v>
      </c>
      <c r="AZ132" s="204">
        <f>AY135</f>
        <v>11204</v>
      </c>
      <c r="BA132" s="203">
        <f>AZ132</f>
        <v>11204</v>
      </c>
      <c r="BB132" s="203">
        <f>AZ132</f>
        <v>11204</v>
      </c>
      <c r="BC132" s="205">
        <f>AZ132</f>
        <v>11204</v>
      </c>
      <c r="BD132" s="204">
        <f t="shared" ref="BD132" si="667">BC135</f>
        <v>11265.97697017292</v>
      </c>
      <c r="BE132" s="203">
        <f t="shared" ref="BE132" si="668">BD132</f>
        <v>11265.97697017292</v>
      </c>
      <c r="BF132" s="203">
        <f t="shared" ref="BF132" si="669">BD132</f>
        <v>11265.97697017292</v>
      </c>
      <c r="BG132" s="205">
        <f t="shared" ref="BG132" si="670">BD132</f>
        <v>11265.97697017292</v>
      </c>
      <c r="BH132" s="204">
        <f t="shared" ref="BH132" si="671">BG135</f>
        <v>16122.165717781805</v>
      </c>
      <c r="BI132" s="203">
        <f t="shared" ref="BI132" si="672">BH132</f>
        <v>16122.165717781805</v>
      </c>
      <c r="BJ132" s="203">
        <f t="shared" ref="BJ132" si="673">BH132</f>
        <v>16122.165717781805</v>
      </c>
      <c r="BK132" s="205">
        <f t="shared" ref="BK132" si="674">BH132</f>
        <v>16122.165717781805</v>
      </c>
      <c r="BL132" s="166"/>
      <c r="BM132" s="204">
        <f>D132</f>
        <v>0</v>
      </c>
      <c r="BN132" s="203">
        <f t="shared" ref="BN132:CA132" si="675">BM135</f>
        <v>272</v>
      </c>
      <c r="BO132" s="203">
        <f t="shared" si="675"/>
        <v>309</v>
      </c>
      <c r="BP132" s="203">
        <f t="shared" si="675"/>
        <v>213</v>
      </c>
      <c r="BQ132" s="203">
        <f t="shared" ref="BQ132" si="676">BP135</f>
        <v>472</v>
      </c>
      <c r="BR132" s="205">
        <f t="shared" ref="BR132" si="677">BQ135</f>
        <v>561</v>
      </c>
      <c r="BS132" s="203">
        <f t="shared" ref="BS132" si="678">BR135</f>
        <v>829</v>
      </c>
      <c r="BT132" s="203">
        <f t="shared" si="675"/>
        <v>1084</v>
      </c>
      <c r="BU132" s="203">
        <f t="shared" si="675"/>
        <v>985</v>
      </c>
      <c r="BV132" s="203">
        <f t="shared" si="675"/>
        <v>1604</v>
      </c>
      <c r="BW132" s="203">
        <f t="shared" si="675"/>
        <v>1822</v>
      </c>
      <c r="BX132" s="203">
        <f t="shared" si="675"/>
        <v>3097</v>
      </c>
      <c r="BY132" s="203">
        <f t="shared" si="675"/>
        <v>11204</v>
      </c>
      <c r="BZ132" s="203">
        <f t="shared" si="675"/>
        <v>11265.97697017292</v>
      </c>
      <c r="CA132" s="205">
        <f t="shared" si="675"/>
        <v>16122.165717781805</v>
      </c>
      <c r="CB132" s="19"/>
      <c r="CC132" s="204">
        <f>CC47</f>
        <v>169</v>
      </c>
      <c r="CD132" s="203">
        <f t="shared" ref="CD132:CJ132" si="679">CC135</f>
        <v>240</v>
      </c>
      <c r="CE132" s="203">
        <f t="shared" si="679"/>
        <v>61</v>
      </c>
      <c r="CF132" s="203">
        <f t="shared" si="679"/>
        <v>195</v>
      </c>
      <c r="CG132" s="203">
        <f t="shared" si="679"/>
        <v>144</v>
      </c>
      <c r="CH132" s="203">
        <f t="shared" si="679"/>
        <v>363</v>
      </c>
      <c r="CI132" s="203">
        <f t="shared" si="679"/>
        <v>819</v>
      </c>
      <c r="CJ132" s="203">
        <f t="shared" si="679"/>
        <v>1151</v>
      </c>
      <c r="CK132" s="203">
        <f t="shared" ref="CK132:CP132" si="680">CJ135</f>
        <v>1112</v>
      </c>
      <c r="CL132" s="203">
        <f t="shared" si="680"/>
        <v>2569</v>
      </c>
      <c r="CM132" s="203">
        <f t="shared" si="680"/>
        <v>2169</v>
      </c>
      <c r="CN132" s="203">
        <f t="shared" si="680"/>
        <v>3536</v>
      </c>
      <c r="CO132" s="203">
        <f t="shared" si="680"/>
        <v>7076</v>
      </c>
      <c r="CP132" s="205">
        <f t="shared" si="680"/>
        <v>12680.111689689506</v>
      </c>
      <c r="CQ132" s="7"/>
    </row>
    <row r="133" spans="1:95" ht="14.25" customHeight="1" outlineLevel="1">
      <c r="A133" s="7"/>
      <c r="B133" s="43" t="s">
        <v>85</v>
      </c>
      <c r="C133" s="44"/>
      <c r="D133" s="208"/>
      <c r="E133" s="206"/>
      <c r="F133" s="206"/>
      <c r="G133" s="206"/>
      <c r="H133" s="208"/>
      <c r="I133" s="206"/>
      <c r="J133" s="206"/>
      <c r="K133" s="206"/>
      <c r="L133" s="208"/>
      <c r="M133" s="206"/>
      <c r="N133" s="206"/>
      <c r="O133" s="206"/>
      <c r="P133" s="208"/>
      <c r="Q133" s="206"/>
      <c r="R133" s="206"/>
      <c r="S133" s="206"/>
      <c r="T133" s="208"/>
      <c r="U133" s="206"/>
      <c r="V133" s="206"/>
      <c r="W133" s="206"/>
      <c r="X133" s="208"/>
      <c r="Y133" s="206"/>
      <c r="Z133" s="206"/>
      <c r="AA133" s="207"/>
      <c r="AB133" s="208"/>
      <c r="AC133" s="206"/>
      <c r="AD133" s="206"/>
      <c r="AE133" s="207"/>
      <c r="AF133" s="208"/>
      <c r="AG133" s="206"/>
      <c r="AH133" s="189">
        <f>AG133+AH48</f>
        <v>0</v>
      </c>
      <c r="AI133" s="207">
        <f>AH133+AI48</f>
        <v>0</v>
      </c>
      <c r="AJ133" s="208"/>
      <c r="AK133" s="189"/>
      <c r="AL133" s="189">
        <f>AK133+AL48</f>
        <v>0</v>
      </c>
      <c r="AM133" s="190">
        <f>AL133+AM48</f>
        <v>0</v>
      </c>
      <c r="AN133" s="189">
        <f>AN48</f>
        <v>0</v>
      </c>
      <c r="AO133" s="189">
        <f>AN133+AO48</f>
        <v>0</v>
      </c>
      <c r="AP133" s="189">
        <f>AO133+AP48</f>
        <v>0</v>
      </c>
      <c r="AQ133" s="190">
        <f>AP133+AQ48</f>
        <v>0</v>
      </c>
      <c r="AR133" s="189">
        <f>AR48</f>
        <v>0</v>
      </c>
      <c r="AS133" s="189">
        <f>AR133+AS48</f>
        <v>0</v>
      </c>
      <c r="AT133" s="189">
        <f>AS133+AT48</f>
        <v>0</v>
      </c>
      <c r="AU133" s="190">
        <f>AT133+AU48</f>
        <v>0</v>
      </c>
      <c r="AV133" s="189">
        <f>AV48</f>
        <v>0</v>
      </c>
      <c r="AW133" s="189">
        <f>AV133+AW48</f>
        <v>0</v>
      </c>
      <c r="AX133" s="189">
        <f>AW133+AX48</f>
        <v>0</v>
      </c>
      <c r="AY133" s="190">
        <f>AX133+AY48</f>
        <v>0</v>
      </c>
      <c r="AZ133" s="189">
        <f>AZ48</f>
        <v>0</v>
      </c>
      <c r="BA133" s="189">
        <f>AZ133+BA48</f>
        <v>0</v>
      </c>
      <c r="BB133" s="189">
        <f>BA133+BB48</f>
        <v>0</v>
      </c>
      <c r="BC133" s="190">
        <f>BB133+BC48</f>
        <v>0</v>
      </c>
      <c r="BD133" s="189">
        <f t="shared" ref="BD133" si="681">BD48</f>
        <v>0</v>
      </c>
      <c r="BE133" s="189">
        <f t="shared" ref="BE133:BG133" si="682">BD133+BE48</f>
        <v>0</v>
      </c>
      <c r="BF133" s="189">
        <f t="shared" si="682"/>
        <v>0</v>
      </c>
      <c r="BG133" s="190">
        <f t="shared" si="682"/>
        <v>0</v>
      </c>
      <c r="BH133" s="189">
        <f t="shared" ref="BH133" si="683">BH48</f>
        <v>0</v>
      </c>
      <c r="BI133" s="189">
        <f t="shared" ref="BI133:BK133" si="684">BH133+BI48</f>
        <v>0</v>
      </c>
      <c r="BJ133" s="189">
        <f t="shared" si="684"/>
        <v>0</v>
      </c>
      <c r="BK133" s="190">
        <f t="shared" si="684"/>
        <v>0</v>
      </c>
      <c r="BL133" s="166"/>
      <c r="BM133" s="208"/>
      <c r="BN133" s="206"/>
      <c r="BO133" s="206"/>
      <c r="BP133" s="206"/>
      <c r="BQ133" s="206"/>
      <c r="BR133" s="207"/>
      <c r="BS133" s="206"/>
      <c r="BT133" s="189">
        <f>AI133</f>
        <v>0</v>
      </c>
      <c r="BU133" s="189">
        <f>AM133</f>
        <v>0</v>
      </c>
      <c r="BV133" s="189">
        <f>AQ133</f>
        <v>0</v>
      </c>
      <c r="BW133" s="189">
        <f>AU133</f>
        <v>0</v>
      </c>
      <c r="BX133" s="189">
        <f>AY133</f>
        <v>0</v>
      </c>
      <c r="BY133" s="189">
        <f>BC133</f>
        <v>0</v>
      </c>
      <c r="BZ133" s="189">
        <f>BG133</f>
        <v>0</v>
      </c>
      <c r="CA133" s="190">
        <f>BK133</f>
        <v>0</v>
      </c>
      <c r="CB133" s="19"/>
      <c r="CC133" s="208"/>
      <c r="CD133" s="206"/>
      <c r="CE133" s="206"/>
      <c r="CF133" s="206"/>
      <c r="CG133" s="206"/>
      <c r="CH133" s="206"/>
      <c r="CI133" s="206"/>
      <c r="CJ133" s="206">
        <f t="shared" ref="CJ133:CO133" si="685">CJ48</f>
        <v>0</v>
      </c>
      <c r="CK133" s="206">
        <f t="shared" si="685"/>
        <v>0</v>
      </c>
      <c r="CL133" s="206">
        <f t="shared" si="685"/>
        <v>0</v>
      </c>
      <c r="CM133" s="206">
        <f t="shared" si="685"/>
        <v>0</v>
      </c>
      <c r="CN133" s="206">
        <f t="shared" si="685"/>
        <v>0</v>
      </c>
      <c r="CO133" s="206">
        <f t="shared" si="685"/>
        <v>0</v>
      </c>
      <c r="CP133" s="190">
        <f t="shared" ref="CP133" si="686">CP48</f>
        <v>0</v>
      </c>
      <c r="CQ133" s="7"/>
    </row>
    <row r="134" spans="1:95" ht="14.25" customHeight="1" outlineLevel="1">
      <c r="A134" s="7"/>
      <c r="B134" s="200" t="s">
        <v>86</v>
      </c>
      <c r="C134" s="201"/>
      <c r="D134" s="204">
        <f t="shared" ref="D134:AL134" si="687">D128+D118+D110+D130</f>
        <v>169</v>
      </c>
      <c r="E134" s="203">
        <f t="shared" si="687"/>
        <v>210</v>
      </c>
      <c r="F134" s="203">
        <f t="shared" si="687"/>
        <v>200</v>
      </c>
      <c r="G134" s="203">
        <f t="shared" si="687"/>
        <v>272</v>
      </c>
      <c r="H134" s="204">
        <f t="shared" si="687"/>
        <v>-32</v>
      </c>
      <c r="I134" s="203">
        <f t="shared" si="687"/>
        <v>-72</v>
      </c>
      <c r="J134" s="203">
        <f t="shared" si="687"/>
        <v>-59</v>
      </c>
      <c r="K134" s="203">
        <f t="shared" si="687"/>
        <v>37</v>
      </c>
      <c r="L134" s="204">
        <f t="shared" si="687"/>
        <v>-248</v>
      </c>
      <c r="M134" s="203">
        <f t="shared" si="687"/>
        <v>-226</v>
      </c>
      <c r="N134" s="203">
        <f t="shared" si="687"/>
        <v>-161</v>
      </c>
      <c r="O134" s="203">
        <f t="shared" si="687"/>
        <v>-96</v>
      </c>
      <c r="P134" s="204">
        <f t="shared" si="687"/>
        <v>-18</v>
      </c>
      <c r="Q134" s="203">
        <f t="shared" si="687"/>
        <v>28</v>
      </c>
      <c r="R134" s="203">
        <f t="shared" si="687"/>
        <v>41</v>
      </c>
      <c r="S134" s="203">
        <f t="shared" si="687"/>
        <v>259</v>
      </c>
      <c r="T134" s="204">
        <f t="shared" si="687"/>
        <v>-328</v>
      </c>
      <c r="U134" s="203">
        <f t="shared" si="687"/>
        <v>-216</v>
      </c>
      <c r="V134" s="203">
        <f t="shared" si="687"/>
        <v>-105</v>
      </c>
      <c r="W134" s="203">
        <f t="shared" si="687"/>
        <v>89</v>
      </c>
      <c r="X134" s="204">
        <f t="shared" si="687"/>
        <v>-198</v>
      </c>
      <c r="Y134" s="203">
        <f t="shared" si="687"/>
        <v>35</v>
      </c>
      <c r="Z134" s="203">
        <f>Z128+Z118+Z110+Z130</f>
        <v>143</v>
      </c>
      <c r="AA134" s="205">
        <f t="shared" si="687"/>
        <v>268</v>
      </c>
      <c r="AB134" s="204">
        <f>AB128+AB118+AB110+AB130</f>
        <v>-10</v>
      </c>
      <c r="AC134" s="203">
        <f>AC128+AC118+AC110+AC130</f>
        <v>125</v>
      </c>
      <c r="AD134" s="203">
        <f>AD128+AD118+AD110+AD130</f>
        <v>144</v>
      </c>
      <c r="AE134" s="205">
        <f>AE128+AE118+AE110+AE130</f>
        <v>255</v>
      </c>
      <c r="AF134" s="204">
        <f>AF128+AF118+AF110+AF130</f>
        <v>67</v>
      </c>
      <c r="AG134" s="203">
        <f t="shared" si="687"/>
        <v>135</v>
      </c>
      <c r="AH134" s="203">
        <f>AH128+AH118+AH110+AH130</f>
        <v>-221</v>
      </c>
      <c r="AI134" s="205">
        <f>AI128+AI118+AI110+AI130</f>
        <v>-99</v>
      </c>
      <c r="AJ134" s="204">
        <f>AJ128+AJ118+AJ110+AJ130</f>
        <v>127</v>
      </c>
      <c r="AK134" s="203">
        <f>AK128+AK118+AK110+AK130</f>
        <v>293</v>
      </c>
      <c r="AL134" s="203">
        <f t="shared" si="687"/>
        <v>292</v>
      </c>
      <c r="AM134" s="205">
        <f>AM128+AM118+AM110+AM130</f>
        <v>619</v>
      </c>
      <c r="AN134" s="203">
        <f>AN128+AN118+AN110+AN130</f>
        <v>965</v>
      </c>
      <c r="AO134" s="203">
        <f t="shared" ref="AO134:AU134" si="688">AO128+AO118+AO110+AO130</f>
        <v>904</v>
      </c>
      <c r="AP134" s="203">
        <f t="shared" si="688"/>
        <v>-250</v>
      </c>
      <c r="AQ134" s="205">
        <f>AQ128+AQ118+AQ110+AQ130</f>
        <v>218</v>
      </c>
      <c r="AR134" s="203">
        <f>AR128+AR118+AR110+AR130</f>
        <v>347</v>
      </c>
      <c r="AS134" s="203">
        <f t="shared" si="688"/>
        <v>219</v>
      </c>
      <c r="AT134" s="203">
        <f t="shared" si="688"/>
        <v>139</v>
      </c>
      <c r="AU134" s="205">
        <f t="shared" si="688"/>
        <v>1275</v>
      </c>
      <c r="AV134" s="203">
        <f t="shared" ref="AV134:BC134" si="689">AV128+AV118+AV110+AV130</f>
        <v>439</v>
      </c>
      <c r="AW134" s="203">
        <f t="shared" si="689"/>
        <v>1157</v>
      </c>
      <c r="AX134" s="203">
        <f t="shared" si="689"/>
        <v>2152</v>
      </c>
      <c r="AY134" s="205">
        <f t="shared" si="689"/>
        <v>8107</v>
      </c>
      <c r="AZ134" s="203">
        <f t="shared" si="689"/>
        <v>-4128</v>
      </c>
      <c r="BA134" s="203">
        <f t="shared" si="689"/>
        <v>-2710.0707913645565</v>
      </c>
      <c r="BB134" s="203">
        <f t="shared" si="689"/>
        <v>-1371.3278448838073</v>
      </c>
      <c r="BC134" s="205">
        <f t="shared" si="689"/>
        <v>61.976970172920119</v>
      </c>
      <c r="BD134" s="203">
        <f t="shared" ref="BD134:BK134" si="690">BD128+BD118+BD110+BD130</f>
        <v>1414.1347195165877</v>
      </c>
      <c r="BE134" s="203">
        <f t="shared" si="690"/>
        <v>2590.9020434457739</v>
      </c>
      <c r="BF134" s="203">
        <f t="shared" si="690"/>
        <v>3657.5511964587631</v>
      </c>
      <c r="BG134" s="205">
        <f t="shared" si="690"/>
        <v>4856.1887476088859</v>
      </c>
      <c r="BH134" s="203">
        <f t="shared" si="690"/>
        <v>1555.918704723477</v>
      </c>
      <c r="BI134" s="203">
        <f t="shared" si="690"/>
        <v>2954.3520780012955</v>
      </c>
      <c r="BJ134" s="203">
        <f t="shared" si="690"/>
        <v>4203.0659189628414</v>
      </c>
      <c r="BK134" s="205">
        <f t="shared" si="690"/>
        <v>5547.696696221451</v>
      </c>
      <c r="BL134" s="166"/>
      <c r="BM134" s="204">
        <f t="shared" ref="BM134:BU134" si="691">BM128+BM118+BM110+BM130</f>
        <v>272</v>
      </c>
      <c r="BN134" s="203">
        <f t="shared" si="691"/>
        <v>37</v>
      </c>
      <c r="BO134" s="203">
        <f t="shared" si="691"/>
        <v>-96</v>
      </c>
      <c r="BP134" s="203">
        <f t="shared" si="691"/>
        <v>259</v>
      </c>
      <c r="BQ134" s="203">
        <f t="shared" ref="BQ134:BS134" si="692">BQ128+BQ118+BQ110+BQ130</f>
        <v>89</v>
      </c>
      <c r="BR134" s="205">
        <f t="shared" si="692"/>
        <v>268</v>
      </c>
      <c r="BS134" s="203">
        <f t="shared" si="692"/>
        <v>255</v>
      </c>
      <c r="BT134" s="203">
        <f t="shared" si="691"/>
        <v>-99</v>
      </c>
      <c r="BU134" s="203">
        <f t="shared" si="691"/>
        <v>619</v>
      </c>
      <c r="BV134" s="203">
        <f t="shared" ref="BV134:CA134" si="693">BV128+BV118+BV110+BV130</f>
        <v>218</v>
      </c>
      <c r="BW134" s="203">
        <f t="shared" si="693"/>
        <v>1275</v>
      </c>
      <c r="BX134" s="203">
        <f t="shared" si="693"/>
        <v>8107</v>
      </c>
      <c r="BY134" s="203">
        <f t="shared" si="693"/>
        <v>61.976970172920119</v>
      </c>
      <c r="BZ134" s="203">
        <f t="shared" si="693"/>
        <v>4856.1887476088859</v>
      </c>
      <c r="CA134" s="205">
        <f t="shared" si="693"/>
        <v>5547.696696221451</v>
      </c>
      <c r="CB134" s="19"/>
      <c r="CC134" s="204">
        <f t="shared" ref="CC134:CH134" si="694">CC128+CC118+CC110+CC130</f>
        <v>71</v>
      </c>
      <c r="CD134" s="203">
        <f t="shared" si="694"/>
        <v>-179</v>
      </c>
      <c r="CE134" s="203">
        <f t="shared" si="694"/>
        <v>134</v>
      </c>
      <c r="CF134" s="203">
        <f t="shared" si="694"/>
        <v>-51</v>
      </c>
      <c r="CG134" s="203">
        <f t="shared" si="694"/>
        <v>219</v>
      </c>
      <c r="CH134" s="203">
        <f t="shared" si="694"/>
        <v>456</v>
      </c>
      <c r="CI134" s="203">
        <f t="shared" ref="CI134:CN134" si="695">CI128+CI118+CI110+CI130</f>
        <v>332</v>
      </c>
      <c r="CJ134" s="203">
        <f t="shared" si="695"/>
        <v>-39</v>
      </c>
      <c r="CK134" s="203">
        <f t="shared" si="695"/>
        <v>1457</v>
      </c>
      <c r="CL134" s="203">
        <f t="shared" si="695"/>
        <v>-400</v>
      </c>
      <c r="CM134" s="203">
        <f t="shared" si="695"/>
        <v>1367</v>
      </c>
      <c r="CN134" s="203">
        <f t="shared" si="695"/>
        <v>3540</v>
      </c>
      <c r="CO134" s="203">
        <f t="shared" ref="CO134:CP134" si="696">CO128+CO118+CO110+CO130</f>
        <v>5604.1116896895055</v>
      </c>
      <c r="CP134" s="205">
        <f t="shared" si="696"/>
        <v>4997.9727328157751</v>
      </c>
      <c r="CQ134" s="7"/>
    </row>
    <row r="135" spans="1:95" ht="14.25" customHeight="1" outlineLevel="1">
      <c r="A135" s="7"/>
      <c r="B135" s="209" t="s">
        <v>87</v>
      </c>
      <c r="C135" s="210"/>
      <c r="D135" s="212">
        <f t="shared" ref="D135:T135" si="697">D134+D132+D133</f>
        <v>169</v>
      </c>
      <c r="E135" s="211">
        <f t="shared" si="697"/>
        <v>210</v>
      </c>
      <c r="F135" s="211">
        <f t="shared" si="697"/>
        <v>200</v>
      </c>
      <c r="G135" s="211">
        <f t="shared" si="697"/>
        <v>272</v>
      </c>
      <c r="H135" s="212">
        <f t="shared" si="697"/>
        <v>240</v>
      </c>
      <c r="I135" s="211">
        <f t="shared" si="697"/>
        <v>200</v>
      </c>
      <c r="J135" s="211">
        <f t="shared" si="697"/>
        <v>213</v>
      </c>
      <c r="K135" s="211">
        <f t="shared" si="697"/>
        <v>309</v>
      </c>
      <c r="L135" s="212">
        <f t="shared" si="697"/>
        <v>61</v>
      </c>
      <c r="M135" s="211">
        <f t="shared" si="697"/>
        <v>83</v>
      </c>
      <c r="N135" s="211">
        <f t="shared" si="697"/>
        <v>148</v>
      </c>
      <c r="O135" s="211">
        <f t="shared" si="697"/>
        <v>213</v>
      </c>
      <c r="P135" s="212">
        <f t="shared" si="697"/>
        <v>195</v>
      </c>
      <c r="Q135" s="211">
        <f t="shared" si="697"/>
        <v>241</v>
      </c>
      <c r="R135" s="211">
        <f t="shared" si="697"/>
        <v>254</v>
      </c>
      <c r="S135" s="211">
        <f t="shared" si="697"/>
        <v>472</v>
      </c>
      <c r="T135" s="212">
        <f t="shared" si="697"/>
        <v>144</v>
      </c>
      <c r="U135" s="211">
        <f t="shared" ref="U135:BW135" si="698">U134+U132+U133</f>
        <v>256</v>
      </c>
      <c r="V135" s="211">
        <f t="shared" si="698"/>
        <v>367</v>
      </c>
      <c r="W135" s="211">
        <f t="shared" si="698"/>
        <v>561</v>
      </c>
      <c r="X135" s="212">
        <f t="shared" si="698"/>
        <v>363</v>
      </c>
      <c r="Y135" s="211">
        <f t="shared" si="698"/>
        <v>596</v>
      </c>
      <c r="Z135" s="211">
        <f t="shared" si="698"/>
        <v>704</v>
      </c>
      <c r="AA135" s="213">
        <f t="shared" si="698"/>
        <v>829</v>
      </c>
      <c r="AB135" s="212">
        <f t="shared" si="698"/>
        <v>819</v>
      </c>
      <c r="AC135" s="211">
        <f t="shared" si="698"/>
        <v>954</v>
      </c>
      <c r="AD135" s="211">
        <f t="shared" si="698"/>
        <v>973</v>
      </c>
      <c r="AE135" s="213">
        <f t="shared" si="698"/>
        <v>1084</v>
      </c>
      <c r="AF135" s="212">
        <f t="shared" si="698"/>
        <v>1151</v>
      </c>
      <c r="AG135" s="211">
        <f t="shared" si="698"/>
        <v>1219</v>
      </c>
      <c r="AH135" s="211">
        <f t="shared" si="698"/>
        <v>863</v>
      </c>
      <c r="AI135" s="213">
        <f t="shared" si="698"/>
        <v>985</v>
      </c>
      <c r="AJ135" s="212">
        <f t="shared" si="698"/>
        <v>1112</v>
      </c>
      <c r="AK135" s="211">
        <f>AK134+AK132+AK133</f>
        <v>1278</v>
      </c>
      <c r="AL135" s="211">
        <f t="shared" si="698"/>
        <v>1277</v>
      </c>
      <c r="AM135" s="213">
        <f>AM134+AM132+AM133</f>
        <v>1604</v>
      </c>
      <c r="AN135" s="211">
        <f>AN134+AN132+AN133</f>
        <v>2569</v>
      </c>
      <c r="AO135" s="211">
        <f t="shared" ref="AO135:AU135" si="699">AO134+AO132+AO133</f>
        <v>2508</v>
      </c>
      <c r="AP135" s="211">
        <f t="shared" si="699"/>
        <v>1354</v>
      </c>
      <c r="AQ135" s="213">
        <f>AQ134+AQ132+AQ133</f>
        <v>1822</v>
      </c>
      <c r="AR135" s="211">
        <f>AR134+AR132+AR133</f>
        <v>2169</v>
      </c>
      <c r="AS135" s="211">
        <f t="shared" si="699"/>
        <v>2041</v>
      </c>
      <c r="AT135" s="211">
        <f t="shared" si="699"/>
        <v>1961</v>
      </c>
      <c r="AU135" s="213">
        <f t="shared" si="699"/>
        <v>3097</v>
      </c>
      <c r="AV135" s="211">
        <f t="shared" ref="AV135:BC135" si="700">AV134+AV132+AV133</f>
        <v>3536</v>
      </c>
      <c r="AW135" s="211">
        <f t="shared" si="700"/>
        <v>4254</v>
      </c>
      <c r="AX135" s="211">
        <f t="shared" si="700"/>
        <v>5249</v>
      </c>
      <c r="AY135" s="213">
        <f t="shared" si="700"/>
        <v>11204</v>
      </c>
      <c r="AZ135" s="211">
        <f t="shared" si="700"/>
        <v>7076</v>
      </c>
      <c r="BA135" s="211">
        <f t="shared" si="700"/>
        <v>8493.9292086354435</v>
      </c>
      <c r="BB135" s="211">
        <f t="shared" si="700"/>
        <v>9832.6721551161936</v>
      </c>
      <c r="BC135" s="213">
        <f t="shared" si="700"/>
        <v>11265.97697017292</v>
      </c>
      <c r="BD135" s="211">
        <f t="shared" ref="BD135:BK135" si="701">BD134+BD132+BD133</f>
        <v>12680.111689689507</v>
      </c>
      <c r="BE135" s="211">
        <f t="shared" si="701"/>
        <v>13856.879013618694</v>
      </c>
      <c r="BF135" s="211">
        <f t="shared" si="701"/>
        <v>14923.528166631684</v>
      </c>
      <c r="BG135" s="213">
        <f t="shared" si="701"/>
        <v>16122.165717781805</v>
      </c>
      <c r="BH135" s="211">
        <f t="shared" si="701"/>
        <v>17678.084422505282</v>
      </c>
      <c r="BI135" s="211">
        <f t="shared" si="701"/>
        <v>19076.5177957831</v>
      </c>
      <c r="BJ135" s="211">
        <f t="shared" si="701"/>
        <v>20325.231636744647</v>
      </c>
      <c r="BK135" s="213">
        <f t="shared" si="701"/>
        <v>21669.862414003255</v>
      </c>
      <c r="BL135" s="166"/>
      <c r="BM135" s="212">
        <f t="shared" si="698"/>
        <v>272</v>
      </c>
      <c r="BN135" s="211">
        <f t="shared" si="698"/>
        <v>309</v>
      </c>
      <c r="BO135" s="211">
        <f t="shared" si="698"/>
        <v>213</v>
      </c>
      <c r="BP135" s="211">
        <f t="shared" si="698"/>
        <v>472</v>
      </c>
      <c r="BQ135" s="211">
        <f t="shared" ref="BQ135:BS135" si="702">BQ134+BQ132+BQ133</f>
        <v>561</v>
      </c>
      <c r="BR135" s="213">
        <f t="shared" si="702"/>
        <v>829</v>
      </c>
      <c r="BS135" s="211">
        <f t="shared" si="702"/>
        <v>1084</v>
      </c>
      <c r="BT135" s="211">
        <f t="shared" si="698"/>
        <v>985</v>
      </c>
      <c r="BU135" s="211">
        <f t="shared" si="698"/>
        <v>1604</v>
      </c>
      <c r="BV135" s="211">
        <f t="shared" si="698"/>
        <v>1822</v>
      </c>
      <c r="BW135" s="211">
        <f t="shared" si="698"/>
        <v>3097</v>
      </c>
      <c r="BX135" s="211">
        <f>BX134+BX132+BX133</f>
        <v>11204</v>
      </c>
      <c r="BY135" s="211">
        <f>BY134+BY132+BY133</f>
        <v>11265.97697017292</v>
      </c>
      <c r="BZ135" s="211">
        <f>BZ134+BZ132+BZ133</f>
        <v>16122.165717781805</v>
      </c>
      <c r="CA135" s="213">
        <f>CA134+CA132+CA133</f>
        <v>21669.862414003255</v>
      </c>
      <c r="CB135" s="19"/>
      <c r="CC135" s="212">
        <f t="shared" ref="CC135:CJ135" si="703">CC134+CC132+CC133</f>
        <v>240</v>
      </c>
      <c r="CD135" s="211">
        <f t="shared" si="703"/>
        <v>61</v>
      </c>
      <c r="CE135" s="211">
        <f t="shared" si="703"/>
        <v>195</v>
      </c>
      <c r="CF135" s="211">
        <f t="shared" si="703"/>
        <v>144</v>
      </c>
      <c r="CG135" s="211">
        <f t="shared" si="703"/>
        <v>363</v>
      </c>
      <c r="CH135" s="211">
        <f t="shared" si="703"/>
        <v>819</v>
      </c>
      <c r="CI135" s="211">
        <f t="shared" si="703"/>
        <v>1151</v>
      </c>
      <c r="CJ135" s="211">
        <f t="shared" si="703"/>
        <v>1112</v>
      </c>
      <c r="CK135" s="211">
        <f t="shared" ref="CK135:CP135" si="704">CK134+CK132+CK133</f>
        <v>2569</v>
      </c>
      <c r="CL135" s="211">
        <f t="shared" si="704"/>
        <v>2169</v>
      </c>
      <c r="CM135" s="211">
        <f t="shared" si="704"/>
        <v>3536</v>
      </c>
      <c r="CN135" s="211">
        <f t="shared" si="704"/>
        <v>7076</v>
      </c>
      <c r="CO135" s="211">
        <f t="shared" si="704"/>
        <v>12680.111689689506</v>
      </c>
      <c r="CP135" s="213">
        <f t="shared" si="704"/>
        <v>17678.084422505279</v>
      </c>
      <c r="CQ135" s="7"/>
    </row>
    <row r="136" spans="1:95" ht="14.25" customHeight="1" outlineLevel="1">
      <c r="A136" s="7"/>
      <c r="B136" s="276"/>
      <c r="C136" s="277"/>
      <c r="D136" s="203"/>
      <c r="E136" s="203"/>
      <c r="F136" s="203"/>
      <c r="G136" s="203"/>
      <c r="H136" s="203"/>
      <c r="I136" s="203"/>
      <c r="J136" s="203"/>
      <c r="K136" s="203"/>
      <c r="L136" s="203"/>
      <c r="M136" s="203"/>
      <c r="N136" s="203"/>
      <c r="O136" s="203"/>
      <c r="P136" s="203"/>
      <c r="Q136" s="203"/>
      <c r="R136" s="203"/>
      <c r="S136" s="203"/>
      <c r="T136" s="203"/>
      <c r="U136" s="203"/>
      <c r="V136" s="203"/>
      <c r="W136" s="203"/>
      <c r="X136" s="203"/>
      <c r="Y136" s="203"/>
      <c r="Z136" s="203"/>
      <c r="AA136" s="203"/>
      <c r="AB136" s="203"/>
      <c r="AC136" s="203"/>
      <c r="AD136" s="203"/>
      <c r="AE136" s="203"/>
      <c r="AF136" s="203"/>
      <c r="AG136" s="203"/>
      <c r="AH136" s="203"/>
      <c r="AI136" s="203"/>
      <c r="AJ136" s="203"/>
      <c r="AK136" s="203"/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  <c r="BC136" s="203"/>
      <c r="BD136" s="203"/>
      <c r="BE136" s="203"/>
      <c r="BF136" s="203"/>
      <c r="BG136" s="203"/>
      <c r="BH136" s="203"/>
      <c r="BI136" s="203"/>
      <c r="BJ136" s="203"/>
      <c r="BK136" s="203"/>
      <c r="BL136" s="63"/>
      <c r="BM136" s="203"/>
      <c r="BN136" s="203"/>
      <c r="BO136" s="203"/>
      <c r="BP136" s="203"/>
      <c r="BQ136" s="203"/>
      <c r="BR136" s="203"/>
      <c r="BS136" s="203"/>
      <c r="BT136" s="203"/>
      <c r="BU136" s="203"/>
      <c r="BV136" s="203"/>
      <c r="BW136" s="203"/>
      <c r="BX136" s="203"/>
      <c r="BY136" s="203"/>
      <c r="BZ136" s="203"/>
      <c r="CA136" s="213"/>
      <c r="CB136" s="7"/>
      <c r="CC136" s="203"/>
      <c r="CD136" s="203"/>
      <c r="CE136" s="203"/>
      <c r="CF136" s="203"/>
      <c r="CG136" s="203"/>
      <c r="CH136" s="203"/>
      <c r="CI136" s="203"/>
      <c r="CJ136" s="203"/>
      <c r="CK136" s="203"/>
      <c r="CL136" s="203"/>
      <c r="CM136" s="203"/>
      <c r="CN136" s="203"/>
      <c r="CO136" s="203"/>
      <c r="CP136" s="203"/>
      <c r="CQ136" s="7"/>
    </row>
    <row r="137" spans="1:95" ht="14.25" customHeight="1" outlineLevel="1">
      <c r="A137" s="7"/>
      <c r="B137" s="67" t="s">
        <v>62</v>
      </c>
      <c r="C137" s="68"/>
      <c r="D137" s="162">
        <f>'BS '!D9</f>
        <v>169</v>
      </c>
      <c r="E137" s="162">
        <f>'BS '!E9</f>
        <v>210</v>
      </c>
      <c r="F137" s="162">
        <f>'BS '!F9</f>
        <v>200</v>
      </c>
      <c r="G137" s="163">
        <f>'BS '!G9</f>
        <v>272</v>
      </c>
      <c r="H137" s="162">
        <f>'BS '!H9</f>
        <v>240</v>
      </c>
      <c r="I137" s="162">
        <f>'BS '!I9</f>
        <v>200</v>
      </c>
      <c r="J137" s="162">
        <f>'BS '!J9</f>
        <v>213</v>
      </c>
      <c r="K137" s="163">
        <f>'BS '!K9</f>
        <v>309</v>
      </c>
      <c r="L137" s="162">
        <f>'BS '!L9</f>
        <v>61</v>
      </c>
      <c r="M137" s="162">
        <f>'BS '!M9</f>
        <v>83</v>
      </c>
      <c r="N137" s="162">
        <f>'BS '!N9</f>
        <v>148</v>
      </c>
      <c r="O137" s="163">
        <f>'BS '!O9</f>
        <v>213</v>
      </c>
      <c r="P137" s="162">
        <f>'BS '!P9</f>
        <v>195</v>
      </c>
      <c r="Q137" s="162">
        <f>'BS '!Q9</f>
        <v>241</v>
      </c>
      <c r="R137" s="162">
        <f>'BS '!R9</f>
        <v>254</v>
      </c>
      <c r="S137" s="163">
        <f>'BS '!S9</f>
        <v>472</v>
      </c>
      <c r="T137" s="164">
        <f>'BS '!T9</f>
        <v>144</v>
      </c>
      <c r="U137" s="162">
        <f>'BS '!U9</f>
        <v>256</v>
      </c>
      <c r="V137" s="162">
        <f>'BS '!V9</f>
        <v>367</v>
      </c>
      <c r="W137" s="165">
        <f>'BS '!W9</f>
        <v>561</v>
      </c>
      <c r="X137" s="162">
        <f>'BS '!X9</f>
        <v>363</v>
      </c>
      <c r="Y137" s="162">
        <f>'BS '!Y9</f>
        <v>596</v>
      </c>
      <c r="Z137" s="162">
        <f>'BS '!Z9</f>
        <v>704</v>
      </c>
      <c r="AA137" s="163">
        <f>'BS '!AA9</f>
        <v>829</v>
      </c>
      <c r="AB137" s="162">
        <f>'BS '!AB9</f>
        <v>819</v>
      </c>
      <c r="AC137" s="162">
        <f>'BS '!AC9</f>
        <v>954</v>
      </c>
      <c r="AD137" s="162">
        <f>'BS '!AD9</f>
        <v>973</v>
      </c>
      <c r="AE137" s="163">
        <f>'BS '!AE9</f>
        <v>1084</v>
      </c>
      <c r="AF137" s="162">
        <f>'BS '!AF9</f>
        <v>1151</v>
      </c>
      <c r="AG137" s="162">
        <f>'BS '!AG9</f>
        <v>1219</v>
      </c>
      <c r="AH137" s="162">
        <f>'BS '!AH9</f>
        <v>863</v>
      </c>
      <c r="AI137" s="163">
        <f>'BS '!AI9</f>
        <v>985</v>
      </c>
      <c r="AJ137" s="162">
        <f>'BS '!AJ9</f>
        <v>1112</v>
      </c>
      <c r="AK137" s="162">
        <f>'BS '!AK9</f>
        <v>1278</v>
      </c>
      <c r="AL137" s="162">
        <f>'BS '!AL9</f>
        <v>1277</v>
      </c>
      <c r="AM137" s="163">
        <f>'BS '!AM9</f>
        <v>1604</v>
      </c>
      <c r="AN137" s="162">
        <f>'BS '!AN9</f>
        <v>2569</v>
      </c>
      <c r="AO137" s="162">
        <f>'BS '!AO9</f>
        <v>2508</v>
      </c>
      <c r="AP137" s="162">
        <f>'BS '!AP9</f>
        <v>1354</v>
      </c>
      <c r="AQ137" s="163">
        <f>'BS '!AQ9</f>
        <v>1822</v>
      </c>
      <c r="AR137" s="1020">
        <f>'BS '!AR9</f>
        <v>2169</v>
      </c>
      <c r="AS137" s="162">
        <f>'BS '!AS9</f>
        <v>2041</v>
      </c>
      <c r="AT137" s="162">
        <f>'BS '!AT9</f>
        <v>1961</v>
      </c>
      <c r="AU137" s="163">
        <f>'BS '!AU9</f>
        <v>3097</v>
      </c>
      <c r="AV137" s="162">
        <f>'BS '!AV9</f>
        <v>3536</v>
      </c>
      <c r="AW137" s="1020">
        <f>'BS '!AW9</f>
        <v>4254</v>
      </c>
      <c r="AX137" s="162">
        <f>'BS '!AX9</f>
        <v>5249</v>
      </c>
      <c r="AY137" s="163">
        <f>'BS '!AY9</f>
        <v>11204</v>
      </c>
      <c r="AZ137" s="162">
        <f>'BS '!AZ9</f>
        <v>7076</v>
      </c>
      <c r="BA137" s="162">
        <f>'BS '!BA9</f>
        <v>8493.9292086354435</v>
      </c>
      <c r="BB137" s="162">
        <f>'BS '!BB9</f>
        <v>9832.6721551161918</v>
      </c>
      <c r="BC137" s="163">
        <f>'BS '!BC9</f>
        <v>11265.97697017292</v>
      </c>
      <c r="BD137" s="1020">
        <f>'BS '!BD9</f>
        <v>12680.111689689507</v>
      </c>
      <c r="BE137" s="1020">
        <f>'BS '!BE9</f>
        <v>13856.879013618694</v>
      </c>
      <c r="BF137" s="1020">
        <f>'BS '!BF9</f>
        <v>14923.528166631684</v>
      </c>
      <c r="BG137" s="1021">
        <f>'BS '!BG9</f>
        <v>16122.165717781805</v>
      </c>
      <c r="BH137" s="1020">
        <f>'BS '!BH9</f>
        <v>17678.084422505282</v>
      </c>
      <c r="BI137" s="1020">
        <f>'BS '!BI9</f>
        <v>19076.5177957831</v>
      </c>
      <c r="BJ137" s="1020">
        <f>'BS '!BJ9</f>
        <v>20325.231636744647</v>
      </c>
      <c r="BK137" s="1021">
        <f>'BS '!BK9</f>
        <v>21669.862414003255</v>
      </c>
      <c r="BL137" s="166"/>
      <c r="BM137" s="164">
        <f>'BS '!BM9</f>
        <v>272</v>
      </c>
      <c r="BN137" s="162">
        <f>'BS '!BN9</f>
        <v>309</v>
      </c>
      <c r="BO137" s="162">
        <f>'BS '!BO9</f>
        <v>213</v>
      </c>
      <c r="BP137" s="162">
        <f>'BS '!BP9</f>
        <v>472</v>
      </c>
      <c r="BQ137" s="162">
        <f>'BS '!BQ9</f>
        <v>561</v>
      </c>
      <c r="BR137" s="165">
        <f>'BS '!BR9</f>
        <v>829</v>
      </c>
      <c r="BS137" s="162">
        <f>'BS '!BS9</f>
        <v>1084</v>
      </c>
      <c r="BT137" s="162">
        <f>'BS '!BT9</f>
        <v>985</v>
      </c>
      <c r="BU137" s="162">
        <f>'BS '!BU9</f>
        <v>1604</v>
      </c>
      <c r="BV137" s="162">
        <f>'BS '!BV9</f>
        <v>1822</v>
      </c>
      <c r="BW137" s="162">
        <f>'BS '!BW9</f>
        <v>3097</v>
      </c>
      <c r="BX137" s="162">
        <f>'BS '!BX9</f>
        <v>11204</v>
      </c>
      <c r="BY137" s="1020">
        <f>'BS '!BY9</f>
        <v>11265.97697017292</v>
      </c>
      <c r="BZ137" s="1020">
        <f>'BS '!BZ9</f>
        <v>16122.165717781805</v>
      </c>
      <c r="CA137" s="165">
        <f>'BS '!CA9</f>
        <v>21669.862414003255</v>
      </c>
      <c r="CB137" s="19"/>
      <c r="CC137" s="164">
        <f>'BS '!CC9</f>
        <v>240</v>
      </c>
      <c r="CD137" s="162">
        <f>'BS '!CD9</f>
        <v>61</v>
      </c>
      <c r="CE137" s="162">
        <f>'BS '!CE9</f>
        <v>195</v>
      </c>
      <c r="CF137" s="162">
        <f>'BS '!CF9</f>
        <v>144</v>
      </c>
      <c r="CG137" s="162">
        <f>'BS '!CG9</f>
        <v>363</v>
      </c>
      <c r="CH137" s="162">
        <f>'BS '!CH9</f>
        <v>819</v>
      </c>
      <c r="CI137" s="162">
        <f>'BS '!CI9</f>
        <v>1151</v>
      </c>
      <c r="CJ137" s="162">
        <f>'BS '!CJ9</f>
        <v>1112</v>
      </c>
      <c r="CK137" s="162">
        <f>'BS '!CK9</f>
        <v>2569</v>
      </c>
      <c r="CL137" s="162">
        <f>'BS '!CL9</f>
        <v>2169</v>
      </c>
      <c r="CM137" s="1020">
        <f>'BS '!CM9</f>
        <v>3536</v>
      </c>
      <c r="CN137" s="1020">
        <f>'BS '!CN9</f>
        <v>7076</v>
      </c>
      <c r="CO137" s="1020">
        <f>'BS '!CO9</f>
        <v>12680.111689689507</v>
      </c>
      <c r="CP137" s="165">
        <f>'BS '!CP9</f>
        <v>17678.084422505282</v>
      </c>
      <c r="CQ137" s="7"/>
    </row>
    <row r="138" spans="1:95" ht="14.25" customHeight="1" outlineLevel="1">
      <c r="A138" s="7"/>
      <c r="B138" s="136" t="s">
        <v>44</v>
      </c>
      <c r="C138" s="137"/>
      <c r="D138" s="140">
        <f t="shared" ref="D138:V138" si="705">IF(ROUND(D137,4)=ROUND(D135,4),0,(D137-D135))</f>
        <v>0</v>
      </c>
      <c r="E138" s="138">
        <f t="shared" si="705"/>
        <v>0</v>
      </c>
      <c r="F138" s="138">
        <f t="shared" si="705"/>
        <v>0</v>
      </c>
      <c r="G138" s="139">
        <f t="shared" si="705"/>
        <v>0</v>
      </c>
      <c r="H138" s="140">
        <f t="shared" si="705"/>
        <v>0</v>
      </c>
      <c r="I138" s="138">
        <f t="shared" si="705"/>
        <v>0</v>
      </c>
      <c r="J138" s="138">
        <f t="shared" si="705"/>
        <v>0</v>
      </c>
      <c r="K138" s="139">
        <f t="shared" si="705"/>
        <v>0</v>
      </c>
      <c r="L138" s="140">
        <f t="shared" si="705"/>
        <v>0</v>
      </c>
      <c r="M138" s="138">
        <f t="shared" si="705"/>
        <v>0</v>
      </c>
      <c r="N138" s="138">
        <f t="shared" si="705"/>
        <v>0</v>
      </c>
      <c r="O138" s="139">
        <f t="shared" si="705"/>
        <v>0</v>
      </c>
      <c r="P138" s="140">
        <f t="shared" si="705"/>
        <v>0</v>
      </c>
      <c r="Q138" s="138">
        <f t="shared" si="705"/>
        <v>0</v>
      </c>
      <c r="R138" s="138">
        <f t="shared" si="705"/>
        <v>0</v>
      </c>
      <c r="S138" s="139">
        <f t="shared" si="705"/>
        <v>0</v>
      </c>
      <c r="T138" s="138">
        <f t="shared" si="705"/>
        <v>0</v>
      </c>
      <c r="U138" s="138">
        <f t="shared" si="705"/>
        <v>0</v>
      </c>
      <c r="V138" s="167">
        <f t="shared" si="705"/>
        <v>0</v>
      </c>
      <c r="W138" s="138">
        <f t="shared" ref="W138:BW138" si="706">IF(ROUND(W137,4)=ROUND(W135,4),0,(W137-W135))</f>
        <v>0</v>
      </c>
      <c r="X138" s="140">
        <f t="shared" si="706"/>
        <v>0</v>
      </c>
      <c r="Y138" s="138">
        <f t="shared" si="706"/>
        <v>0</v>
      </c>
      <c r="Z138" s="138">
        <f t="shared" si="706"/>
        <v>0</v>
      </c>
      <c r="AA138" s="139">
        <f t="shared" si="706"/>
        <v>0</v>
      </c>
      <c r="AB138" s="140">
        <f t="shared" si="706"/>
        <v>0</v>
      </c>
      <c r="AC138" s="138">
        <f t="shared" si="706"/>
        <v>0</v>
      </c>
      <c r="AD138" s="138">
        <f t="shared" si="706"/>
        <v>0</v>
      </c>
      <c r="AE138" s="139">
        <f t="shared" si="706"/>
        <v>0</v>
      </c>
      <c r="AF138" s="140">
        <f t="shared" si="706"/>
        <v>0</v>
      </c>
      <c r="AG138" s="138">
        <f t="shared" si="706"/>
        <v>0</v>
      </c>
      <c r="AH138" s="138">
        <f t="shared" si="706"/>
        <v>0</v>
      </c>
      <c r="AI138" s="139">
        <f t="shared" si="706"/>
        <v>0</v>
      </c>
      <c r="AJ138" s="140">
        <f t="shared" si="706"/>
        <v>0</v>
      </c>
      <c r="AK138" s="138">
        <f>IF(ROUND(AK137,4)=ROUND(AK135,4),0,(AK137-AK135))</f>
        <v>0</v>
      </c>
      <c r="AL138" s="138">
        <f t="shared" si="706"/>
        <v>0</v>
      </c>
      <c r="AM138" s="139">
        <f>IF(ROUND(AM137,4)=ROUND(AM135,4),0,(AM137-AM135))</f>
        <v>0</v>
      </c>
      <c r="AN138" s="140">
        <f>IF(ROUND(AN137,4)=ROUND(AN135,4),0,(AN137-AN135))</f>
        <v>0</v>
      </c>
      <c r="AO138" s="138">
        <f t="shared" ref="AO138:AU138" si="707">IF(ROUND(AO137,4)=ROUND(AO135,4),0,(AO137-AO135))</f>
        <v>0</v>
      </c>
      <c r="AP138" s="138">
        <f t="shared" si="707"/>
        <v>0</v>
      </c>
      <c r="AQ138" s="139">
        <f>IF(ROUND(AQ137,4)=ROUND(AQ135,4),0,(AQ137-AQ135))</f>
        <v>0</v>
      </c>
      <c r="AR138" s="140">
        <f>IF(ROUND(AR137,4)=ROUND(AR135,4),0,(AR137-AR135))</f>
        <v>0</v>
      </c>
      <c r="AS138" s="138">
        <f t="shared" si="707"/>
        <v>0</v>
      </c>
      <c r="AT138" s="138">
        <f t="shared" si="707"/>
        <v>0</v>
      </c>
      <c r="AU138" s="139">
        <f t="shared" si="707"/>
        <v>0</v>
      </c>
      <c r="AV138" s="140">
        <f t="shared" ref="AV138:BC138" si="708">IF(ROUND(AV137,4)=ROUND(AV135,4),0,(AV137-AV135))</f>
        <v>0</v>
      </c>
      <c r="AW138" s="138">
        <f t="shared" si="708"/>
        <v>0</v>
      </c>
      <c r="AX138" s="138">
        <f t="shared" si="708"/>
        <v>0</v>
      </c>
      <c r="AY138" s="139">
        <f t="shared" si="708"/>
        <v>0</v>
      </c>
      <c r="AZ138" s="140">
        <f t="shared" si="708"/>
        <v>0</v>
      </c>
      <c r="BA138" s="138">
        <f t="shared" si="708"/>
        <v>0</v>
      </c>
      <c r="BB138" s="138">
        <f t="shared" si="708"/>
        <v>0</v>
      </c>
      <c r="BC138" s="139">
        <f t="shared" si="708"/>
        <v>0</v>
      </c>
      <c r="BD138" s="140">
        <f t="shared" ref="BD138:BK138" si="709">IF(ROUND(BD137,4)=ROUND(BD135,4),0,(BD137-BD135))</f>
        <v>0</v>
      </c>
      <c r="BE138" s="138">
        <f t="shared" si="709"/>
        <v>0</v>
      </c>
      <c r="BF138" s="138">
        <f t="shared" si="709"/>
        <v>0</v>
      </c>
      <c r="BG138" s="139">
        <f t="shared" si="709"/>
        <v>0</v>
      </c>
      <c r="BH138" s="140">
        <f t="shared" si="709"/>
        <v>0</v>
      </c>
      <c r="BI138" s="138">
        <f t="shared" si="709"/>
        <v>0</v>
      </c>
      <c r="BJ138" s="138">
        <f t="shared" si="709"/>
        <v>0</v>
      </c>
      <c r="BK138" s="139">
        <f t="shared" si="709"/>
        <v>0</v>
      </c>
      <c r="BL138" s="166"/>
      <c r="BM138" s="140">
        <f>IF(ROUND(BM137,4)=ROUND(BM135,4),0,(BM137-BM135))</f>
        <v>0</v>
      </c>
      <c r="BN138" s="138">
        <f>IF(ROUND(BN137,4)=ROUND(BN135,4),0,(BN137-BN135))</f>
        <v>0</v>
      </c>
      <c r="BO138" s="138">
        <f>IF(ROUND(BO137,4)=ROUND(BO135,4),0,(BO137-BO135))</f>
        <v>0</v>
      </c>
      <c r="BP138" s="138">
        <f t="shared" si="706"/>
        <v>0</v>
      </c>
      <c r="BQ138" s="138">
        <f t="shared" ref="BQ138:BS138" si="710">IF(ROUND(BQ137,4)=ROUND(BQ135,4),0,(BQ137-BQ135))</f>
        <v>0</v>
      </c>
      <c r="BR138" s="139">
        <f t="shared" si="710"/>
        <v>0</v>
      </c>
      <c r="BS138" s="138">
        <f t="shared" si="710"/>
        <v>0</v>
      </c>
      <c r="BT138" s="138">
        <f t="shared" si="706"/>
        <v>0</v>
      </c>
      <c r="BU138" s="138">
        <f t="shared" si="706"/>
        <v>0</v>
      </c>
      <c r="BV138" s="138">
        <f t="shared" si="706"/>
        <v>0</v>
      </c>
      <c r="BW138" s="138">
        <f t="shared" si="706"/>
        <v>0</v>
      </c>
      <c r="BX138" s="138">
        <f>IF(ROUND(BX137,4)=ROUND(BX135,4),0,(BX137-BX135))</f>
        <v>0</v>
      </c>
      <c r="BY138" s="138">
        <f>IF(ROUND(BY137,4)=ROUND(BY135,4),0,(BY137-BY135))</f>
        <v>0</v>
      </c>
      <c r="BZ138" s="138">
        <f>IF(ROUND(BZ137,4)=ROUND(BZ135,4),0,(BZ137-BZ135))</f>
        <v>0</v>
      </c>
      <c r="CA138" s="139">
        <f>IF(ROUND(CA137,4)=ROUND(CA135,4),0,(CA137-CA135))</f>
        <v>0</v>
      </c>
      <c r="CB138" s="19"/>
      <c r="CC138" s="140">
        <f t="shared" ref="CC138:CJ138" si="711">IF(ROUND(CC137,4)=ROUND(CC135,4),0,(CC137-CC135))</f>
        <v>0</v>
      </c>
      <c r="CD138" s="138">
        <f t="shared" si="711"/>
        <v>0</v>
      </c>
      <c r="CE138" s="138">
        <f t="shared" si="711"/>
        <v>0</v>
      </c>
      <c r="CF138" s="138">
        <f t="shared" si="711"/>
        <v>0</v>
      </c>
      <c r="CG138" s="138">
        <f t="shared" si="711"/>
        <v>0</v>
      </c>
      <c r="CH138" s="138">
        <f t="shared" si="711"/>
        <v>0</v>
      </c>
      <c r="CI138" s="138">
        <f t="shared" si="711"/>
        <v>0</v>
      </c>
      <c r="CJ138" s="138">
        <f t="shared" si="711"/>
        <v>0</v>
      </c>
      <c r="CK138" s="138">
        <f t="shared" ref="CK138:CP138" si="712">IF(ROUND(CK137,4)=ROUND(CK135,4),0,(CK137-CK135))</f>
        <v>0</v>
      </c>
      <c r="CL138" s="138">
        <f t="shared" si="712"/>
        <v>0</v>
      </c>
      <c r="CM138" s="138">
        <f t="shared" si="712"/>
        <v>0</v>
      </c>
      <c r="CN138" s="138">
        <f t="shared" si="712"/>
        <v>0</v>
      </c>
      <c r="CO138" s="138">
        <f t="shared" si="712"/>
        <v>0</v>
      </c>
      <c r="CP138" s="139">
        <f t="shared" si="712"/>
        <v>0</v>
      </c>
      <c r="CQ138" s="7"/>
    </row>
    <row r="139" spans="1:95" ht="14.25" customHeight="1">
      <c r="A139" s="7"/>
      <c r="B139" s="220"/>
      <c r="C139" s="220"/>
      <c r="D139" s="221"/>
      <c r="E139" s="221"/>
      <c r="F139" s="221"/>
      <c r="G139" s="221"/>
      <c r="H139" s="221"/>
      <c r="I139" s="221"/>
      <c r="J139" s="221"/>
      <c r="K139" s="221"/>
      <c r="L139" s="221"/>
      <c r="M139" s="221"/>
      <c r="N139" s="221"/>
      <c r="O139" s="221"/>
      <c r="P139" s="221"/>
      <c r="Q139" s="221"/>
      <c r="R139" s="221"/>
      <c r="S139" s="221"/>
      <c r="T139" s="221"/>
      <c r="U139" s="221"/>
      <c r="V139" s="221"/>
      <c r="W139" s="221"/>
      <c r="X139" s="221"/>
      <c r="Y139" s="221"/>
      <c r="Z139" s="221"/>
      <c r="AA139" s="221"/>
      <c r="AB139" s="221"/>
      <c r="AC139" s="221"/>
      <c r="AD139" s="221"/>
      <c r="AE139" s="221"/>
      <c r="AF139" s="221"/>
      <c r="AG139" s="221"/>
      <c r="AH139" s="221"/>
      <c r="AI139" s="221"/>
      <c r="AJ139" s="221"/>
      <c r="AK139" s="221"/>
      <c r="AL139" s="221"/>
      <c r="AM139" s="221"/>
      <c r="AN139" s="221"/>
      <c r="AO139" s="221"/>
      <c r="AP139" s="221"/>
      <c r="AQ139" s="221"/>
      <c r="AR139" s="221"/>
      <c r="AS139" s="221"/>
      <c r="AT139" s="221"/>
      <c r="AU139" s="221"/>
      <c r="AV139" s="221"/>
      <c r="AW139" s="221"/>
      <c r="AX139" s="221"/>
      <c r="AY139" s="221"/>
      <c r="AZ139" s="221"/>
      <c r="BA139" s="221"/>
      <c r="BB139" s="221"/>
      <c r="BC139" s="221"/>
      <c r="BD139" s="221"/>
      <c r="BE139" s="221"/>
      <c r="BF139" s="221"/>
      <c r="BG139" s="221"/>
      <c r="BH139" s="221"/>
      <c r="BI139" s="221"/>
      <c r="BJ139" s="221"/>
      <c r="BK139" s="221"/>
      <c r="BL139" s="63"/>
      <c r="BM139" s="221"/>
      <c r="BN139" s="221"/>
      <c r="BO139" s="221"/>
      <c r="BP139" s="221"/>
      <c r="BQ139" s="221"/>
      <c r="BR139" s="741"/>
      <c r="BS139" s="323"/>
      <c r="BT139" s="221"/>
      <c r="BU139" s="221"/>
      <c r="BV139" s="221"/>
      <c r="BW139" s="221"/>
      <c r="BX139" s="221"/>
      <c r="BY139" s="221"/>
      <c r="BZ139" s="221"/>
      <c r="CA139" s="221"/>
      <c r="CB139" s="7"/>
      <c r="CC139" s="221"/>
      <c r="CD139" s="221"/>
      <c r="CE139" s="221"/>
      <c r="CF139" s="221"/>
      <c r="CG139" s="221"/>
      <c r="CH139" s="221"/>
      <c r="CI139" s="323"/>
      <c r="CJ139" s="323"/>
      <c r="CK139" s="323"/>
      <c r="CL139" s="323"/>
      <c r="CM139" s="323"/>
      <c r="CN139" s="323"/>
      <c r="CO139" s="323"/>
      <c r="CP139" s="221"/>
      <c r="CQ139" s="7"/>
    </row>
    <row r="140" spans="1:95" ht="14.25" customHeight="1">
      <c r="A140" s="7"/>
      <c r="B140" s="13"/>
      <c r="C140" s="13"/>
      <c r="D140" s="222"/>
      <c r="E140" s="222"/>
      <c r="F140" s="222"/>
      <c r="G140" s="222"/>
      <c r="H140" s="222"/>
      <c r="I140" s="222"/>
      <c r="J140" s="222"/>
      <c r="K140" s="222"/>
      <c r="L140" s="222"/>
      <c r="M140" s="222"/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7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7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7"/>
    </row>
    <row r="141" spans="1:95" ht="14.25" customHeight="1">
      <c r="A141" s="7"/>
      <c r="B141" s="13"/>
      <c r="C141" s="13"/>
      <c r="D141" s="222"/>
      <c r="E141" s="222"/>
      <c r="F141" s="222"/>
      <c r="G141" s="222"/>
      <c r="H141" s="222"/>
      <c r="I141" s="222"/>
      <c r="J141" s="222"/>
      <c r="K141" s="222"/>
      <c r="L141" s="222"/>
      <c r="M141" s="222"/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7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7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7"/>
    </row>
    <row r="142" spans="1:95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274"/>
      <c r="BN142" s="274"/>
      <c r="BO142" s="274"/>
      <c r="BP142" s="274"/>
      <c r="BQ142" s="274"/>
      <c r="BR142" s="274"/>
      <c r="BS142" s="274"/>
      <c r="BT142" s="274"/>
      <c r="BU142" s="274"/>
      <c r="BV142" s="274"/>
      <c r="BW142" s="274"/>
      <c r="BX142" s="274"/>
      <c r="BY142" s="274"/>
      <c r="BZ142" s="274"/>
      <c r="CA142" s="274"/>
      <c r="CB142" s="5"/>
      <c r="CC142" s="274"/>
      <c r="CD142" s="274"/>
      <c r="CE142" s="274"/>
      <c r="CF142" s="274"/>
      <c r="CG142" s="274"/>
      <c r="CH142" s="274"/>
      <c r="CI142" s="274"/>
      <c r="CJ142" s="274"/>
      <c r="CK142" s="274"/>
      <c r="CL142" s="274"/>
      <c r="CM142" s="274"/>
      <c r="CN142" s="274"/>
      <c r="CO142" s="274"/>
      <c r="CP142" s="274"/>
      <c r="CQ142" s="5"/>
    </row>
    <row r="143" spans="1:95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</row>
    <row r="144" spans="1:95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</row>
    <row r="145" spans="1:9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</row>
    <row r="146" spans="1:95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</row>
    <row r="147" spans="1:95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</row>
    <row r="148" spans="1:95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</row>
    <row r="149" spans="1:95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</row>
    <row r="150" spans="1:95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</row>
    <row r="151" spans="1:95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</row>
    <row r="152" spans="1:95" ht="14.25" customHeight="1">
      <c r="AW152"/>
      <c r="AZ152"/>
      <c r="BA152"/>
      <c r="BB152"/>
      <c r="BC152"/>
      <c r="BD152"/>
      <c r="BE152"/>
      <c r="BF152"/>
      <c r="BG152"/>
      <c r="BH152"/>
      <c r="BI152"/>
      <c r="BJ152"/>
      <c r="BK152"/>
      <c r="BY152"/>
      <c r="BZ152"/>
      <c r="CA152"/>
      <c r="CM152"/>
      <c r="CN152"/>
      <c r="CO152"/>
      <c r="CP152"/>
    </row>
    <row r="153" spans="1:95" ht="14.25" customHeight="1">
      <c r="A153" s="1"/>
      <c r="B153" s="174" t="s">
        <v>25</v>
      </c>
      <c r="C153" s="174"/>
      <c r="D153" s="98" t="str">
        <f>'BS '!D117</f>
        <v>A</v>
      </c>
      <c r="E153" s="98" t="str">
        <f>'BS '!E117</f>
        <v>A</v>
      </c>
      <c r="F153" s="98" t="str">
        <f>'BS '!F117</f>
        <v>A</v>
      </c>
      <c r="G153" s="98" t="str">
        <f>'BS '!G117</f>
        <v>A</v>
      </c>
      <c r="H153" s="98" t="str">
        <f>'BS '!H117</f>
        <v>A</v>
      </c>
      <c r="I153" s="98" t="str">
        <f>'BS '!I117</f>
        <v>A</v>
      </c>
      <c r="J153" s="98" t="str">
        <f>'BS '!J117</f>
        <v>A</v>
      </c>
      <c r="K153" s="98" t="str">
        <f>'BS '!K117</f>
        <v>A</v>
      </c>
      <c r="L153" s="98" t="str">
        <f>'BS '!L117</f>
        <v>A</v>
      </c>
      <c r="M153" s="98" t="str">
        <f>'BS '!M117</f>
        <v>A</v>
      </c>
      <c r="N153" s="98" t="str">
        <f>'BS '!N117</f>
        <v>A</v>
      </c>
      <c r="O153" s="98" t="str">
        <f>'BS '!O117</f>
        <v>A</v>
      </c>
      <c r="P153" s="98" t="str">
        <f>'BS '!P117</f>
        <v>A</v>
      </c>
      <c r="Q153" s="98" t="str">
        <f>'BS '!Q117</f>
        <v>A</v>
      </c>
      <c r="R153" s="98" t="str">
        <f>'BS '!R117</f>
        <v>A</v>
      </c>
      <c r="S153" s="98" t="str">
        <f>'BS '!S117</f>
        <v>A</v>
      </c>
      <c r="T153" s="98" t="str">
        <f>'BS '!T117</f>
        <v>A</v>
      </c>
      <c r="U153" s="98" t="str">
        <f>'BS '!U117</f>
        <v>A</v>
      </c>
      <c r="V153" s="98" t="str">
        <f>'BS '!V117</f>
        <v>A</v>
      </c>
      <c r="W153" s="98" t="str">
        <f>'BS '!W117</f>
        <v>A</v>
      </c>
      <c r="X153" s="98" t="str">
        <f>'BS '!X117</f>
        <v>A</v>
      </c>
      <c r="Y153" s="98" t="str">
        <f>'BS '!Y117</f>
        <v>A</v>
      </c>
      <c r="Z153" s="98" t="str">
        <f>'BS '!Z117</f>
        <v>A</v>
      </c>
      <c r="AA153" s="98" t="str">
        <f>'BS '!AA117</f>
        <v>A</v>
      </c>
      <c r="AB153" s="98" t="str">
        <f>'BS '!AB117</f>
        <v>A</v>
      </c>
      <c r="AC153" s="98" t="str">
        <f>'BS '!AC117</f>
        <v>A</v>
      </c>
      <c r="AD153" s="98" t="str">
        <f>'BS '!AD117</f>
        <v>A</v>
      </c>
      <c r="AE153" s="98" t="str">
        <f>'BS '!AE117</f>
        <v>A</v>
      </c>
      <c r="AF153" s="98" t="str">
        <f>'BS '!AF117</f>
        <v>A</v>
      </c>
      <c r="AG153" s="98" t="str">
        <f>'BS '!AG117</f>
        <v>A</v>
      </c>
      <c r="AH153" s="98" t="str">
        <f>'BS '!AH117</f>
        <v>A</v>
      </c>
      <c r="AI153" s="98" t="str">
        <f>'BS '!AI117</f>
        <v>A</v>
      </c>
      <c r="AJ153" s="98" t="str">
        <f>'BS '!AJ117</f>
        <v>A</v>
      </c>
      <c r="AK153" s="98" t="str">
        <f>'BS '!AK117</f>
        <v>A</v>
      </c>
      <c r="AL153" s="98" t="str">
        <f>'BS '!AL117</f>
        <v>A</v>
      </c>
      <c r="AM153" s="98" t="str">
        <f>'BS '!AM117</f>
        <v>A</v>
      </c>
      <c r="AN153" s="98" t="str">
        <f>'BS '!AN117</f>
        <v>A</v>
      </c>
      <c r="AO153" s="98" t="str">
        <f>'BS '!AO117</f>
        <v>A</v>
      </c>
      <c r="AP153" s="98" t="str">
        <f>'BS '!AP117</f>
        <v>A</v>
      </c>
      <c r="AQ153" s="98" t="str">
        <f>'BS '!AQ117</f>
        <v>A</v>
      </c>
      <c r="AR153" s="98" t="str">
        <f>'BS '!AR117</f>
        <v>A</v>
      </c>
      <c r="AS153" s="98" t="str">
        <f>'BS '!AS117</f>
        <v>A</v>
      </c>
      <c r="AT153" s="98" t="str">
        <f>'BS '!AT117</f>
        <v>A</v>
      </c>
      <c r="AU153" s="98" t="str">
        <f>'BS '!AU117</f>
        <v>A</v>
      </c>
      <c r="AV153" s="98" t="str">
        <f>'BS '!AV117</f>
        <v>A</v>
      </c>
      <c r="AW153" s="98" t="str">
        <f>'BS '!AW117</f>
        <v>A</v>
      </c>
      <c r="AX153" s="98" t="str">
        <f>'BS '!AX117</f>
        <v>A</v>
      </c>
      <c r="AY153" s="98" t="str">
        <f>'BS '!AY117</f>
        <v>A</v>
      </c>
      <c r="AZ153" s="98" t="str">
        <f>'BS '!AZ117</f>
        <v>A</v>
      </c>
      <c r="BA153" s="98" t="str">
        <f>'BS '!BA117</f>
        <v>E</v>
      </c>
      <c r="BB153" s="98" t="str">
        <f>'BS '!BB117</f>
        <v>E</v>
      </c>
      <c r="BC153" s="98" t="str">
        <f>'BS '!BC117</f>
        <v>E</v>
      </c>
      <c r="BD153" s="98" t="str">
        <f>'BS '!BD117</f>
        <v>E</v>
      </c>
      <c r="BE153" s="98" t="str">
        <f>'BS '!BE117</f>
        <v>E</v>
      </c>
      <c r="BF153" s="98" t="str">
        <f>'BS '!BF117</f>
        <v>E</v>
      </c>
      <c r="BG153" s="98" t="str">
        <f>'BS '!BG117</f>
        <v>E</v>
      </c>
      <c r="BH153" s="98" t="str">
        <f>'BS '!BH117</f>
        <v>E</v>
      </c>
      <c r="BI153" s="98" t="str">
        <f>'BS '!BI117</f>
        <v>E</v>
      </c>
      <c r="BJ153" s="98" t="str">
        <f>'BS '!BJ117</f>
        <v>E</v>
      </c>
      <c r="BK153" s="98" t="str">
        <f>'BS '!BK117</f>
        <v>E</v>
      </c>
      <c r="BL153" s="98"/>
      <c r="BM153" s="98" t="str">
        <f>'BS '!BM117</f>
        <v>A</v>
      </c>
      <c r="BN153" s="98" t="str">
        <f>'BS '!BN117</f>
        <v>A</v>
      </c>
      <c r="BO153" s="98" t="str">
        <f>'BS '!BO117</f>
        <v>A</v>
      </c>
      <c r="BP153" s="98" t="str">
        <f>'BS '!BP117</f>
        <v>A</v>
      </c>
      <c r="BQ153" s="98" t="str">
        <f>'BS '!BQ117</f>
        <v>A</v>
      </c>
      <c r="BR153" s="98" t="str">
        <f>'BS '!BR117</f>
        <v>A</v>
      </c>
      <c r="BS153" s="98" t="str">
        <f>'BS '!BS117</f>
        <v>A</v>
      </c>
      <c r="BT153" s="98" t="str">
        <f>'BS '!BT117</f>
        <v>A</v>
      </c>
      <c r="BU153" s="98" t="str">
        <f>'BS '!BU117</f>
        <v>A</v>
      </c>
      <c r="BV153" s="98" t="str">
        <f>'BS '!BV117</f>
        <v>A</v>
      </c>
      <c r="BW153" s="98" t="str">
        <f>'BS '!BW117</f>
        <v>A</v>
      </c>
      <c r="BX153" s="98" t="str">
        <f>'BS '!BX117</f>
        <v>E</v>
      </c>
      <c r="BY153" s="98" t="str">
        <f>'BS '!BY117</f>
        <v>E</v>
      </c>
      <c r="BZ153" s="98" t="str">
        <f>'BS '!BZ117</f>
        <v>E</v>
      </c>
      <c r="CA153" s="98" t="str">
        <f>'BS '!CA117</f>
        <v>E</v>
      </c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</row>
    <row r="154" spans="1:95" ht="14.25" customHeight="1">
      <c r="A154" s="1"/>
      <c r="B154" s="174"/>
      <c r="C154" s="174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</row>
    <row r="155" spans="1:95" ht="14.25" customHeight="1">
      <c r="A155" s="1"/>
      <c r="B155" s="174"/>
      <c r="C155" s="174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</row>
    <row r="156" spans="1:95" ht="14.25" customHeight="1">
      <c r="A156" s="1"/>
      <c r="B156" s="174"/>
      <c r="C156" s="174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</row>
    <row r="157" spans="1:95" ht="14.25" customHeight="1">
      <c r="A157" s="1"/>
      <c r="B157" s="174"/>
      <c r="C157" s="174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</row>
    <row r="158" spans="1:95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</row>
    <row r="159" spans="1:95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</row>
    <row r="160" spans="1:95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</row>
    <row r="161" spans="1:95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</row>
    <row r="162" spans="1:95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</row>
    <row r="163" spans="1:95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</row>
    <row r="164" spans="1:95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</row>
  </sheetData>
  <phoneticPr fontId="46" type="noConversion"/>
  <pageMargins left="0" right="0" top="0" bottom="0" header="0" footer="0"/>
  <pageSetup paperSize="5" scale="72" orientation="landscape" r:id="rId1"/>
  <headerFooter alignWithMargins="0"/>
  <ignoredErrors>
    <ignoredError sqref="D70:W70 Z324:AJ370 BS273:BU323 D131 E47:H47 E131:G132 BM166:BR323 AB142:AC151 AF80:AF86 AB104:AB130 AB65 AH139:AH151 AB8 AB12:AB14 AB16 AB18 AB25:AB27 AB39 AA85:AA86 AE151 AF94:AF130 H94:Y102 AB29:AB37 AF143:AF151 H104:Y138 AB69:AB71 AD148:AD151 Z141:Z151 D133:G138 AB80:AB86 AG85:AG86 AB43:AB55 AF50:AF55 CB94:CB151 AA104:AA151 D139:Y151 BL94:BL151 AF87:AJ93 AA87:AB102 AH85:AH86 AL104:AL132 AF65:AF67 AB73:AB77 AL134:AL138 AG104:AG151 AJ139:AJ151 AG94:AG102 AI85:AI86 AF32:AF48 AI139:AI151 AJ85:AJ86 AK139:AM151 AL94:AL102 BY166:BY323 AB10 AF69:AF77 AK154:AM323 D154:Y323 AB154:AC323 AH154:AH323 AE154:AE323 AF154:AF323 AD154:AD323 Z154:Z323 AA154:AA323 BL154:BL323 AG154:AG323 AJ154:AJ323 AI154:AI323 AB78:AB79 AF78:AF79 CX94:DF151 CB153:CB211 CX153:DF211" formula="1"/>
    <ignoredError sqref="BP9 BM12:BR55 BT49:BU49 BM80:BO86 CQ87:CQ93 CC80:CJ86 CQ212:CQ280 BP80:BU86 CQ80:CQ86 BV49:BV51 CC65:CJ67 BS87 BM71:BU71 BT87:BU93 BT53:BU55 BM65:BO67 BS53:BS54 BP65:BU67 BM11:BU11 BM87:BQ87 BR87 CJ134:CJ151 CQ65:CQ77 BP72:BU77 CC72:CJ77 BM73:BO77 CC87:CI151 CJ88:CJ132 CI49:CJ55 BS12:BS52 BT12:BU47 BV12:BV47 CC11:CH55 CQ11 CI11:CJ47 BT52 BV53 BT51:BU51 BT50 CQ13:CQ55 CQ12 BM88:BP93 BP69:BU70 BM69:BO69 CC69:CJ70 CQ78:CQ79 BP78:BU79 CC78:CJ79 BM78:BO79 CJ153:CJ280 CC153:CI280" formulaRange="1"/>
    <ignoredError sqref="BS212:BU272 BS166:BU211 BM94:BP96 BT118:BU120 BM151:BR151 BM118:BP120 BM128:BP129 BS151 BM104:BP109 BM110:BP112 BT104:BU109 BT110:BU112 BT128:BU129 BT94:BU96 BT151:BU151 BM130:BP130 BM121:BP127 BM113:BP117 BT97:BU102 BM97:BP102 BT134:BU150 BR140:BR150 BS140:BS150 BY151 CQ94:CQ151 CC71:CJ71 BT130:BU130 BT121:BU127 BT113:BU117 BM140:BQ150 BT131:BU132 BY139:BY150 BM131:BP139 BM154:BR165 BS154:BS165 BT154:BU165 BY154:BY165 CQ153:CQ211" formula="1" formulaRange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indexed="51"/>
    <pageSetUpPr fitToPage="1"/>
  </sheetPr>
  <dimension ref="A1:CQ319"/>
  <sheetViews>
    <sheetView zoomScale="80" zoomScaleNormal="8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4" sqref="B4"/>
    </sheetView>
  </sheetViews>
  <sheetFormatPr defaultRowHeight="14.25" customHeight="1" outlineLevelRow="1" outlineLevelCol="1"/>
  <cols>
    <col min="1" max="1" width="1.7109375" customWidth="1"/>
    <col min="2" max="2" width="47.140625" customWidth="1"/>
    <col min="3" max="3" width="0.28515625" customWidth="1"/>
    <col min="4" max="31" width="11.42578125" hidden="1" customWidth="1" outlineLevel="1"/>
    <col min="32" max="32" width="11.42578125" hidden="1" customWidth="1" outlineLevel="1" collapsed="1"/>
    <col min="33" max="39" width="11.42578125" hidden="1" customWidth="1" outlineLevel="1"/>
    <col min="40" max="40" width="11.42578125" hidden="1" customWidth="1" outlineLevel="1" collapsed="1"/>
    <col min="41" max="46" width="11.42578125" hidden="1" customWidth="1" outlineLevel="1"/>
    <col min="47" max="47" width="10.28515625" hidden="1" customWidth="1" outlineLevel="1"/>
    <col min="48" max="48" width="11.42578125" customWidth="1" collapsed="1"/>
    <col min="49" max="49" width="11.42578125" style="1305" customWidth="1"/>
    <col min="50" max="51" width="11.42578125" customWidth="1"/>
    <col min="52" max="55" width="11.42578125" style="959" customWidth="1"/>
    <col min="56" max="59" width="11.42578125" style="1281" customWidth="1"/>
    <col min="60" max="63" width="11.42578125" style="1386" customWidth="1" outlineLevel="1"/>
    <col min="64" max="64" width="2.5703125" customWidth="1"/>
    <col min="65" max="71" width="11.42578125" hidden="1" customWidth="1" outlineLevel="1"/>
    <col min="72" max="72" width="11.5703125" hidden="1" customWidth="1" outlineLevel="1"/>
    <col min="73" max="75" width="11.42578125" hidden="1" customWidth="1" outlineLevel="1"/>
    <col min="76" max="76" width="11.42578125" customWidth="1" collapsed="1"/>
    <col min="77" max="77" width="11.42578125" customWidth="1"/>
    <col min="78" max="78" width="11.42578125" style="1386" customWidth="1"/>
    <col min="79" max="79" width="11.42578125" style="1386" customWidth="1" outlineLevel="1"/>
    <col min="80" max="80" width="2.7109375" customWidth="1"/>
    <col min="81" max="91" width="11.42578125" hidden="1" customWidth="1" outlineLevel="1"/>
    <col min="92" max="92" width="11.42578125" style="1386" customWidth="1" collapsed="1"/>
    <col min="93" max="94" width="11.42578125" style="1386" customWidth="1"/>
  </cols>
  <sheetData>
    <row r="1" spans="1:95" ht="67.5" customHeight="1">
      <c r="A1" s="1"/>
      <c r="B1" s="5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2"/>
      <c r="AL1" s="2" t="str">
        <f>IF(SUM(BS)&lt;&gt;0,"BS BREAK","")</f>
        <v/>
      </c>
      <c r="AM1" s="2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1"/>
      <c r="BE1" s="1"/>
      <c r="BF1" s="1"/>
      <c r="BG1" s="1"/>
      <c r="BH1" s="1"/>
      <c r="BI1" s="1"/>
      <c r="BJ1" s="1"/>
      <c r="BK1" s="1"/>
      <c r="BL1" s="2" t="str">
        <f>IF(SUM(BS)&lt;&gt;0,"BS BREAK","")</f>
        <v/>
      </c>
      <c r="BM1" s="1"/>
      <c r="BN1" s="2" t="str">
        <f>IF(SUM(BS)&lt;&gt;0,"BS BREAK","")</f>
        <v/>
      </c>
      <c r="BO1" s="1"/>
      <c r="BP1" s="2" t="str">
        <f>IF(SUM(BS)&lt;&gt;0,"BS BREAK","")</f>
        <v/>
      </c>
      <c r="BQ1" s="1"/>
      <c r="BR1" s="2" t="str">
        <f>IF(SUM(BS)&lt;&gt;0,"BS BREAK","")</f>
        <v/>
      </c>
      <c r="BS1" s="1"/>
      <c r="BT1" s="2" t="str">
        <f>IF(SUM(BS)&lt;&gt;0,"BS BREAK","")</f>
        <v/>
      </c>
      <c r="BU1" s="1"/>
      <c r="BV1" s="2" t="str">
        <f>IF(SUM(BS)&lt;&gt;0,"BS BREAK","")</f>
        <v/>
      </c>
      <c r="BW1" s="1"/>
      <c r="BX1" s="2" t="str">
        <f>IF(SUM(BS)&lt;&gt;0,"BS BREAK","")</f>
        <v/>
      </c>
      <c r="BY1" s="1"/>
      <c r="BZ1" s="1"/>
      <c r="CA1" s="1"/>
      <c r="CB1" s="2" t="str">
        <f>IF(SUM(BS)&lt;&gt;0,"BS BREAK","")</f>
        <v/>
      </c>
      <c r="CC1" s="2" t="str">
        <f>IF(SUM(BS)&lt;&gt;0,"BS BREAK","")</f>
        <v/>
      </c>
      <c r="CD1" s="1"/>
      <c r="CE1" s="2" t="str">
        <f>IF(SUM(BS)&lt;&gt;0,"BS BREAK","")</f>
        <v/>
      </c>
      <c r="CF1" s="1"/>
      <c r="CG1" s="2" t="str">
        <f>IF(SUM(BS)&lt;&gt;0,"BS BREAK","")</f>
        <v/>
      </c>
      <c r="CH1" s="1"/>
      <c r="CI1" s="2" t="str">
        <f>IF(SUM(BS)&lt;&gt;0,"BS BREAK","")</f>
        <v/>
      </c>
      <c r="CJ1" s="2"/>
      <c r="CK1" s="2"/>
      <c r="CL1" s="2"/>
      <c r="CM1" s="1"/>
      <c r="CN1" s="1"/>
      <c r="CO1" s="1"/>
      <c r="CP1" s="1"/>
    </row>
    <row r="2" spans="1:95" ht="18" customHeight="1">
      <c r="A2" s="1"/>
      <c r="B2" s="4" t="s">
        <v>155</v>
      </c>
      <c r="C2" s="4"/>
      <c r="I2" t="s">
        <v>200</v>
      </c>
      <c r="O2" s="1"/>
      <c r="AC2" t="s">
        <v>200</v>
      </c>
      <c r="AO2" s="657"/>
      <c r="AP2" s="657"/>
      <c r="AQ2" s="941"/>
      <c r="AR2" s="1010"/>
      <c r="AS2" s="995"/>
      <c r="AT2" s="995"/>
      <c r="AU2" s="995"/>
      <c r="AV2" s="657"/>
      <c r="AW2" s="995"/>
      <c r="AX2" s="657"/>
      <c r="AY2" s="657"/>
      <c r="AZ2" s="657"/>
      <c r="BA2" s="657"/>
      <c r="BB2" s="657"/>
      <c r="BC2" s="657"/>
      <c r="BD2" s="657"/>
      <c r="BE2" s="657"/>
      <c r="BF2" s="657"/>
      <c r="BG2" s="657"/>
      <c r="BH2" s="657"/>
      <c r="BI2" s="657"/>
      <c r="BJ2" s="657"/>
      <c r="BK2" s="657"/>
      <c r="BL2" s="657"/>
      <c r="BM2" s="657"/>
      <c r="BN2" s="657"/>
      <c r="BO2" s="657"/>
      <c r="BP2" s="657"/>
      <c r="BQ2" s="657"/>
      <c r="BR2" s="657"/>
      <c r="BS2" s="657"/>
      <c r="BT2" s="657"/>
      <c r="BU2" s="657"/>
      <c r="BV2" s="657"/>
      <c r="BW2" s="657"/>
      <c r="BX2" s="657"/>
      <c r="BY2" s="657"/>
      <c r="BZ2" s="657"/>
      <c r="CA2" s="657"/>
    </row>
    <row r="3" spans="1:95" ht="14.25" customHeight="1">
      <c r="M3" s="337"/>
      <c r="X3" s="338"/>
      <c r="Y3" s="338"/>
      <c r="Z3" s="338"/>
      <c r="AA3" s="1"/>
      <c r="AB3" s="338"/>
      <c r="AC3" s="338"/>
      <c r="AD3" s="338"/>
      <c r="AE3" s="338"/>
      <c r="AF3" s="338"/>
      <c r="AH3" s="681"/>
      <c r="AI3" s="681"/>
      <c r="AJ3" s="860"/>
      <c r="AK3" s="860"/>
      <c r="AL3" s="860"/>
      <c r="AM3" s="860"/>
      <c r="AN3" s="860"/>
      <c r="AO3" s="860"/>
      <c r="AP3" s="860"/>
      <c r="AQ3" s="800"/>
      <c r="AV3" s="995"/>
      <c r="AW3" s="995"/>
      <c r="AX3" s="995"/>
      <c r="AY3" s="995"/>
      <c r="AZ3" s="1384"/>
      <c r="BA3" s="657"/>
      <c r="BB3" s="657"/>
      <c r="BC3" s="657"/>
      <c r="BD3" s="1384"/>
      <c r="BE3" s="1384"/>
      <c r="BF3" s="1384"/>
      <c r="BG3" s="1384"/>
      <c r="BL3" s="1384"/>
      <c r="BM3" s="1384"/>
      <c r="BN3" s="1384"/>
      <c r="BO3" s="1384"/>
      <c r="BP3" s="1384"/>
      <c r="BQ3" s="1384"/>
      <c r="BR3" s="1384"/>
      <c r="BS3" s="1384"/>
      <c r="BT3" s="1384"/>
      <c r="BU3" s="1384"/>
      <c r="BV3" s="1384"/>
      <c r="BW3" s="1384"/>
      <c r="BX3" s="1384"/>
      <c r="BY3" s="1384"/>
      <c r="CL3" s="942"/>
      <c r="CM3" s="339"/>
      <c r="CN3" s="339"/>
      <c r="CO3" s="339"/>
      <c r="CP3" s="339"/>
    </row>
    <row r="4" spans="1:95" ht="14.25" customHeight="1">
      <c r="B4" s="783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751"/>
      <c r="AJ4" s="338"/>
      <c r="AK4" s="338"/>
      <c r="AL4" s="338"/>
      <c r="AM4" s="338"/>
      <c r="AN4" s="338"/>
      <c r="AO4" s="657"/>
      <c r="AP4" s="941"/>
      <c r="AQ4" s="657"/>
      <c r="AR4" s="1356" t="s">
        <v>370</v>
      </c>
      <c r="AS4" s="1186"/>
      <c r="AT4" s="1186"/>
      <c r="AU4" s="657"/>
      <c r="AV4" s="657"/>
      <c r="AW4" s="1186"/>
      <c r="AX4" s="657"/>
      <c r="AY4" s="657"/>
      <c r="AZ4" s="1379"/>
      <c r="BA4" s="1379"/>
      <c r="BB4" s="1379"/>
      <c r="BC4" s="1379"/>
      <c r="BD4" s="1379"/>
      <c r="BE4" s="1379"/>
      <c r="BF4" s="1379"/>
      <c r="BG4" s="1379"/>
      <c r="BH4" s="1379"/>
      <c r="BI4" s="1379"/>
      <c r="BJ4" s="1379"/>
      <c r="BK4" s="1379"/>
      <c r="BL4" s="657"/>
      <c r="BM4" s="657"/>
      <c r="BN4" s="657"/>
      <c r="BO4" s="657"/>
      <c r="BP4" s="657"/>
      <c r="BQ4" s="657"/>
      <c r="BR4" s="657"/>
      <c r="BS4" s="657"/>
      <c r="BT4" s="657"/>
      <c r="BU4" s="657"/>
      <c r="BV4" s="657"/>
      <c r="BW4" s="657"/>
      <c r="BX4" s="657"/>
      <c r="BY4" s="657"/>
      <c r="BZ4" s="657"/>
      <c r="CA4" s="657"/>
      <c r="CL4" s="941"/>
      <c r="CM4" s="941"/>
      <c r="CN4" s="941"/>
      <c r="CO4" s="941"/>
      <c r="CP4" s="941"/>
    </row>
    <row r="5" spans="1:95" s="7" customFormat="1" ht="14.25" customHeight="1">
      <c r="B5" s="8" t="s">
        <v>399</v>
      </c>
      <c r="C5" s="9"/>
      <c r="D5" s="502"/>
      <c r="E5" s="508"/>
      <c r="F5" s="508"/>
      <c r="G5" s="508"/>
      <c r="H5" s="508"/>
      <c r="I5" s="508"/>
      <c r="J5" s="508"/>
      <c r="K5" s="508"/>
      <c r="L5" s="508"/>
      <c r="M5" s="508"/>
      <c r="N5" s="508"/>
      <c r="O5" s="508"/>
      <c r="P5" s="508"/>
      <c r="Q5" s="508"/>
      <c r="R5" s="508"/>
      <c r="S5" s="508"/>
      <c r="T5" s="508"/>
      <c r="U5" s="508"/>
      <c r="V5" s="508"/>
      <c r="W5" s="508"/>
      <c r="X5" s="509"/>
      <c r="Y5" s="509"/>
      <c r="Z5" s="508"/>
      <c r="AA5" s="508"/>
      <c r="AB5" s="508"/>
      <c r="AC5" s="508"/>
      <c r="AD5" s="508"/>
      <c r="AE5" s="508"/>
      <c r="AF5" s="508"/>
      <c r="AG5" s="508"/>
      <c r="AH5" s="508"/>
      <c r="AI5" s="508"/>
      <c r="AJ5" s="534"/>
      <c r="AK5" s="534"/>
      <c r="AL5" s="534"/>
      <c r="AM5" s="534"/>
      <c r="AN5" s="534"/>
      <c r="AO5" s="534"/>
      <c r="AP5" s="534"/>
      <c r="AQ5" s="534"/>
      <c r="AR5" s="534"/>
      <c r="AS5" s="534"/>
      <c r="AT5" s="534"/>
      <c r="AU5" s="534"/>
      <c r="AV5" s="534"/>
      <c r="AW5" s="534"/>
      <c r="AX5" s="657"/>
      <c r="AY5" s="657"/>
      <c r="AZ5" s="657"/>
      <c r="BA5" s="657"/>
      <c r="BB5" s="657"/>
      <c r="BC5" s="657"/>
      <c r="BD5" s="657"/>
      <c r="BE5" s="657"/>
      <c r="BF5" s="657"/>
      <c r="BG5" s="657"/>
      <c r="BH5" s="657"/>
      <c r="BI5" s="657"/>
      <c r="BJ5" s="657"/>
      <c r="BK5" s="657"/>
      <c r="BL5" s="657"/>
      <c r="BM5" s="657"/>
      <c r="BN5" s="657"/>
      <c r="BO5" s="657"/>
      <c r="BP5" s="657"/>
      <c r="BQ5" s="657"/>
      <c r="BR5" s="657"/>
      <c r="BS5" s="657"/>
      <c r="BT5" s="657"/>
      <c r="BU5" s="657"/>
      <c r="BV5" s="657"/>
      <c r="BW5" s="657"/>
      <c r="BX5" s="657"/>
      <c r="BY5" s="657"/>
      <c r="BZ5" s="657"/>
      <c r="CA5" s="657"/>
    </row>
    <row r="6" spans="1:95" s="7" customFormat="1" ht="14.25" customHeight="1">
      <c r="B6" s="11" t="s">
        <v>180</v>
      </c>
      <c r="C6" s="283"/>
      <c r="D6" s="330">
        <f>'AVGO IS'!D6</f>
        <v>38748</v>
      </c>
      <c r="E6" s="503">
        <f>'AVGO IS'!E6</f>
        <v>38837</v>
      </c>
      <c r="F6" s="503">
        <f>'AVGO IS'!F6</f>
        <v>38929</v>
      </c>
      <c r="G6" s="504">
        <f>'AVGO IS'!G6</f>
        <v>39021</v>
      </c>
      <c r="H6" s="505">
        <f>'AVGO IS'!H6</f>
        <v>39113</v>
      </c>
      <c r="I6" s="503">
        <f>'AVGO IS'!I6</f>
        <v>39202</v>
      </c>
      <c r="J6" s="503">
        <f>'AVGO IS'!J6</f>
        <v>39294</v>
      </c>
      <c r="K6" s="504">
        <f>'AVGO IS'!K6</f>
        <v>39386</v>
      </c>
      <c r="L6" s="505">
        <f>'AVGO IS'!L6</f>
        <v>39478</v>
      </c>
      <c r="M6" s="503">
        <f>'AVGO IS'!M6</f>
        <v>39568</v>
      </c>
      <c r="N6" s="503">
        <f>'AVGO IS'!N6</f>
        <v>39660</v>
      </c>
      <c r="O6" s="504">
        <f>'AVGO IS'!O6</f>
        <v>39752</v>
      </c>
      <c r="P6" s="505">
        <f>'AVGO IS'!P6</f>
        <v>39844</v>
      </c>
      <c r="Q6" s="503">
        <f>'AVGO IS'!Q6</f>
        <v>39933</v>
      </c>
      <c r="R6" s="503">
        <f>'AVGO IS'!R6</f>
        <v>40025</v>
      </c>
      <c r="S6" s="504">
        <f>'AVGO IS'!S6</f>
        <v>40117</v>
      </c>
      <c r="T6" s="505">
        <f>'AVGO IS'!T6</f>
        <v>40209</v>
      </c>
      <c r="U6" s="503">
        <f>'AVGO IS'!U6</f>
        <v>40298</v>
      </c>
      <c r="V6" s="503">
        <f>'AVGO IS'!V6</f>
        <v>40390</v>
      </c>
      <c r="W6" s="504">
        <f>'AVGO IS'!W6</f>
        <v>40482</v>
      </c>
      <c r="X6" s="506">
        <f>'AVGO IS'!X6</f>
        <v>40574</v>
      </c>
      <c r="Y6" s="507">
        <f>'AVGO IS'!Y6</f>
        <v>40663</v>
      </c>
      <c r="Z6" s="503">
        <f>'AVGO IS'!Z6</f>
        <v>40755</v>
      </c>
      <c r="AA6" s="504">
        <f>'AVGO IS'!AA6</f>
        <v>40847</v>
      </c>
      <c r="AB6" s="505">
        <f>'AVGO IS'!AB6</f>
        <v>40939</v>
      </c>
      <c r="AC6" s="503">
        <f>'AVGO IS'!AC6</f>
        <v>41029</v>
      </c>
      <c r="AD6" s="503">
        <f>'AVGO IS'!AD6</f>
        <v>41121</v>
      </c>
      <c r="AE6" s="504">
        <f>'AVGO IS'!AE6</f>
        <v>41213</v>
      </c>
      <c r="AF6" s="505">
        <f>'AVGO IS'!AF6</f>
        <v>41305</v>
      </c>
      <c r="AG6" s="503">
        <f>'AVGO IS'!AG6</f>
        <v>41394</v>
      </c>
      <c r="AH6" s="503">
        <f>'AVGO IS'!AH6</f>
        <v>41486</v>
      </c>
      <c r="AI6" s="504">
        <f>'AVGO IS'!AI6</f>
        <v>41578</v>
      </c>
      <c r="AJ6" s="331">
        <f>'AVGO IS'!AJ6</f>
        <v>41670</v>
      </c>
      <c r="AK6" s="331">
        <f>'AVGO IS'!AK6</f>
        <v>41759</v>
      </c>
      <c r="AL6" s="331">
        <f>'AVGO IS'!AL6</f>
        <v>41851</v>
      </c>
      <c r="AM6" s="331">
        <f>'AVGO IS'!AM6</f>
        <v>41943</v>
      </c>
      <c r="AN6" s="331">
        <f>'AVGO IS'!AN6</f>
        <v>42035</v>
      </c>
      <c r="AO6" s="331">
        <f>'AVGO IS'!AO6</f>
        <v>42124</v>
      </c>
      <c r="AP6" s="331">
        <f>'AVGO IS'!AP6</f>
        <v>42216</v>
      </c>
      <c r="AQ6" s="331">
        <f>'AVGO IS'!AQ6</f>
        <v>42308</v>
      </c>
      <c r="AR6" s="330">
        <f>'AVGO IS'!AR6</f>
        <v>42400</v>
      </c>
      <c r="AS6" s="331">
        <f>'AVGO IS'!AS6</f>
        <v>42490</v>
      </c>
      <c r="AT6" s="331">
        <f>'AVGO IS'!AT6</f>
        <v>42582</v>
      </c>
      <c r="AU6" s="1033">
        <f>'AVGO IS'!AU6</f>
        <v>42674</v>
      </c>
      <c r="AV6" s="1243">
        <f>'AVGO IS'!AV6</f>
        <v>42766</v>
      </c>
      <c r="AW6" s="1244">
        <f>'AVGO IS'!AW6</f>
        <v>42855</v>
      </c>
      <c r="AX6" s="1244">
        <f>'AVGO IS'!AX6</f>
        <v>42947</v>
      </c>
      <c r="AY6" s="1245">
        <f>'AVGO IS'!AY6</f>
        <v>43039</v>
      </c>
      <c r="AZ6" s="1243">
        <f>'AVGO IS'!AZ6</f>
        <v>43131</v>
      </c>
      <c r="BA6" s="1244">
        <f>'AVGO IS'!BA6</f>
        <v>43220</v>
      </c>
      <c r="BB6" s="1244">
        <f>'AVGO IS'!BB6</f>
        <v>43312</v>
      </c>
      <c r="BC6" s="1245">
        <f>'AVGO IS'!BC6</f>
        <v>43404</v>
      </c>
      <c r="BD6" s="1243">
        <f>'AVGO IS'!BD6</f>
        <v>43496</v>
      </c>
      <c r="BE6" s="1244">
        <f>'AVGO IS'!BE6</f>
        <v>43585</v>
      </c>
      <c r="BF6" s="1244">
        <f>'AVGO IS'!BF6</f>
        <v>43677</v>
      </c>
      <c r="BG6" s="1245">
        <f>'AVGO IS'!BG6</f>
        <v>43769</v>
      </c>
      <c r="BH6" s="1316">
        <f>'AVGO IS'!BH6</f>
        <v>43861</v>
      </c>
      <c r="BI6" s="1317">
        <f>'AVGO IS'!BI6</f>
        <v>43951</v>
      </c>
      <c r="BJ6" s="1317">
        <f>'AVGO IS'!BJ6</f>
        <v>44043</v>
      </c>
      <c r="BK6" s="1318">
        <f>'AVGO IS'!BK6</f>
        <v>44135</v>
      </c>
      <c r="BL6" s="13"/>
      <c r="BX6" s="13"/>
      <c r="CB6" s="13"/>
      <c r="CM6" s="13"/>
      <c r="CN6" s="13"/>
      <c r="CO6" s="13"/>
      <c r="CP6" s="13"/>
    </row>
    <row r="7" spans="1:95" s="7" customFormat="1" ht="14.25" customHeight="1">
      <c r="B7" s="264"/>
      <c r="C7" s="282"/>
      <c r="D7" s="333" t="str">
        <f>'AVGO IS'!D7</f>
        <v>F1Q06</v>
      </c>
      <c r="E7" s="334" t="str">
        <f>'AVGO IS'!E7</f>
        <v>F2Q06</v>
      </c>
      <c r="F7" s="334" t="str">
        <f>'AVGO IS'!F7</f>
        <v>F3Q06</v>
      </c>
      <c r="G7" s="334" t="str">
        <f>'AVGO IS'!G7</f>
        <v>F4Q06</v>
      </c>
      <c r="H7" s="333" t="str">
        <f>'AVGO IS'!H7</f>
        <v>F1Q07</v>
      </c>
      <c r="I7" s="334" t="str">
        <f>'AVGO IS'!I7</f>
        <v>F2Q07</v>
      </c>
      <c r="J7" s="334" t="str">
        <f>'AVGO IS'!J7</f>
        <v>F3Q07</v>
      </c>
      <c r="K7" s="334" t="str">
        <f>'AVGO IS'!K7</f>
        <v>F4Q07</v>
      </c>
      <c r="L7" s="333" t="str">
        <f>'AVGO IS'!L7</f>
        <v>F1Q08</v>
      </c>
      <c r="M7" s="334" t="str">
        <f>'AVGO IS'!M7</f>
        <v>F2Q08</v>
      </c>
      <c r="N7" s="334" t="str">
        <f>'AVGO IS'!N7</f>
        <v>F3Q08</v>
      </c>
      <c r="O7" s="334" t="str">
        <f>'AVGO IS'!O7</f>
        <v>F4Q08</v>
      </c>
      <c r="P7" s="333" t="str">
        <f>'AVGO IS'!P7</f>
        <v>F1Q09</v>
      </c>
      <c r="Q7" s="334" t="str">
        <f>'AVGO IS'!Q7</f>
        <v>F2Q09</v>
      </c>
      <c r="R7" s="334" t="str">
        <f>'AVGO IS'!R7</f>
        <v>F3Q09</v>
      </c>
      <c r="S7" s="334" t="str">
        <f>'AVGO IS'!S7</f>
        <v>F4Q09</v>
      </c>
      <c r="T7" s="333" t="str">
        <f>'AVGO IS'!T7</f>
        <v>F1Q10</v>
      </c>
      <c r="U7" s="334" t="str">
        <f>'AVGO IS'!U7</f>
        <v>F2Q10</v>
      </c>
      <c r="V7" s="334" t="str">
        <f>'AVGO IS'!V7</f>
        <v>F3Q10</v>
      </c>
      <c r="W7" s="334" t="str">
        <f>'AVGO IS'!W7</f>
        <v>F4Q10</v>
      </c>
      <c r="X7" s="340" t="str">
        <f>'AVGO IS'!X7</f>
        <v>F1Q11</v>
      </c>
      <c r="Y7" s="341" t="str">
        <f>'AVGO IS'!Y7</f>
        <v>F2Q11</v>
      </c>
      <c r="Z7" s="334" t="str">
        <f>'AVGO IS'!Z7</f>
        <v>F3Q11</v>
      </c>
      <c r="AA7" s="334" t="str">
        <f>'AVGO IS'!AA7</f>
        <v>F4Q11</v>
      </c>
      <c r="AB7" s="333" t="str">
        <f>'AVGO IS'!AB7</f>
        <v>F1Q12</v>
      </c>
      <c r="AC7" s="334" t="str">
        <f>'AVGO IS'!AC7</f>
        <v>F2Q12</v>
      </c>
      <c r="AD7" s="334" t="str">
        <f>'AVGO IS'!AD7</f>
        <v>F3Q12</v>
      </c>
      <c r="AE7" s="334" t="str">
        <f>'AVGO IS'!AE7</f>
        <v>F4Q12</v>
      </c>
      <c r="AF7" s="333" t="str">
        <f>'AVGO IS'!AF7</f>
        <v>F1Q13</v>
      </c>
      <c r="AG7" s="334" t="str">
        <f>'AVGO IS'!AG7</f>
        <v>F2Q13</v>
      </c>
      <c r="AH7" s="334" t="str">
        <f>'AVGO IS'!AH7</f>
        <v>F3Q13</v>
      </c>
      <c r="AI7" s="334" t="str">
        <f>'AVGO IS'!AI7</f>
        <v>F4Q13</v>
      </c>
      <c r="AJ7" s="334" t="str">
        <f>'AVGO IS'!AJ7</f>
        <v>F1Q14</v>
      </c>
      <c r="AK7" s="334" t="str">
        <f>'AVGO IS'!AK7</f>
        <v>F2Q14A</v>
      </c>
      <c r="AL7" s="334" t="str">
        <f>'AVGO IS'!AL7</f>
        <v>F3Q14A</v>
      </c>
      <c r="AM7" s="334" t="str">
        <f>'AVGO IS'!AM7</f>
        <v>F4Q14A</v>
      </c>
      <c r="AN7" s="334" t="str">
        <f>'AVGO IS'!AN7</f>
        <v>F1Q15A</v>
      </c>
      <c r="AO7" s="334" t="str">
        <f>'AVGO IS'!AO7</f>
        <v>F2Q15A</v>
      </c>
      <c r="AP7" s="334" t="str">
        <f>'AVGO IS'!AP7</f>
        <v>F3Q15A</v>
      </c>
      <c r="AQ7" s="334" t="str">
        <f>'AVGO IS'!AQ7</f>
        <v>F4Q15A</v>
      </c>
      <c r="AR7" s="333" t="str">
        <f>'AVGO IS'!AR7</f>
        <v>F1Q16A</v>
      </c>
      <c r="AS7" s="334" t="str">
        <f>'AVGO IS'!AS7</f>
        <v>F2Q16A</v>
      </c>
      <c r="AT7" s="334" t="str">
        <f>'AVGO IS'!AT7</f>
        <v>F3Q16A</v>
      </c>
      <c r="AU7" s="334" t="str">
        <f>'AVGO IS'!AU7</f>
        <v>F4Q16A</v>
      </c>
      <c r="AV7" s="1246" t="str">
        <f>'AVGO IS'!AV7</f>
        <v>F1Q17A</v>
      </c>
      <c r="AW7" s="1247" t="str">
        <f>'AVGO IS'!AW7</f>
        <v>F2Q17A</v>
      </c>
      <c r="AX7" s="1247" t="str">
        <f>'AVGO IS'!AX7</f>
        <v>F3Q17A</v>
      </c>
      <c r="AY7" s="1248" t="str">
        <f>'AVGO IS'!AY7</f>
        <v>F4Q17A</v>
      </c>
      <c r="AZ7" s="1246" t="str">
        <f>'AVGO IS'!AZ7</f>
        <v>F1Q18A</v>
      </c>
      <c r="BA7" s="1247" t="str">
        <f>'AVGO IS'!BA7</f>
        <v>F2Q18E</v>
      </c>
      <c r="BB7" s="1247" t="str">
        <f>'AVGO IS'!BB7</f>
        <v>F3Q18E</v>
      </c>
      <c r="BC7" s="1248" t="str">
        <f>'AVGO IS'!BC7</f>
        <v>F4Q18E</v>
      </c>
      <c r="BD7" s="1246" t="str">
        <f>'AVGO IS'!BD7</f>
        <v>F1Q19E</v>
      </c>
      <c r="BE7" s="1247" t="str">
        <f>'AVGO IS'!BE7</f>
        <v>F2Q19E</v>
      </c>
      <c r="BF7" s="1247" t="str">
        <f>'AVGO IS'!BF7</f>
        <v>F3Q19E</v>
      </c>
      <c r="BG7" s="1248" t="str">
        <f>'AVGO IS'!BG7</f>
        <v>F4Q19E</v>
      </c>
      <c r="BH7" s="1246" t="str">
        <f>'AVGO IS'!BH7</f>
        <v>F1Q20E</v>
      </c>
      <c r="BI7" s="1247" t="str">
        <f>'AVGO IS'!BI7</f>
        <v>F2Q20E</v>
      </c>
      <c r="BJ7" s="1247" t="str">
        <f>'AVGO IS'!BJ7</f>
        <v>F3Q20E</v>
      </c>
      <c r="BK7" s="1248" t="str">
        <f>'AVGO IS'!BK7</f>
        <v>F4Q20E</v>
      </c>
      <c r="BL7" s="1391"/>
      <c r="BM7" s="334" t="str">
        <f>'AVGO IS'!BM7</f>
        <v>FY2006</v>
      </c>
      <c r="BN7" s="334" t="str">
        <f>'AVGO IS'!BN7</f>
        <v>FY2007</v>
      </c>
      <c r="BO7" s="334" t="str">
        <f>'AVGO IS'!BO7</f>
        <v>FY2008</v>
      </c>
      <c r="BP7" s="334" t="str">
        <f>'AVGO IS'!BP7</f>
        <v>FY2009</v>
      </c>
      <c r="BQ7" s="342" t="str">
        <f>'AVGO IS'!BQ7</f>
        <v>FY2010</v>
      </c>
      <c r="BR7" s="334" t="str">
        <f>'AVGO IS'!BR7</f>
        <v>FY2011</v>
      </c>
      <c r="BS7" s="334" t="str">
        <f>'AVGO IS'!BS7</f>
        <v>FY2012</v>
      </c>
      <c r="BT7" s="342" t="str">
        <f>'AVGO IS'!BT7</f>
        <v>FY2013</v>
      </c>
      <c r="BU7" s="770" t="str">
        <f>'AVGO IS'!BU7</f>
        <v>FY2014A</v>
      </c>
      <c r="BV7" s="342" t="str">
        <f>'AVGO IS'!BV7</f>
        <v>FY2015A</v>
      </c>
      <c r="BW7" s="342" t="str">
        <f>'AVGO IS'!BW7</f>
        <v>FY2016A</v>
      </c>
      <c r="BX7" s="342" t="str">
        <f>'AVGO IS'!BX7</f>
        <v>FY2017A</v>
      </c>
      <c r="BY7" s="1203" t="str">
        <f>'AVGO IS'!BY7</f>
        <v>FY2018E</v>
      </c>
      <c r="BZ7" s="1203" t="str">
        <f>'AVGO IS'!BZ7</f>
        <v>FY2019E</v>
      </c>
      <c r="CA7" s="343" t="str">
        <f>'AVGO IS'!CA7</f>
        <v>FY2020E</v>
      </c>
      <c r="CB7" s="19"/>
      <c r="CC7" s="333" t="str">
        <f>'AVGO IS'!CC7</f>
        <v>CY2006</v>
      </c>
      <c r="CD7" s="334" t="str">
        <f>'AVGO IS'!CD7</f>
        <v>CY2007</v>
      </c>
      <c r="CE7" s="334" t="str">
        <f>'AVGO IS'!CE7</f>
        <v>CY2008</v>
      </c>
      <c r="CF7" s="342" t="str">
        <f>'AVGO IS'!CF7</f>
        <v>CY2009</v>
      </c>
      <c r="CG7" s="334" t="str">
        <f>'AVGO IS'!CG7</f>
        <v>CY2010</v>
      </c>
      <c r="CH7" s="334" t="str">
        <f>'AVGO IS'!CH7</f>
        <v>CY2011</v>
      </c>
      <c r="CI7" s="770" t="str">
        <f>'AVGO IS'!CI7</f>
        <v>CY2012</v>
      </c>
      <c r="CJ7" s="342" t="str">
        <f>'AVGO IS'!CJ7</f>
        <v>CY2013</v>
      </c>
      <c r="CK7" s="1205" t="str">
        <f>'AVGO IS'!CK7</f>
        <v>CY2014A</v>
      </c>
      <c r="CL7" s="1203" t="str">
        <f>'AVGO IS'!CL7</f>
        <v>CY2015A</v>
      </c>
      <c r="CM7" s="1202" t="str">
        <f>'AVGO IS'!CM7</f>
        <v>CY2016A</v>
      </c>
      <c r="CN7" s="1247" t="str">
        <f>'AVGO IS'!CN7</f>
        <v>CY2017A</v>
      </c>
      <c r="CO7" s="1247" t="str">
        <f>'AVGO IS'!CO7</f>
        <v>CY2018E</v>
      </c>
      <c r="CP7" s="1248" t="str">
        <f>'AVGO IS'!CP7</f>
        <v>CY2019E</v>
      </c>
    </row>
    <row r="8" spans="1:95" s="7" customFormat="1" ht="14.25" customHeight="1">
      <c r="B8" s="886" t="s">
        <v>201</v>
      </c>
      <c r="C8" s="887"/>
      <c r="D8" s="888"/>
      <c r="E8" s="888"/>
      <c r="F8" s="888"/>
      <c r="G8" s="888"/>
      <c r="H8" s="888"/>
      <c r="I8" s="888"/>
      <c r="J8" s="888"/>
      <c r="K8" s="888"/>
      <c r="L8" s="888"/>
      <c r="M8" s="888"/>
      <c r="N8" s="888"/>
      <c r="O8" s="888"/>
      <c r="P8" s="888"/>
      <c r="Q8" s="888"/>
      <c r="R8" s="888"/>
      <c r="S8" s="888"/>
      <c r="T8" s="888"/>
      <c r="U8" s="888"/>
      <c r="V8" s="888"/>
      <c r="W8" s="888"/>
      <c r="X8" s="888"/>
      <c r="Y8" s="888"/>
      <c r="Z8" s="888"/>
      <c r="AA8" s="888"/>
      <c r="AB8" s="888"/>
      <c r="AC8" s="888"/>
      <c r="AD8" s="888"/>
      <c r="AE8" s="888"/>
      <c r="AF8" s="888"/>
      <c r="AG8" s="888"/>
      <c r="AH8" s="888"/>
      <c r="AI8" s="888"/>
      <c r="AJ8" s="888"/>
      <c r="AK8" s="888"/>
      <c r="AL8" s="888"/>
      <c r="AM8" s="888"/>
      <c r="AN8" s="888"/>
      <c r="AO8" s="888"/>
      <c r="AP8" s="888"/>
      <c r="AQ8" s="889"/>
      <c r="AR8" s="888"/>
      <c r="AS8" s="888"/>
      <c r="AT8" s="888"/>
      <c r="AU8" s="888"/>
      <c r="AV8" s="1272"/>
      <c r="AW8" s="1259"/>
      <c r="AX8" s="1259"/>
      <c r="AY8" s="1260"/>
      <c r="AZ8" s="1272"/>
      <c r="BA8" s="1259"/>
      <c r="BB8" s="1259"/>
      <c r="BC8" s="1260"/>
      <c r="BD8" s="1272"/>
      <c r="BE8" s="1259"/>
      <c r="BF8" s="1259"/>
      <c r="BG8" s="1260"/>
      <c r="BH8" s="1272"/>
      <c r="BI8" s="1259"/>
      <c r="BJ8" s="1259"/>
      <c r="BK8" s="1260"/>
      <c r="BL8" s="1391"/>
      <c r="BM8" s="861"/>
      <c r="BN8" s="861"/>
      <c r="BO8" s="861"/>
      <c r="BP8" s="861"/>
      <c r="BQ8" s="861"/>
      <c r="BR8" s="861"/>
      <c r="BS8" s="861"/>
      <c r="BT8" s="861"/>
      <c r="BU8" s="890"/>
      <c r="BV8" s="891"/>
      <c r="BW8" s="891"/>
      <c r="BX8" s="891"/>
      <c r="BY8" s="891"/>
      <c r="BZ8" s="891"/>
      <c r="CA8" s="892"/>
      <c r="CB8" s="19"/>
      <c r="CC8" s="631"/>
      <c r="CD8" s="345"/>
      <c r="CE8" s="345"/>
      <c r="CF8" s="345"/>
      <c r="CG8" s="345"/>
      <c r="CH8" s="345"/>
      <c r="CI8" s="893"/>
      <c r="CJ8" s="894"/>
      <c r="CK8" s="1206"/>
      <c r="CL8" s="1207"/>
      <c r="CM8" s="1207"/>
      <c r="CN8" s="1207"/>
      <c r="CO8" s="1207"/>
      <c r="CP8" s="1208"/>
    </row>
    <row r="9" spans="1:95" s="100" customFormat="1" ht="14.25" customHeight="1">
      <c r="A9" s="510"/>
      <c r="B9" s="346" t="str">
        <f>$B$153&amp;" Revenue"</f>
        <v>Enterprise Storage Revenue</v>
      </c>
      <c r="C9" s="347"/>
      <c r="D9" s="348"/>
      <c r="E9" s="349"/>
      <c r="F9" s="349"/>
      <c r="G9" s="350"/>
      <c r="H9" s="348"/>
      <c r="I9" s="349"/>
      <c r="J9" s="349"/>
      <c r="K9" s="350"/>
      <c r="L9" s="348"/>
      <c r="M9" s="349"/>
      <c r="N9" s="349"/>
      <c r="O9" s="350"/>
      <c r="P9" s="348"/>
      <c r="Q9" s="349"/>
      <c r="R9" s="349"/>
      <c r="S9" s="350"/>
      <c r="T9" s="348"/>
      <c r="U9" s="349"/>
      <c r="V9" s="349"/>
      <c r="W9" s="350"/>
      <c r="X9" s="348"/>
      <c r="Y9" s="349"/>
      <c r="Z9" s="349"/>
      <c r="AA9" s="350"/>
      <c r="AB9" s="348"/>
      <c r="AC9" s="349"/>
      <c r="AD9" s="349"/>
      <c r="AE9" s="350"/>
      <c r="AF9" s="348"/>
      <c r="AG9" s="349"/>
      <c r="AH9" s="349"/>
      <c r="AI9" s="350"/>
      <c r="AJ9" s="355"/>
      <c r="AK9" s="355"/>
      <c r="AL9" s="957">
        <v>404</v>
      </c>
      <c r="AM9" s="957">
        <v>463</v>
      </c>
      <c r="AN9" s="958">
        <v>486</v>
      </c>
      <c r="AO9" s="957">
        <v>467</v>
      </c>
      <c r="AP9" s="957">
        <v>588</v>
      </c>
      <c r="AQ9" s="957">
        <v>639</v>
      </c>
      <c r="AR9" s="958">
        <v>678</v>
      </c>
      <c r="AS9" s="957">
        <v>525</v>
      </c>
      <c r="AT9" s="957">
        <v>527</v>
      </c>
      <c r="AU9" s="957">
        <v>561</v>
      </c>
      <c r="AV9" s="958">
        <v>707</v>
      </c>
      <c r="AW9" s="957">
        <v>712</v>
      </c>
      <c r="AX9" s="957">
        <v>735</v>
      </c>
      <c r="AY9" s="957">
        <v>645</v>
      </c>
      <c r="AZ9" s="958">
        <v>991</v>
      </c>
      <c r="BA9" s="352">
        <f t="shared" ref="BA9" si="0">AZ9*(1+BA10)</f>
        <v>1100.01</v>
      </c>
      <c r="BB9" s="355">
        <f t="shared" ref="BB9" si="1">BA9*(1+BB10)</f>
        <v>1045.0094999999999</v>
      </c>
      <c r="BC9" s="353">
        <f t="shared" ref="BC9" si="2">BB9*(1+BC10)</f>
        <v>1008.4341674999998</v>
      </c>
      <c r="BD9" s="354">
        <f t="shared" ref="BD9" si="3">BC9*(1+BD10)</f>
        <v>1048.7715341999999</v>
      </c>
      <c r="BE9" s="355">
        <f t="shared" ref="BE9" si="4">BD9*(1+BE10)</f>
        <v>996.3329574899999</v>
      </c>
      <c r="BF9" s="355">
        <f t="shared" ref="BF9" si="5">BE9*(1+BF10)</f>
        <v>1036.1862757895999</v>
      </c>
      <c r="BG9" s="353">
        <f t="shared" ref="BG9" si="6">BF9*(1+BG10)</f>
        <v>1041.3672071685478</v>
      </c>
      <c r="BH9" s="354">
        <f t="shared" ref="BH9" si="7">BG9*(1+BH10)</f>
        <v>1072.6082233836044</v>
      </c>
      <c r="BI9" s="355">
        <f t="shared" ref="BI9" si="8">BH9*(1+BI10)</f>
        <v>1018.977812214424</v>
      </c>
      <c r="BJ9" s="355">
        <f t="shared" ref="BJ9" si="9">BI9*(1+BJ10)</f>
        <v>1018.977812214424</v>
      </c>
      <c r="BK9" s="353">
        <f t="shared" ref="BK9" si="10">BJ9*(1+BK10)</f>
        <v>1018.977812214424</v>
      </c>
      <c r="BL9" s="1445"/>
      <c r="BM9" s="771"/>
      <c r="BN9" s="382"/>
      <c r="BO9" s="382"/>
      <c r="BP9" s="382"/>
      <c r="BQ9" s="382"/>
      <c r="BR9" s="382"/>
      <c r="BS9" s="382"/>
      <c r="BT9" s="382"/>
      <c r="BU9" s="771">
        <f>SUM(AJ9:AM9)</f>
        <v>867</v>
      </c>
      <c r="BV9" s="382">
        <f>SUM(AN9:AQ9)</f>
        <v>2180</v>
      </c>
      <c r="BW9" s="382">
        <f>SUM(AR9:AU9)</f>
        <v>2291</v>
      </c>
      <c r="BX9" s="382">
        <f>SUM(AV9:AY9)</f>
        <v>2799</v>
      </c>
      <c r="BY9" s="382">
        <f>SUM(AZ9:BC9)</f>
        <v>4144.4536674999999</v>
      </c>
      <c r="BZ9" s="382">
        <f>SUM(BD9:BG9)</f>
        <v>4122.6579746481475</v>
      </c>
      <c r="CA9" s="382">
        <f>SUM(BH9:BK9)</f>
        <v>4129.5416600268763</v>
      </c>
      <c r="CB9" s="1438"/>
      <c r="CC9" s="360"/>
      <c r="CD9" s="357">
        <f>SUM(I9:L9)</f>
        <v>0</v>
      </c>
      <c r="CE9" s="357">
        <f>SUM(M9:P9)</f>
        <v>0</v>
      </c>
      <c r="CF9" s="357">
        <f>SUM(Q9:T9)</f>
        <v>0</v>
      </c>
      <c r="CG9" s="357">
        <f>SUM(U9:X9)</f>
        <v>0</v>
      </c>
      <c r="CH9" s="357">
        <f>SUM(Y9:AB9)</f>
        <v>0</v>
      </c>
      <c r="CI9" s="360"/>
      <c r="CJ9" s="357"/>
      <c r="CK9" s="360">
        <f>SUM(AK9:AN9)</f>
        <v>1353</v>
      </c>
      <c r="CL9" s="357">
        <f>SUM(AO9:AR9)</f>
        <v>2372</v>
      </c>
      <c r="CM9" s="357">
        <f>SUM(AS9:AV9)</f>
        <v>2320</v>
      </c>
      <c r="CN9" s="357">
        <f>SUM(AW9:AZ9)</f>
        <v>3083</v>
      </c>
      <c r="CO9" s="357">
        <f>SUM(BA9:BD9)</f>
        <v>4202.2252017000001</v>
      </c>
      <c r="CP9" s="358">
        <f>SUM(BE9:BH9)</f>
        <v>4146.4946638317515</v>
      </c>
      <c r="CQ9" s="1287">
        <f>(CO9/CM9)^(1/2)-1</f>
        <v>0.3458469326970286</v>
      </c>
    </row>
    <row r="10" spans="1:95" s="7" customFormat="1" ht="14.25" customHeight="1">
      <c r="A10" s="511"/>
      <c r="B10" s="35" t="s">
        <v>110</v>
      </c>
      <c r="C10" s="240"/>
      <c r="D10" s="149"/>
      <c r="E10" s="87"/>
      <c r="F10" s="87"/>
      <c r="G10" s="88"/>
      <c r="H10" s="149"/>
      <c r="I10" s="87"/>
      <c r="J10" s="87"/>
      <c r="K10" s="88"/>
      <c r="L10" s="149"/>
      <c r="M10" s="87"/>
      <c r="N10" s="87"/>
      <c r="O10" s="88"/>
      <c r="P10" s="149"/>
      <c r="Q10" s="87"/>
      <c r="R10" s="87"/>
      <c r="S10" s="88"/>
      <c r="T10" s="149"/>
      <c r="U10" s="87"/>
      <c r="V10" s="87"/>
      <c r="W10" s="88"/>
      <c r="X10" s="361"/>
      <c r="Y10" s="362"/>
      <c r="Z10" s="87"/>
      <c r="AA10" s="88"/>
      <c r="AB10" s="361"/>
      <c r="AC10" s="362"/>
      <c r="AD10" s="362"/>
      <c r="AE10" s="88"/>
      <c r="AF10" s="361"/>
      <c r="AG10" s="362"/>
      <c r="AH10" s="362"/>
      <c r="AI10" s="88"/>
      <c r="AJ10" s="850"/>
      <c r="AK10" s="850"/>
      <c r="AL10" s="850"/>
      <c r="AM10" s="943">
        <f>AM9/AL9-1</f>
        <v>0.14603960396039595</v>
      </c>
      <c r="AN10" s="945">
        <f>AN9/AM9-1</f>
        <v>4.9676025917926525E-2</v>
      </c>
      <c r="AO10" s="362">
        <f t="shared" ref="AO10" si="11">AO9/AN9-1</f>
        <v>-3.9094650205761305E-2</v>
      </c>
      <c r="AP10" s="362">
        <f t="shared" ref="AP10" si="12">AP9/AO9-1</f>
        <v>0.2591006423982869</v>
      </c>
      <c r="AQ10" s="943">
        <f>AQ9/AP9-1</f>
        <v>8.6734693877551061E-2</v>
      </c>
      <c r="AR10" s="945">
        <f>AR9/AQ9-1</f>
        <v>6.1032863849765251E-2</v>
      </c>
      <c r="AS10" s="362">
        <f t="shared" ref="AS10:AT10" si="13">AS9/AR9-1</f>
        <v>-0.22566371681415931</v>
      </c>
      <c r="AT10" s="362">
        <f t="shared" si="13"/>
        <v>3.8095238095237072E-3</v>
      </c>
      <c r="AU10" s="1220">
        <f t="shared" ref="AU10:AZ10" si="14">AU9/AT9-1</f>
        <v>6.4516129032258007E-2</v>
      </c>
      <c r="AV10" s="1237">
        <f t="shared" si="14"/>
        <v>0.26024955436720143</v>
      </c>
      <c r="AW10" s="362">
        <f t="shared" si="14"/>
        <v>7.0721357850069833E-3</v>
      </c>
      <c r="AX10" s="362">
        <f t="shared" si="14"/>
        <v>3.2303370786516794E-2</v>
      </c>
      <c r="AY10" s="1308">
        <f t="shared" si="14"/>
        <v>-0.12244897959183676</v>
      </c>
      <c r="AZ10" s="1313">
        <f t="shared" si="14"/>
        <v>0.5364341085271318</v>
      </c>
      <c r="BA10" s="362">
        <v>0.11</v>
      </c>
      <c r="BB10" s="1229">
        <v>-0.05</v>
      </c>
      <c r="BC10" s="1230">
        <v>-3.5000000000000003E-2</v>
      </c>
      <c r="BD10" s="1237">
        <v>0.04</v>
      </c>
      <c r="BE10" s="1229">
        <v>-0.05</v>
      </c>
      <c r="BF10" s="1229">
        <v>0.04</v>
      </c>
      <c r="BG10" s="1230">
        <v>5.0000000000000001E-3</v>
      </c>
      <c r="BH10" s="1313">
        <v>0.03</v>
      </c>
      <c r="BI10" s="1308">
        <v>-0.05</v>
      </c>
      <c r="BJ10" s="1308">
        <v>0</v>
      </c>
      <c r="BK10" s="1395">
        <v>0</v>
      </c>
      <c r="BL10" s="1391"/>
      <c r="BM10" s="629"/>
      <c r="BN10" s="241"/>
      <c r="BO10" s="241"/>
      <c r="BP10" s="241"/>
      <c r="BQ10" s="1149"/>
      <c r="BR10" s="1149"/>
      <c r="BS10" s="241"/>
      <c r="BT10" s="241"/>
      <c r="BU10" s="629"/>
      <c r="BV10" s="241"/>
      <c r="BW10" s="241"/>
      <c r="BX10" s="241"/>
      <c r="BY10" s="1238"/>
      <c r="BZ10" s="1314"/>
      <c r="CA10" s="1314"/>
      <c r="CB10" s="19"/>
      <c r="CC10" s="629"/>
      <c r="CD10" s="241"/>
      <c r="CE10" s="241"/>
      <c r="CF10" s="241"/>
      <c r="CG10" s="241"/>
      <c r="CH10" s="241"/>
      <c r="CI10" s="629"/>
      <c r="CJ10" s="241"/>
      <c r="CK10" s="1204"/>
      <c r="CL10" s="1199"/>
      <c r="CM10" s="1199"/>
      <c r="CN10" s="1314"/>
      <c r="CO10" s="1314"/>
      <c r="CP10" s="1315"/>
    </row>
    <row r="11" spans="1:95" s="7" customFormat="1" ht="14.25" customHeight="1">
      <c r="A11" s="511"/>
      <c r="B11" s="35" t="s">
        <v>202</v>
      </c>
      <c r="C11" s="240"/>
      <c r="D11" s="149"/>
      <c r="E11" s="87"/>
      <c r="F11" s="87"/>
      <c r="G11" s="88"/>
      <c r="H11" s="149"/>
      <c r="I11" s="87"/>
      <c r="J11" s="87"/>
      <c r="K11" s="88"/>
      <c r="L11" s="149"/>
      <c r="M11" s="87"/>
      <c r="N11" s="87"/>
      <c r="O11" s="88"/>
      <c r="P11" s="149"/>
      <c r="Q11" s="87"/>
      <c r="R11" s="87"/>
      <c r="S11" s="88"/>
      <c r="T11" s="149"/>
      <c r="U11" s="87"/>
      <c r="V11" s="87"/>
      <c r="W11" s="88"/>
      <c r="X11" s="87"/>
      <c r="Y11" s="87"/>
      <c r="Z11" s="87"/>
      <c r="AA11" s="88"/>
      <c r="AB11" s="87"/>
      <c r="AC11" s="87"/>
      <c r="AD11" s="87"/>
      <c r="AE11" s="88"/>
      <c r="AF11" s="87"/>
      <c r="AG11" s="87"/>
      <c r="AH11" s="241"/>
      <c r="AI11" s="88"/>
      <c r="AJ11" s="87"/>
      <c r="AK11" s="87"/>
      <c r="AL11" s="87"/>
      <c r="AM11" s="87"/>
      <c r="AN11" s="149"/>
      <c r="AO11" s="87"/>
      <c r="AP11" s="943"/>
      <c r="AQ11" s="943"/>
      <c r="AR11" s="945"/>
      <c r="AS11" s="1000"/>
      <c r="AT11" s="1177"/>
      <c r="AU11" s="1220"/>
      <c r="AV11" s="1237"/>
      <c r="AW11" s="1229"/>
      <c r="AX11" s="1308"/>
      <c r="AY11" s="1308"/>
      <c r="AZ11" s="1313"/>
      <c r="BA11" s="1229"/>
      <c r="BB11" s="1229"/>
      <c r="BC11" s="1230"/>
      <c r="BD11" s="1237"/>
      <c r="BE11" s="1229"/>
      <c r="BF11" s="1229"/>
      <c r="BG11" s="1230"/>
      <c r="BH11" s="1313"/>
      <c r="BI11" s="1308"/>
      <c r="BJ11" s="1308"/>
      <c r="BK11" s="1395"/>
      <c r="BL11" s="1391"/>
      <c r="BM11" s="629"/>
      <c r="BN11" s="241"/>
      <c r="BO11" s="241"/>
      <c r="BP11" s="241"/>
      <c r="BQ11" s="1149"/>
      <c r="BR11" s="1149"/>
      <c r="BS11" s="241"/>
      <c r="BT11" s="241"/>
      <c r="BU11" s="629"/>
      <c r="BV11" s="241"/>
      <c r="BW11" s="241"/>
      <c r="BX11" s="241"/>
      <c r="BY11" s="1238"/>
      <c r="BZ11" s="1314"/>
      <c r="CA11" s="1314"/>
      <c r="CB11" s="19"/>
      <c r="CC11" s="629"/>
      <c r="CD11" s="241"/>
      <c r="CE11" s="241"/>
      <c r="CF11" s="241"/>
      <c r="CG11" s="241"/>
      <c r="CH11" s="241"/>
      <c r="CI11" s="629"/>
      <c r="CJ11" s="241"/>
      <c r="CK11" s="1204"/>
      <c r="CL11" s="1199"/>
      <c r="CM11" s="1199"/>
      <c r="CN11" s="1314"/>
      <c r="CO11" s="1314"/>
      <c r="CP11" s="1315"/>
    </row>
    <row r="12" spans="1:95" s="369" customFormat="1" ht="14.25" customHeight="1">
      <c r="A12" s="512"/>
      <c r="B12" s="363" t="s">
        <v>111</v>
      </c>
      <c r="C12" s="364"/>
      <c r="D12" s="361"/>
      <c r="E12" s="362"/>
      <c r="F12" s="362"/>
      <c r="G12" s="365"/>
      <c r="H12" s="361"/>
      <c r="I12" s="362"/>
      <c r="J12" s="362"/>
      <c r="K12" s="365"/>
      <c r="L12" s="361"/>
      <c r="M12" s="362"/>
      <c r="N12" s="362"/>
      <c r="O12" s="365"/>
      <c r="P12" s="361"/>
      <c r="Q12" s="362"/>
      <c r="R12" s="362"/>
      <c r="S12" s="365"/>
      <c r="T12" s="361"/>
      <c r="U12" s="362"/>
      <c r="V12" s="362"/>
      <c r="W12" s="365"/>
      <c r="X12" s="361"/>
      <c r="Y12" s="362"/>
      <c r="Z12" s="362"/>
      <c r="AA12" s="365"/>
      <c r="AB12" s="361"/>
      <c r="AC12" s="362"/>
      <c r="AD12" s="362"/>
      <c r="AE12" s="365"/>
      <c r="AF12" s="361"/>
      <c r="AG12" s="362"/>
      <c r="AH12" s="362"/>
      <c r="AI12" s="365"/>
      <c r="AJ12" s="362"/>
      <c r="AK12" s="362"/>
      <c r="AL12" s="362"/>
      <c r="AM12" s="362"/>
      <c r="AN12" s="361"/>
      <c r="AO12" s="362"/>
      <c r="AP12" s="362">
        <f t="shared" ref="AP12" si="15">AP9/AL9-1</f>
        <v>0.45544554455445541</v>
      </c>
      <c r="AQ12" s="365">
        <f t="shared" ref="AQ12" si="16">AQ9/AM9-1</f>
        <v>0.38012958963282939</v>
      </c>
      <c r="AR12" s="361">
        <f t="shared" ref="AR12" si="17">AR9/AN9-1</f>
        <v>0.39506172839506171</v>
      </c>
      <c r="AS12" s="362">
        <f t="shared" ref="AS12" si="18">AS9/AO9-1</f>
        <v>0.12419700214132767</v>
      </c>
      <c r="AT12" s="362">
        <f t="shared" ref="AT12" si="19">AT9/AP9-1</f>
        <v>-0.1037414965986394</v>
      </c>
      <c r="AU12" s="365">
        <f t="shared" ref="AU12" si="20">AU9/AQ9-1</f>
        <v>-0.1220657276995305</v>
      </c>
      <c r="AV12" s="361">
        <f t="shared" ref="AV12" si="21">AV9/AR9-1</f>
        <v>4.2772861356932257E-2</v>
      </c>
      <c r="AW12" s="362">
        <f t="shared" ref="AW12" si="22">AW9/AS9-1</f>
        <v>0.35619047619047617</v>
      </c>
      <c r="AX12" s="362">
        <f t="shared" ref="AX12:AZ12" si="23">AX9/AT9-1</f>
        <v>0.39468690702087295</v>
      </c>
      <c r="AY12" s="365">
        <f t="shared" si="23"/>
        <v>0.14973262032085555</v>
      </c>
      <c r="AZ12" s="361">
        <f t="shared" si="23"/>
        <v>0.4016973125884018</v>
      </c>
      <c r="BA12" s="362">
        <f t="shared" ref="BA12" si="24">BA9/AW9-1</f>
        <v>0.54495786516853939</v>
      </c>
      <c r="BB12" s="362">
        <f t="shared" ref="BB12" si="25">BB9/AX9-1</f>
        <v>0.42178163265306101</v>
      </c>
      <c r="BC12" s="365">
        <f t="shared" ref="BC12" si="26">BC9/AY9-1</f>
        <v>0.56346382558139507</v>
      </c>
      <c r="BD12" s="361">
        <f t="shared" ref="BD12" si="27">BD9/AZ9-1</f>
        <v>5.8296199999999798E-2</v>
      </c>
      <c r="BE12" s="362">
        <f t="shared" ref="BE12" si="28">BE9/BA9-1</f>
        <v>-9.4251000000000085E-2</v>
      </c>
      <c r="BF12" s="362">
        <f t="shared" ref="BF12" si="29">BF9/BB9-1</f>
        <v>-8.4431999999999841E-3</v>
      </c>
      <c r="BG12" s="365">
        <f t="shared" ref="BG12" si="30">BG9/BC9-1</f>
        <v>3.2657600000000064E-2</v>
      </c>
      <c r="BH12" s="361">
        <f t="shared" ref="BH12" si="31">BH9/BD9-1</f>
        <v>2.2728199999999976E-2</v>
      </c>
      <c r="BI12" s="362">
        <f t="shared" ref="BI12" si="32">BI9/BE9-1</f>
        <v>2.2728199999999976E-2</v>
      </c>
      <c r="BJ12" s="362">
        <f t="shared" ref="BJ12" si="33">BJ9/BF9-1</f>
        <v>-1.6607500000000108E-2</v>
      </c>
      <c r="BK12" s="1441">
        <f t="shared" ref="BK12" si="34">BK9/BG9-1</f>
        <v>-2.1499999999999964E-2</v>
      </c>
      <c r="BL12" s="1446"/>
      <c r="BM12" s="632"/>
      <c r="BN12" s="301"/>
      <c r="BO12" s="301"/>
      <c r="BP12" s="301"/>
      <c r="BQ12" s="301"/>
      <c r="BR12" s="301"/>
      <c r="BS12" s="301"/>
      <c r="BT12" s="301"/>
      <c r="BU12" s="632"/>
      <c r="BV12" s="301">
        <f t="shared" ref="BV12:CA12" si="35">BV9/BU9-1</f>
        <v>1.51441753171857</v>
      </c>
      <c r="BW12" s="301">
        <f t="shared" si="35"/>
        <v>5.0917431192660567E-2</v>
      </c>
      <c r="BX12" s="301">
        <f t="shared" si="35"/>
        <v>0.22173723264949796</v>
      </c>
      <c r="BY12" s="301">
        <f t="shared" si="35"/>
        <v>0.48069084226509462</v>
      </c>
      <c r="BZ12" s="301">
        <f t="shared" si="35"/>
        <v>-5.2590026576410098E-3</v>
      </c>
      <c r="CA12" s="301">
        <f t="shared" si="35"/>
        <v>1.6697202195912197E-3</v>
      </c>
      <c r="CB12" s="366"/>
      <c r="CC12" s="632"/>
      <c r="CD12" s="301"/>
      <c r="CE12" s="301"/>
      <c r="CF12" s="301"/>
      <c r="CG12" s="301"/>
      <c r="CH12" s="301"/>
      <c r="CI12" s="632"/>
      <c r="CJ12" s="301"/>
      <c r="CK12" s="632"/>
      <c r="CL12" s="301">
        <f>CL9/CK9-1</f>
        <v>0.75314116777531415</v>
      </c>
      <c r="CM12" s="301">
        <f>CM9/CL9-1</f>
        <v>-2.1922428330522714E-2</v>
      </c>
      <c r="CN12" s="301">
        <f>CN9/CM9-1</f>
        <v>0.32887931034482754</v>
      </c>
      <c r="CO12" s="301">
        <f>CO9/CN9-1</f>
        <v>0.36303120392474875</v>
      </c>
      <c r="CP12" s="367">
        <f>CP9/CO9-1</f>
        <v>-1.3262149264561818E-2</v>
      </c>
    </row>
    <row r="13" spans="1:95" s="7" customFormat="1" ht="14.25" customHeight="1">
      <c r="A13" s="511"/>
      <c r="B13" s="35" t="s">
        <v>112</v>
      </c>
      <c r="C13" s="240"/>
      <c r="D13" s="149"/>
      <c r="E13" s="87"/>
      <c r="F13" s="87"/>
      <c r="G13" s="88"/>
      <c r="H13" s="149"/>
      <c r="I13" s="87"/>
      <c r="J13" s="87"/>
      <c r="K13" s="88"/>
      <c r="L13" s="149"/>
      <c r="M13" s="87"/>
      <c r="N13" s="87"/>
      <c r="O13" s="88"/>
      <c r="P13" s="149"/>
      <c r="Q13" s="87"/>
      <c r="R13" s="87"/>
      <c r="S13" s="88"/>
      <c r="T13" s="149"/>
      <c r="U13" s="87"/>
      <c r="V13" s="87"/>
      <c r="W13" s="88"/>
      <c r="X13" s="361"/>
      <c r="Y13" s="362"/>
      <c r="Z13" s="87"/>
      <c r="AA13" s="88"/>
      <c r="AB13" s="361"/>
      <c r="AC13" s="362"/>
      <c r="AD13" s="362"/>
      <c r="AE13" s="88"/>
      <c r="AF13" s="361"/>
      <c r="AG13" s="362"/>
      <c r="AH13" s="362"/>
      <c r="AI13" s="88"/>
      <c r="AJ13" s="87"/>
      <c r="AK13" s="87"/>
      <c r="AL13" s="87">
        <f t="shared" ref="AL13" si="36">AL9/AL$108</f>
        <v>0.31390831390831392</v>
      </c>
      <c r="AM13" s="87">
        <f>AM9/AM$108</f>
        <v>0.28757763975155282</v>
      </c>
      <c r="AN13" s="149">
        <f>AN9/AN$108</f>
        <v>0.29330114665057333</v>
      </c>
      <c r="AO13" s="87">
        <f t="shared" ref="AO13:AP13" si="37">AO9/AO$108</f>
        <v>0.28389057750759877</v>
      </c>
      <c r="AP13" s="943">
        <f t="shared" si="37"/>
        <v>0.33600000000000002</v>
      </c>
      <c r="AQ13" s="943">
        <f>AQ9/AQ$108</f>
        <v>0.34484619535887751</v>
      </c>
      <c r="AR13" s="945">
        <f>AR9/AR$108</f>
        <v>0.38047138047138046</v>
      </c>
      <c r="AS13" s="1000">
        <f t="shared" ref="AS13:AT13" si="38">AS9/AS$108</f>
        <v>0.14738910724312185</v>
      </c>
      <c r="AT13" s="1177">
        <f t="shared" si="38"/>
        <v>0.13861125723303525</v>
      </c>
      <c r="AU13" s="1220">
        <f t="shared" ref="AU13:BA13" si="39">AU9/AU$108</f>
        <v>0.1353111432706223</v>
      </c>
      <c r="AV13" s="1237">
        <f t="shared" si="39"/>
        <v>0.17040250662810316</v>
      </c>
      <c r="AW13" s="1229">
        <f t="shared" si="39"/>
        <v>0.16948345631992381</v>
      </c>
      <c r="AX13" s="1308">
        <f t="shared" si="39"/>
        <v>0.16453995970449967</v>
      </c>
      <c r="AY13" s="1395">
        <f t="shared" si="39"/>
        <v>0.13304455445544555</v>
      </c>
      <c r="AZ13" s="1313">
        <f t="shared" si="39"/>
        <v>0.18589382854999062</v>
      </c>
      <c r="BA13" s="1229">
        <f t="shared" si="39"/>
        <v>0.21951730578881826</v>
      </c>
      <c r="BB13" s="1229">
        <f t="shared" ref="BB13:BC13" si="40">BB9/BB$108</f>
        <v>0.20049035081329178</v>
      </c>
      <c r="BC13" s="1230">
        <f t="shared" si="40"/>
        <v>0.18063350081130991</v>
      </c>
      <c r="BD13" s="1237">
        <f t="shared" ref="BD13:BG13" si="41">BD9/BD$108</f>
        <v>0.19672223932486929</v>
      </c>
      <c r="BE13" s="1229">
        <f t="shared" si="41"/>
        <v>0.19240809165042938</v>
      </c>
      <c r="BF13" s="1229">
        <f t="shared" si="41"/>
        <v>0.186793617123761</v>
      </c>
      <c r="BG13" s="1230">
        <f t="shared" si="41"/>
        <v>0.16857021381724907</v>
      </c>
      <c r="BH13" s="1313">
        <f t="shared" ref="BH13:BK13" si="42">BH9/BH$108</f>
        <v>0.18172635872270992</v>
      </c>
      <c r="BI13" s="1308">
        <f t="shared" si="42"/>
        <v>0.18240077863659937</v>
      </c>
      <c r="BJ13" s="1308">
        <f t="shared" si="42"/>
        <v>0.17528478572815925</v>
      </c>
      <c r="BK13" s="1395">
        <f t="shared" si="42"/>
        <v>0.16482139715878008</v>
      </c>
      <c r="BL13" s="1391"/>
      <c r="BM13" s="632"/>
      <c r="BN13" s="301"/>
      <c r="BO13" s="301"/>
      <c r="BP13" s="301"/>
      <c r="BQ13" s="301"/>
      <c r="BR13" s="301"/>
      <c r="BS13" s="301"/>
      <c r="BT13" s="301"/>
      <c r="BU13" s="632">
        <f t="shared" ref="BU13:BY13" si="43">BU9/BU108</f>
        <v>0.20492287620011063</v>
      </c>
      <c r="BV13" s="301">
        <f t="shared" si="43"/>
        <v>0.31571325126719768</v>
      </c>
      <c r="BW13" s="301">
        <f t="shared" si="43"/>
        <v>0.17235931387300632</v>
      </c>
      <c r="BX13" s="301">
        <f t="shared" si="43"/>
        <v>0.15844891027455421</v>
      </c>
      <c r="BY13" s="301">
        <f t="shared" si="43"/>
        <v>0.19607510680529819</v>
      </c>
      <c r="BZ13" s="301">
        <f t="shared" ref="BZ13" si="44">BZ9/BZ108</f>
        <v>0.18541858372173012</v>
      </c>
      <c r="CA13" s="301">
        <f t="shared" ref="CA13" si="45">CA9/CA108</f>
        <v>0.17584199129171468</v>
      </c>
      <c r="CB13" s="19"/>
      <c r="CC13" s="632"/>
      <c r="CD13" s="301">
        <f>CD9/CD108</f>
        <v>0</v>
      </c>
      <c r="CE13" s="301">
        <f>CE9/CE108</f>
        <v>0</v>
      </c>
      <c r="CF13" s="301">
        <f>CF9/CF108</f>
        <v>0</v>
      </c>
      <c r="CG13" s="301">
        <f>CG9/CG108</f>
        <v>0</v>
      </c>
      <c r="CH13" s="301">
        <f>CH9/CH108</f>
        <v>0</v>
      </c>
      <c r="CI13" s="632"/>
      <c r="CJ13" s="301"/>
      <c r="CK13" s="632">
        <f t="shared" ref="CK13:CP13" si="46">CK9/CK$108</f>
        <v>0.25746907706945765</v>
      </c>
      <c r="CL13" s="301">
        <f t="shared" si="46"/>
        <v>0.33741109530583213</v>
      </c>
      <c r="CM13" s="301">
        <f t="shared" si="46"/>
        <v>0.14815760904272304</v>
      </c>
      <c r="CN13" s="301">
        <f t="shared" si="46"/>
        <v>0.16358041067543908</v>
      </c>
      <c r="CO13" s="301">
        <f t="shared" si="46"/>
        <v>0.19880612735449382</v>
      </c>
      <c r="CP13" s="367">
        <f t="shared" si="46"/>
        <v>0.18182053184388711</v>
      </c>
    </row>
    <row r="14" spans="1:95" s="7" customFormat="1" ht="14.25" customHeight="1">
      <c r="A14" s="511"/>
      <c r="B14" s="35"/>
      <c r="C14" s="240"/>
      <c r="D14" s="149"/>
      <c r="E14" s="87"/>
      <c r="F14" s="87"/>
      <c r="G14" s="88"/>
      <c r="H14" s="149"/>
      <c r="I14" s="87"/>
      <c r="J14" s="87"/>
      <c r="K14" s="88"/>
      <c r="L14" s="149"/>
      <c r="M14" s="87"/>
      <c r="N14" s="87"/>
      <c r="O14" s="88"/>
      <c r="P14" s="149"/>
      <c r="Q14" s="87"/>
      <c r="R14" s="87"/>
      <c r="S14" s="88"/>
      <c r="T14" s="149"/>
      <c r="U14" s="87"/>
      <c r="V14" s="87"/>
      <c r="W14" s="88"/>
      <c r="X14" s="149"/>
      <c r="Y14" s="87"/>
      <c r="Z14" s="87"/>
      <c r="AA14" s="88"/>
      <c r="AB14" s="149"/>
      <c r="AC14" s="87"/>
      <c r="AD14" s="87"/>
      <c r="AE14" s="88"/>
      <c r="AF14" s="149"/>
      <c r="AG14" s="87"/>
      <c r="AH14" s="87"/>
      <c r="AI14" s="90"/>
      <c r="AJ14" s="89"/>
      <c r="AK14" s="89"/>
      <c r="AL14" s="89"/>
      <c r="AM14" s="89"/>
      <c r="AN14" s="91"/>
      <c r="AO14" s="89"/>
      <c r="AP14" s="89"/>
      <c r="AQ14" s="89"/>
      <c r="AR14" s="91"/>
      <c r="AS14" s="89"/>
      <c r="AT14" s="89"/>
      <c r="AU14" s="1221"/>
      <c r="AV14" s="1233"/>
      <c r="AW14" s="1231"/>
      <c r="AX14" s="1310"/>
      <c r="AY14" s="1396"/>
      <c r="AZ14" s="1312"/>
      <c r="BA14" s="1231"/>
      <c r="BB14" s="1231"/>
      <c r="BC14" s="1232"/>
      <c r="BD14" s="1233"/>
      <c r="BE14" s="1231"/>
      <c r="BF14" s="1231"/>
      <c r="BG14" s="1232"/>
      <c r="BH14" s="1312"/>
      <c r="BI14" s="1310"/>
      <c r="BJ14" s="1310"/>
      <c r="BK14" s="1396"/>
      <c r="BL14" s="1391"/>
      <c r="BM14" s="629"/>
      <c r="BN14" s="241"/>
      <c r="BO14" s="241"/>
      <c r="BP14" s="241"/>
      <c r="BQ14" s="1149"/>
      <c r="BR14" s="1149"/>
      <c r="BS14" s="241"/>
      <c r="BT14" s="241"/>
      <c r="BU14" s="629"/>
      <c r="BV14" s="241"/>
      <c r="BW14" s="241"/>
      <c r="BX14" s="241"/>
      <c r="BY14" s="1238"/>
      <c r="BZ14" s="1314"/>
      <c r="CA14" s="1314"/>
      <c r="CB14" s="19"/>
      <c r="CC14" s="629"/>
      <c r="CD14" s="241"/>
      <c r="CE14" s="241"/>
      <c r="CF14" s="241"/>
      <c r="CG14" s="241"/>
      <c r="CH14" s="241"/>
      <c r="CI14" s="629"/>
      <c r="CJ14" s="241"/>
      <c r="CK14" s="1204"/>
      <c r="CL14" s="1199"/>
      <c r="CM14" s="1199"/>
      <c r="CN14" s="1314"/>
      <c r="CO14" s="1314"/>
      <c r="CP14" s="1315"/>
    </row>
    <row r="15" spans="1:95" s="7" customFormat="1" ht="14.25" customHeight="1">
      <c r="A15" s="511"/>
      <c r="B15" s="43" t="str">
        <f>$B$9&amp;" Gross Margin"</f>
        <v>Enterprise Storage Revenue Gross Margin</v>
      </c>
      <c r="C15" s="240"/>
      <c r="D15" s="370"/>
      <c r="E15" s="371"/>
      <c r="F15" s="371"/>
      <c r="G15" s="372"/>
      <c r="H15" s="370"/>
      <c r="I15" s="371"/>
      <c r="J15" s="371"/>
      <c r="K15" s="372"/>
      <c r="L15" s="370"/>
      <c r="M15" s="371"/>
      <c r="N15" s="371"/>
      <c r="O15" s="372"/>
      <c r="P15" s="370"/>
      <c r="Q15" s="371"/>
      <c r="R15" s="371"/>
      <c r="S15" s="372"/>
      <c r="T15" s="370"/>
      <c r="U15" s="371"/>
      <c r="V15" s="371"/>
      <c r="W15" s="372"/>
      <c r="X15" s="373"/>
      <c r="Y15" s="352"/>
      <c r="Z15" s="371"/>
      <c r="AA15" s="372"/>
      <c r="AB15" s="373"/>
      <c r="AC15" s="352"/>
      <c r="AD15" s="352"/>
      <c r="AE15" s="372"/>
      <c r="AF15" s="371"/>
      <c r="AG15" s="371"/>
      <c r="AH15" s="371"/>
      <c r="AI15" s="372"/>
      <c r="AJ15" s="371"/>
      <c r="AK15" s="371"/>
      <c r="AL15" s="371">
        <f t="shared" ref="AL15" si="47">AL18*AL9</f>
        <v>207.04999999999998</v>
      </c>
      <c r="AM15" s="371">
        <f>AM13*AM$129</f>
        <v>270.03540372670807</v>
      </c>
      <c r="AN15" s="370">
        <f>AN13*AN$129</f>
        <v>285.67531683765844</v>
      </c>
      <c r="AO15" s="371">
        <f t="shared" ref="AO15:AP15" si="48">AO18*AO9</f>
        <v>239.33749999999998</v>
      </c>
      <c r="AP15" s="371">
        <f t="shared" si="48"/>
        <v>301.34999999999997</v>
      </c>
      <c r="AQ15" s="371">
        <f t="shared" ref="AQ15:AV15" si="49">AQ13*AQ$129</f>
        <v>396.22827846735026</v>
      </c>
      <c r="AR15" s="370">
        <f t="shared" si="49"/>
        <v>414.33333333333331</v>
      </c>
      <c r="AS15" s="371">
        <f t="shared" si="49"/>
        <v>315.11791128579449</v>
      </c>
      <c r="AT15" s="371">
        <f t="shared" si="49"/>
        <v>318.39005786428197</v>
      </c>
      <c r="AU15" s="371">
        <f t="shared" si="49"/>
        <v>341.25470332850944</v>
      </c>
      <c r="AV15" s="370">
        <f t="shared" si="49"/>
        <v>441.34249216678717</v>
      </c>
      <c r="AW15" s="371">
        <f t="shared" ref="AW15" si="50">AW13*AW$129</f>
        <v>449.47012616043793</v>
      </c>
      <c r="AX15" s="371">
        <f>AX13*AX$129</f>
        <v>465.15446608462054</v>
      </c>
      <c r="AY15" s="1397">
        <f t="shared" ref="AY15:AZ15" si="51">AY13*AY$129</f>
        <v>408.18069306930693</v>
      </c>
      <c r="AZ15" s="370">
        <f t="shared" si="51"/>
        <v>642.0772838116676</v>
      </c>
      <c r="BA15" s="371">
        <f t="shared" ref="BA15:BC15" si="52">BA18*BA9</f>
        <v>748.0068</v>
      </c>
      <c r="BB15" s="371">
        <f t="shared" si="52"/>
        <v>705.38141250000001</v>
      </c>
      <c r="BC15" s="372">
        <f t="shared" si="52"/>
        <v>675.65089222499989</v>
      </c>
      <c r="BD15" s="370">
        <f t="shared" ref="BD15:BG15" si="53">BD18*BD9</f>
        <v>713.16464325599998</v>
      </c>
      <c r="BE15" s="371">
        <f t="shared" si="53"/>
        <v>682.48807588064994</v>
      </c>
      <c r="BF15" s="371">
        <f t="shared" si="53"/>
        <v>710.82378519166559</v>
      </c>
      <c r="BG15" s="372">
        <f t="shared" si="53"/>
        <v>716.98132213554516</v>
      </c>
      <c r="BH15" s="370">
        <f t="shared" ref="BH15:BK15" si="54">BH18*BH9</f>
        <v>740.09967413468689</v>
      </c>
      <c r="BI15" s="371">
        <f t="shared" si="54"/>
        <v>701.566223709631</v>
      </c>
      <c r="BJ15" s="371">
        <f t="shared" si="54"/>
        <v>702.58520152184542</v>
      </c>
      <c r="BK15" s="1397">
        <f t="shared" si="54"/>
        <v>705.13264605238135</v>
      </c>
      <c r="BL15" s="1447"/>
      <c r="BM15" s="360"/>
      <c r="BN15" s="357"/>
      <c r="BO15" s="357"/>
      <c r="BP15" s="357"/>
      <c r="BQ15" s="357"/>
      <c r="BR15" s="357"/>
      <c r="BS15" s="357"/>
      <c r="BT15" s="357"/>
      <c r="BU15" s="360">
        <f>SUM(AJ15:AM15)</f>
        <v>477.08540372670802</v>
      </c>
      <c r="BV15" s="357">
        <f>SUM(AN15:AQ15)</f>
        <v>1222.5910953050086</v>
      </c>
      <c r="BW15" s="357">
        <f>SUM(AR15:AU15)</f>
        <v>1389.0960058119194</v>
      </c>
      <c r="BX15" s="357">
        <f>SUM(AV15:AY15)</f>
        <v>1764.1477774811526</v>
      </c>
      <c r="BY15" s="357">
        <f>SUM(AZ15:BC15)</f>
        <v>2771.1163885366677</v>
      </c>
      <c r="BZ15" s="357">
        <f>SUM(BD15:BG15)</f>
        <v>2823.4578264638608</v>
      </c>
      <c r="CA15" s="357">
        <f>SUM(BH15:BK15)</f>
        <v>2849.383745418545</v>
      </c>
      <c r="CB15" s="19"/>
      <c r="CC15" s="360"/>
      <c r="CD15" s="357"/>
      <c r="CE15" s="357"/>
      <c r="CF15" s="357"/>
      <c r="CG15" s="357"/>
      <c r="CH15" s="357"/>
      <c r="CI15" s="360"/>
      <c r="CJ15" s="357"/>
      <c r="CK15" s="360">
        <f>SUM(AK15:AN15)</f>
        <v>762.76072056436647</v>
      </c>
      <c r="CL15" s="357">
        <f>SUM(AO15:AR15)</f>
        <v>1351.2491118006835</v>
      </c>
      <c r="CM15" s="357">
        <f>SUM(AS15:AV15)</f>
        <v>1416.105164645373</v>
      </c>
      <c r="CN15" s="357">
        <f>SUM(AW15:AZ15)</f>
        <v>1964.8825691260331</v>
      </c>
      <c r="CO15" s="357">
        <f>SUM(BA15:BD15)</f>
        <v>2842.2037479810001</v>
      </c>
      <c r="CP15" s="358">
        <f>SUM(BE15:BH15)</f>
        <v>2850.3928573425474</v>
      </c>
    </row>
    <row r="16" spans="1:95" s="7" customFormat="1" ht="14.25" customHeight="1">
      <c r="A16" s="511"/>
      <c r="B16" s="35" t="s">
        <v>110</v>
      </c>
      <c r="C16" s="240"/>
      <c r="D16" s="149"/>
      <c r="E16" s="87"/>
      <c r="F16" s="87"/>
      <c r="G16" s="88"/>
      <c r="H16" s="149"/>
      <c r="I16" s="87"/>
      <c r="J16" s="87"/>
      <c r="K16" s="88"/>
      <c r="L16" s="149"/>
      <c r="M16" s="87"/>
      <c r="N16" s="87"/>
      <c r="O16" s="88"/>
      <c r="P16" s="149"/>
      <c r="Q16" s="87"/>
      <c r="R16" s="87"/>
      <c r="S16" s="88"/>
      <c r="T16" s="149"/>
      <c r="U16" s="87"/>
      <c r="V16" s="87"/>
      <c r="W16" s="88"/>
      <c r="X16" s="361"/>
      <c r="Y16" s="362"/>
      <c r="Z16" s="87"/>
      <c r="AA16" s="88"/>
      <c r="AB16" s="361"/>
      <c r="AC16" s="362"/>
      <c r="AD16" s="362"/>
      <c r="AE16" s="88"/>
      <c r="AF16" s="361"/>
      <c r="AG16" s="362"/>
      <c r="AH16" s="362"/>
      <c r="AI16" s="88"/>
      <c r="AJ16" s="87"/>
      <c r="AK16" s="87"/>
      <c r="AL16" s="87"/>
      <c r="AM16" s="87">
        <f>AM15/AL15-1</f>
        <v>0.30420383350257474</v>
      </c>
      <c r="AN16" s="945">
        <f t="shared" ref="AN16" si="55">AN15/AM15-1</f>
        <v>5.7918009620615996E-2</v>
      </c>
      <c r="AO16" s="943">
        <f t="shared" ref="AO16" si="56">AO15/AN15-1</f>
        <v>-0.16220448217439454</v>
      </c>
      <c r="AP16" s="943">
        <f t="shared" ref="AP16" si="57">AP15/AO15-1</f>
        <v>0.2591006423982869</v>
      </c>
      <c r="AQ16" s="943">
        <f>AQ15/AP15-1</f>
        <v>0.31484412964111597</v>
      </c>
      <c r="AR16" s="945">
        <f t="shared" ref="AR16:AZ16" si="58">AR15/AQ15-1</f>
        <v>4.5693495012559815E-2</v>
      </c>
      <c r="AS16" s="1143">
        <f t="shared" si="58"/>
        <v>-0.23945797758858933</v>
      </c>
      <c r="AT16" s="1177">
        <f t="shared" si="58"/>
        <v>1.0383880005855328E-2</v>
      </c>
      <c r="AU16" s="1220">
        <f>AU15/AT15-1</f>
        <v>7.1813314830244668E-2</v>
      </c>
      <c r="AV16" s="1237">
        <f t="shared" si="58"/>
        <v>0.29329350734816995</v>
      </c>
      <c r="AW16" s="1229">
        <f t="shared" si="58"/>
        <v>1.8415706934874709E-2</v>
      </c>
      <c r="AX16" s="1308">
        <f t="shared" si="58"/>
        <v>3.4895177702164215E-2</v>
      </c>
      <c r="AY16" s="1395">
        <f>AY15/AX15-1</f>
        <v>-0.12248355582798809</v>
      </c>
      <c r="AZ16" s="1313">
        <f t="shared" si="58"/>
        <v>0.57302218040637776</v>
      </c>
      <c r="BA16" s="1229">
        <f t="shared" ref="BA16:BC16" si="59">BA15/AZ15-1</f>
        <v>0.16497938621887664</v>
      </c>
      <c r="BB16" s="1229">
        <f t="shared" si="59"/>
        <v>-5.6985294117647078E-2</v>
      </c>
      <c r="BC16" s="1230">
        <f t="shared" si="59"/>
        <v>-4.2148148148148268E-2</v>
      </c>
      <c r="BD16" s="1237">
        <f t="shared" ref="BD16" si="60">BD15/BC15-1</f>
        <v>5.5522388059701555E-2</v>
      </c>
      <c r="BE16" s="1229">
        <f t="shared" ref="BE16" si="61">BE15/BD15-1</f>
        <v>-4.301470588235301E-2</v>
      </c>
      <c r="BF16" s="1229">
        <f t="shared" ref="BF16" si="62">BF15/BE15-1</f>
        <v>4.151824817518257E-2</v>
      </c>
      <c r="BG16" s="1230">
        <f t="shared" ref="BG16" si="63">BG15/BF15-1</f>
        <v>8.6625364431485163E-3</v>
      </c>
      <c r="BH16" s="1313">
        <f t="shared" ref="BH16" si="64">BH15/BG15-1</f>
        <v>3.2244008714596983E-2</v>
      </c>
      <c r="BI16" s="1308">
        <f t="shared" ref="BI16" si="65">BI15/BH15-1</f>
        <v>-5.2065217391304208E-2</v>
      </c>
      <c r="BJ16" s="1308">
        <f t="shared" ref="BJ16" si="66">BJ15/BI15-1</f>
        <v>1.4524328249818641E-3</v>
      </c>
      <c r="BK16" s="1395">
        <f t="shared" ref="BK16" si="67">BK15/BJ15-1</f>
        <v>3.6258158085566983E-3</v>
      </c>
      <c r="BL16" s="1391"/>
      <c r="BM16" s="629"/>
      <c r="BN16" s="241"/>
      <c r="BO16" s="241"/>
      <c r="BP16" s="241"/>
      <c r="BQ16" s="1149"/>
      <c r="BR16" s="1149"/>
      <c r="BS16" s="241"/>
      <c r="BT16" s="241"/>
      <c r="BU16" s="629"/>
      <c r="BV16" s="241"/>
      <c r="BW16" s="241"/>
      <c r="BX16" s="241"/>
      <c r="BY16" s="1238"/>
      <c r="BZ16" s="1314"/>
      <c r="CA16" s="1314"/>
      <c r="CB16" s="19"/>
      <c r="CC16" s="629"/>
      <c r="CD16" s="241"/>
      <c r="CE16" s="241"/>
      <c r="CF16" s="241"/>
      <c r="CG16" s="241"/>
      <c r="CH16" s="241"/>
      <c r="CI16" s="629"/>
      <c r="CJ16" s="241"/>
      <c r="CK16" s="1204"/>
      <c r="CL16" s="1199"/>
      <c r="CM16" s="1199"/>
      <c r="CN16" s="1314"/>
      <c r="CO16" s="1314"/>
      <c r="CP16" s="1315"/>
    </row>
    <row r="17" spans="1:95" s="7" customFormat="1" ht="14.25" customHeight="1">
      <c r="A17" s="511"/>
      <c r="B17" s="35" t="s">
        <v>111</v>
      </c>
      <c r="C17" s="240"/>
      <c r="D17" s="149"/>
      <c r="E17" s="87"/>
      <c r="F17" s="87"/>
      <c r="G17" s="88"/>
      <c r="H17" s="149"/>
      <c r="I17" s="87"/>
      <c r="J17" s="362"/>
      <c r="K17" s="365"/>
      <c r="L17" s="361"/>
      <c r="M17" s="362"/>
      <c r="N17" s="362"/>
      <c r="O17" s="365"/>
      <c r="P17" s="361"/>
      <c r="Q17" s="362"/>
      <c r="R17" s="362"/>
      <c r="S17" s="365"/>
      <c r="T17" s="361"/>
      <c r="U17" s="362"/>
      <c r="V17" s="362"/>
      <c r="W17" s="365"/>
      <c r="X17" s="361"/>
      <c r="Y17" s="362"/>
      <c r="Z17" s="362"/>
      <c r="AA17" s="365"/>
      <c r="AB17" s="361"/>
      <c r="AC17" s="362"/>
      <c r="AD17" s="362"/>
      <c r="AE17" s="365"/>
      <c r="AF17" s="361"/>
      <c r="AG17" s="362"/>
      <c r="AH17" s="362"/>
      <c r="AI17" s="88"/>
      <c r="AJ17" s="87"/>
      <c r="AK17" s="87"/>
      <c r="AL17" s="87"/>
      <c r="AM17" s="87"/>
      <c r="AN17" s="149"/>
      <c r="AO17" s="87"/>
      <c r="AP17" s="943"/>
      <c r="AQ17" s="943"/>
      <c r="AR17" s="945"/>
      <c r="AS17" s="1143"/>
      <c r="AT17" s="1177"/>
      <c r="AU17" s="1220"/>
      <c r="AV17" s="1313">
        <f>AU17</f>
        <v>0</v>
      </c>
      <c r="AW17" s="1308">
        <f t="shared" ref="AW17" si="68">AW15/AS15-1</f>
        <v>0.42635537385494215</v>
      </c>
      <c r="AX17" s="1308">
        <f t="shared" ref="AX17" si="69">AX15/AT15-1</f>
        <v>0.46095788670291604</v>
      </c>
      <c r="AY17" s="1309">
        <f t="shared" ref="AY17" si="70">AY15/AU15-1</f>
        <v>0.19611741343934264</v>
      </c>
      <c r="AZ17" s="1313">
        <f>AY17</f>
        <v>0.19611741343934264</v>
      </c>
      <c r="BA17" s="1229">
        <f t="shared" ref="BA17" si="71">BA15/AW15-1</f>
        <v>0.66419692091616267</v>
      </c>
      <c r="BB17" s="1229">
        <f t="shared" ref="BB17" si="72">BB15/AX15-1</f>
        <v>0.51644553353955658</v>
      </c>
      <c r="BC17" s="1230">
        <f t="shared" ref="BC17" si="73">BC15/AY15-1</f>
        <v>0.65527400902883448</v>
      </c>
      <c r="BD17" s="1237">
        <f>BC17</f>
        <v>0.65527400902883448</v>
      </c>
      <c r="BE17" s="1229">
        <f t="shared" ref="BE17" si="74">BE15/BA15-1</f>
        <v>-8.7591080882353012E-2</v>
      </c>
      <c r="BF17" s="1229">
        <f t="shared" ref="BF17" si="75">BF15/BB15-1</f>
        <v>7.7155034074074536E-3</v>
      </c>
      <c r="BG17" s="1230">
        <f t="shared" ref="BG17" si="76">BG15/BC15-1</f>
        <v>6.1171279999999939E-2</v>
      </c>
      <c r="BH17" s="1313">
        <f>BG17</f>
        <v>6.1171279999999939E-2</v>
      </c>
      <c r="BI17" s="1308">
        <f t="shared" ref="BI17" si="77">BI15/BE15-1</f>
        <v>2.7953818540146003E-2</v>
      </c>
      <c r="BJ17" s="1308">
        <f t="shared" ref="BJ17" si="78">BJ15/BF15-1</f>
        <v>-1.1590191326530719E-2</v>
      </c>
      <c r="BK17" s="1395">
        <f t="shared" ref="BK17" si="79">BK15/BG15-1</f>
        <v>-1.6525780682643543E-2</v>
      </c>
      <c r="BL17" s="1391"/>
      <c r="BM17" s="361"/>
      <c r="BN17" s="301"/>
      <c r="BO17" s="301"/>
      <c r="BP17" s="301"/>
      <c r="BQ17" s="301"/>
      <c r="BR17" s="632"/>
      <c r="BS17" s="301"/>
      <c r="BT17" s="301"/>
      <c r="BU17" s="632"/>
      <c r="BV17" s="301">
        <f t="shared" ref="BV17:CA17" si="80">BV15/BU15-1</f>
        <v>1.5626252359742145</v>
      </c>
      <c r="BW17" s="301">
        <f t="shared" si="80"/>
        <v>0.13619018750121992</v>
      </c>
      <c r="BX17" s="301">
        <f t="shared" si="80"/>
        <v>0.26999701251751662</v>
      </c>
      <c r="BY17" s="301">
        <f t="shared" si="80"/>
        <v>0.57079606590172571</v>
      </c>
      <c r="BZ17" s="301">
        <f t="shared" si="80"/>
        <v>1.8888213480933169E-2</v>
      </c>
      <c r="CA17" s="301">
        <f t="shared" si="80"/>
        <v>9.1823290972099514E-3</v>
      </c>
      <c r="CB17" s="19"/>
      <c r="CC17" s="632"/>
      <c r="CD17" s="301"/>
      <c r="CE17" s="301"/>
      <c r="CF17" s="301"/>
      <c r="CG17" s="301"/>
      <c r="CH17" s="301"/>
      <c r="CI17" s="632"/>
      <c r="CJ17" s="301"/>
      <c r="CK17" s="632"/>
      <c r="CL17" s="301"/>
      <c r="CM17" s="301"/>
      <c r="CN17" s="301"/>
      <c r="CO17" s="301"/>
      <c r="CP17" s="367"/>
    </row>
    <row r="18" spans="1:95" s="7" customFormat="1" ht="14.25" customHeight="1">
      <c r="A18" s="511"/>
      <c r="B18" s="35" t="s">
        <v>203</v>
      </c>
      <c r="C18" s="240"/>
      <c r="D18" s="149"/>
      <c r="E18" s="87"/>
      <c r="F18" s="87"/>
      <c r="G18" s="88"/>
      <c r="H18" s="149"/>
      <c r="I18" s="87"/>
      <c r="J18" s="87"/>
      <c r="K18" s="88"/>
      <c r="L18" s="149"/>
      <c r="M18" s="87"/>
      <c r="N18" s="87"/>
      <c r="O18" s="88"/>
      <c r="P18" s="149"/>
      <c r="Q18" s="87"/>
      <c r="R18" s="87"/>
      <c r="S18" s="88"/>
      <c r="T18" s="149"/>
      <c r="U18" s="87"/>
      <c r="V18" s="87"/>
      <c r="W18" s="88"/>
      <c r="X18" s="149"/>
      <c r="Y18" s="87"/>
      <c r="Z18" s="87"/>
      <c r="AA18" s="88"/>
      <c r="AB18" s="149"/>
      <c r="AC18" s="87"/>
      <c r="AD18" s="87"/>
      <c r="AE18" s="88"/>
      <c r="AF18" s="149"/>
      <c r="AG18" s="87"/>
      <c r="AH18" s="87"/>
      <c r="AI18" s="88"/>
      <c r="AJ18" s="241"/>
      <c r="AK18" s="241"/>
      <c r="AL18" s="241">
        <v>0.51249999999999996</v>
      </c>
      <c r="AM18" s="241">
        <f>AM15/AM9</f>
        <v>0.58322981366459625</v>
      </c>
      <c r="AN18" s="629">
        <f>AN15/AN9</f>
        <v>0.58780929390464698</v>
      </c>
      <c r="AO18" s="241">
        <v>0.51249999999999996</v>
      </c>
      <c r="AP18" s="241">
        <v>0.51249999999999996</v>
      </c>
      <c r="AQ18" s="241">
        <f t="shared" ref="AQ18:AV18" si="81">AQ15/AQ9</f>
        <v>0.62007555315704266</v>
      </c>
      <c r="AR18" s="629">
        <f t="shared" si="81"/>
        <v>0.61111111111111105</v>
      </c>
      <c r="AS18" s="1149">
        <f t="shared" si="81"/>
        <v>0.60022459292532282</v>
      </c>
      <c r="AT18" s="1149">
        <f t="shared" si="81"/>
        <v>0.6041557075223567</v>
      </c>
      <c r="AU18" s="1222">
        <f t="shared" si="81"/>
        <v>0.608297153883261</v>
      </c>
      <c r="AV18" s="1253">
        <f t="shared" si="81"/>
        <v>0.62424680645938779</v>
      </c>
      <c r="AW18" s="1314">
        <f t="shared" ref="AW18:AZ18" si="82">AW15/AW9</f>
        <v>0.63127826707926671</v>
      </c>
      <c r="AX18" s="1314">
        <f t="shared" si="82"/>
        <v>0.63286321916274901</v>
      </c>
      <c r="AY18" s="1314">
        <f t="shared" si="82"/>
        <v>0.63283828382838281</v>
      </c>
      <c r="AZ18" s="1319">
        <f t="shared" si="82"/>
        <v>0.6479084599512287</v>
      </c>
      <c r="BA18" s="1308">
        <v>0.68</v>
      </c>
      <c r="BB18" s="1308">
        <v>0.67500000000000004</v>
      </c>
      <c r="BC18" s="1309">
        <v>0.67</v>
      </c>
      <c r="BD18" s="1313">
        <v>0.68</v>
      </c>
      <c r="BE18" s="1308">
        <f>BD18+0.5%</f>
        <v>0.68500000000000005</v>
      </c>
      <c r="BF18" s="1308">
        <f>BE18+0.1%</f>
        <v>0.68600000000000005</v>
      </c>
      <c r="BG18" s="1309">
        <f>BF18+0.25%</f>
        <v>0.6885</v>
      </c>
      <c r="BH18" s="1313">
        <f>BG18+0.15%</f>
        <v>0.69</v>
      </c>
      <c r="BI18" s="1308">
        <f>BH18-0.15%</f>
        <v>0.6885</v>
      </c>
      <c r="BJ18" s="1308">
        <f>BI18+0.1%</f>
        <v>0.6895</v>
      </c>
      <c r="BK18" s="1395">
        <f>BJ18+0.25%</f>
        <v>0.69199999999999995</v>
      </c>
      <c r="BL18" s="1448"/>
      <c r="BM18" s="632"/>
      <c r="BN18" s="301"/>
      <c r="BO18" s="301"/>
      <c r="BP18" s="301"/>
      <c r="BQ18" s="301"/>
      <c r="BR18" s="632"/>
      <c r="BS18" s="301"/>
      <c r="BT18" s="301"/>
      <c r="BU18" s="632">
        <f t="shared" ref="BU18:BZ18" si="83">BU15/BU9</f>
        <v>0.5502715152557186</v>
      </c>
      <c r="BV18" s="301">
        <f t="shared" si="83"/>
        <v>0.56082160335092135</v>
      </c>
      <c r="BW18" s="301">
        <f t="shared" si="83"/>
        <v>0.6063273704984371</v>
      </c>
      <c r="BX18" s="301">
        <f t="shared" si="83"/>
        <v>0.63027787691359505</v>
      </c>
      <c r="BY18" s="301">
        <f t="shared" si="83"/>
        <v>0.66863249317207329</v>
      </c>
      <c r="BZ18" s="301">
        <f t="shared" si="83"/>
        <v>0.68486346522714669</v>
      </c>
      <c r="CA18" s="301">
        <f t="shared" ref="CA18" si="84">CA15/CA9</f>
        <v>0.69000000000000006</v>
      </c>
      <c r="CB18" s="19"/>
      <c r="CC18" s="632"/>
      <c r="CD18" s="301"/>
      <c r="CE18" s="301"/>
      <c r="CF18" s="301"/>
      <c r="CG18" s="301"/>
      <c r="CH18" s="301"/>
      <c r="CI18" s="632"/>
      <c r="CJ18" s="301"/>
      <c r="CK18" s="632">
        <f t="shared" ref="CK18:CP18" si="85">CK15/CK9</f>
        <v>0.56375515193227377</v>
      </c>
      <c r="CL18" s="301">
        <f t="shared" si="85"/>
        <v>0.56966657327178905</v>
      </c>
      <c r="CM18" s="301">
        <f t="shared" si="85"/>
        <v>0.61039015717472977</v>
      </c>
      <c r="CN18" s="301">
        <f t="shared" si="85"/>
        <v>0.6373281119448696</v>
      </c>
      <c r="CO18" s="301">
        <f t="shared" si="85"/>
        <v>0.67635683752293752</v>
      </c>
      <c r="CP18" s="367">
        <f t="shared" si="85"/>
        <v>0.68742229001411903</v>
      </c>
    </row>
    <row r="19" spans="1:95" s="7" customFormat="1" ht="14.25" customHeight="1">
      <c r="A19" s="511"/>
      <c r="B19" s="374"/>
      <c r="C19" s="266"/>
      <c r="D19" s="375"/>
      <c r="E19" s="242"/>
      <c r="F19" s="242"/>
      <c r="G19" s="243"/>
      <c r="H19" s="375"/>
      <c r="I19" s="242"/>
      <c r="J19" s="242"/>
      <c r="K19" s="243"/>
      <c r="L19" s="375"/>
      <c r="M19" s="242"/>
      <c r="N19" s="242"/>
      <c r="O19" s="243"/>
      <c r="P19" s="375"/>
      <c r="Q19" s="242"/>
      <c r="R19" s="242"/>
      <c r="S19" s="243"/>
      <c r="T19" s="375"/>
      <c r="U19" s="242"/>
      <c r="V19" s="242"/>
      <c r="W19" s="243"/>
      <c r="X19" s="375"/>
      <c r="Y19" s="242"/>
      <c r="Z19" s="242"/>
      <c r="AA19" s="243"/>
      <c r="AB19" s="375"/>
      <c r="AC19" s="242"/>
      <c r="AD19" s="242"/>
      <c r="AE19" s="243"/>
      <c r="AF19" s="375"/>
      <c r="AG19" s="242"/>
      <c r="AH19" s="242"/>
      <c r="AI19" s="61"/>
      <c r="AJ19" s="66"/>
      <c r="AK19" s="66"/>
      <c r="AL19" s="66"/>
      <c r="AM19" s="66"/>
      <c r="AN19" s="60"/>
      <c r="AO19" s="66"/>
      <c r="AP19" s="66"/>
      <c r="AQ19" s="66"/>
      <c r="AR19" s="60"/>
      <c r="AS19" s="66"/>
      <c r="AT19" s="66"/>
      <c r="AU19" s="66"/>
      <c r="AV19" s="60"/>
      <c r="AW19" s="66"/>
      <c r="AX19" s="66"/>
      <c r="AY19" s="61"/>
      <c r="AZ19" s="60"/>
      <c r="BA19" s="66"/>
      <c r="BB19" s="66"/>
      <c r="BC19" s="61"/>
      <c r="BD19" s="60"/>
      <c r="BE19" s="66"/>
      <c r="BF19" s="66"/>
      <c r="BG19" s="61"/>
      <c r="BH19" s="60"/>
      <c r="BI19" s="66"/>
      <c r="BJ19" s="66"/>
      <c r="BK19" s="61"/>
      <c r="BL19" s="1391"/>
      <c r="BM19" s="14"/>
      <c r="BN19" s="223"/>
      <c r="BO19" s="223"/>
      <c r="BP19" s="223"/>
      <c r="BQ19" s="223"/>
      <c r="BR19" s="14"/>
      <c r="BS19" s="223"/>
      <c r="BT19" s="223"/>
      <c r="BU19" s="14"/>
      <c r="BV19" s="223"/>
      <c r="BW19" s="223"/>
      <c r="BX19" s="223"/>
      <c r="BY19" s="223"/>
      <c r="BZ19" s="223"/>
      <c r="CA19" s="223"/>
      <c r="CB19" s="19"/>
      <c r="CC19" s="14"/>
      <c r="CD19" s="223"/>
      <c r="CE19" s="223"/>
      <c r="CF19" s="223"/>
      <c r="CG19" s="223"/>
      <c r="CH19" s="223"/>
      <c r="CI19" s="14"/>
      <c r="CJ19" s="223"/>
      <c r="CK19" s="14"/>
      <c r="CL19" s="223"/>
      <c r="CM19" s="223"/>
      <c r="CN19" s="223"/>
      <c r="CO19" s="223"/>
      <c r="CP19" s="15"/>
    </row>
    <row r="20" spans="1:95" s="100" customFormat="1" ht="14.25" customHeight="1">
      <c r="A20" s="510"/>
      <c r="B20" s="346" t="str">
        <f>$B$154&amp;" Revenue"</f>
        <v>Wireless communications Revenue</v>
      </c>
      <c r="C20" s="347"/>
      <c r="D20" s="349"/>
      <c r="E20" s="349"/>
      <c r="F20" s="349"/>
      <c r="G20" s="350"/>
      <c r="H20" s="349"/>
      <c r="I20" s="349"/>
      <c r="J20" s="349"/>
      <c r="K20" s="350"/>
      <c r="L20" s="349">
        <f t="shared" ref="L20:AH20" si="86">L$154</f>
        <v>112.56000000000002</v>
      </c>
      <c r="M20" s="349">
        <f t="shared" si="86"/>
        <v>119.19</v>
      </c>
      <c r="N20" s="349">
        <f t="shared" si="86"/>
        <v>136.09</v>
      </c>
      <c r="O20" s="350">
        <f t="shared" si="86"/>
        <v>151.98000000000002</v>
      </c>
      <c r="P20" s="349">
        <f t="shared" si="86"/>
        <v>124</v>
      </c>
      <c r="Q20" s="349">
        <f t="shared" si="86"/>
        <v>141</v>
      </c>
      <c r="R20" s="349">
        <f t="shared" si="86"/>
        <v>168</v>
      </c>
      <c r="S20" s="350">
        <f t="shared" si="86"/>
        <v>189</v>
      </c>
      <c r="T20" s="349">
        <f t="shared" si="86"/>
        <v>173</v>
      </c>
      <c r="U20" s="349">
        <f t="shared" si="86"/>
        <v>197</v>
      </c>
      <c r="V20" s="349">
        <f t="shared" si="86"/>
        <v>207</v>
      </c>
      <c r="W20" s="350">
        <f t="shared" si="86"/>
        <v>219</v>
      </c>
      <c r="X20" s="349">
        <f t="shared" si="86"/>
        <v>202</v>
      </c>
      <c r="Y20" s="349">
        <f t="shared" si="86"/>
        <v>203</v>
      </c>
      <c r="Z20" s="349">
        <f t="shared" si="86"/>
        <v>223</v>
      </c>
      <c r="AA20" s="350">
        <f t="shared" si="86"/>
        <v>259</v>
      </c>
      <c r="AB20" s="349">
        <f t="shared" si="86"/>
        <v>254</v>
      </c>
      <c r="AC20" s="349">
        <f t="shared" si="86"/>
        <v>255</v>
      </c>
      <c r="AD20" s="349">
        <f t="shared" si="86"/>
        <v>241</v>
      </c>
      <c r="AE20" s="350">
        <f t="shared" si="86"/>
        <v>314</v>
      </c>
      <c r="AF20" s="349">
        <f t="shared" si="86"/>
        <v>308</v>
      </c>
      <c r="AG20" s="349">
        <f t="shared" si="86"/>
        <v>279</v>
      </c>
      <c r="AH20" s="349">
        <f t="shared" si="86"/>
        <v>288</v>
      </c>
      <c r="AI20" s="350">
        <f>AI$154</f>
        <v>346.86</v>
      </c>
      <c r="AJ20" s="955">
        <f>AJ$154</f>
        <v>349</v>
      </c>
      <c r="AK20" s="955">
        <f>AK$154</f>
        <v>350.5</v>
      </c>
      <c r="AL20" s="955">
        <v>364</v>
      </c>
      <c r="AM20" s="955">
        <v>628</v>
      </c>
      <c r="AN20" s="956">
        <v>664</v>
      </c>
      <c r="AO20" s="955">
        <v>576</v>
      </c>
      <c r="AP20" s="955">
        <v>616</v>
      </c>
      <c r="AQ20" s="955">
        <v>680</v>
      </c>
      <c r="AR20" s="956">
        <v>578</v>
      </c>
      <c r="AS20" s="955">
        <v>792</v>
      </c>
      <c r="AT20" s="955">
        <v>1008</v>
      </c>
      <c r="AU20" s="955">
        <v>1346</v>
      </c>
      <c r="AV20" s="956">
        <v>1175</v>
      </c>
      <c r="AW20" s="955">
        <v>1150</v>
      </c>
      <c r="AX20" s="955">
        <v>1283</v>
      </c>
      <c r="AY20" s="955">
        <v>1796</v>
      </c>
      <c r="AZ20" s="956">
        <v>2210</v>
      </c>
      <c r="BA20" s="352">
        <f t="shared" ref="BA20:BB20" si="87">AZ20*(1+BA21)</f>
        <v>1436.5</v>
      </c>
      <c r="BB20" s="352">
        <f t="shared" si="87"/>
        <v>1580.15</v>
      </c>
      <c r="BC20" s="351">
        <f t="shared" ref="BC20" si="88">BB20*(1+BC21)</f>
        <v>1911.9815000000001</v>
      </c>
      <c r="BD20" s="373">
        <f t="shared" ref="BD20" si="89">BC20*(1+BD21)</f>
        <v>1816.382425</v>
      </c>
      <c r="BE20" s="352">
        <f t="shared" ref="BE20" si="90">BD20*(1+BE21)</f>
        <v>1634.7441825000001</v>
      </c>
      <c r="BF20" s="352">
        <f t="shared" ref="BF20" si="91">BE20*(1+BF21)</f>
        <v>1879.9558098749999</v>
      </c>
      <c r="BG20" s="353">
        <f t="shared" ref="BG20" si="92">BF20*(1+BG21)</f>
        <v>2481.5416690349998</v>
      </c>
      <c r="BH20" s="373">
        <f t="shared" ref="BH20" si="93">BG20*(1+BH21)</f>
        <v>2233.3875021314998</v>
      </c>
      <c r="BI20" s="352">
        <f t="shared" ref="BI20" si="94">BH20*(1+BI21)</f>
        <v>1898.3793768117748</v>
      </c>
      <c r="BJ20" s="352">
        <f t="shared" ref="BJ20" si="95">BI20*(1+BJ21)</f>
        <v>2050.249726956717</v>
      </c>
      <c r="BK20" s="1449">
        <f t="shared" ref="BK20" si="96">BJ20*(1+BK21)</f>
        <v>2419.2946778089258</v>
      </c>
      <c r="BL20" s="1445"/>
      <c r="BM20" s="357"/>
      <c r="BN20" s="357"/>
      <c r="BO20" s="357">
        <f>SUM(L20:O20)</f>
        <v>519.82000000000005</v>
      </c>
      <c r="BP20" s="357">
        <f>SUM(P20:S20)</f>
        <v>622</v>
      </c>
      <c r="BQ20" s="357">
        <f>SUM(T20:W20)</f>
        <v>796</v>
      </c>
      <c r="BR20" s="360">
        <f>SUM(X20:AA20)</f>
        <v>887</v>
      </c>
      <c r="BS20" s="357">
        <f>SUM(AB20:AE20)</f>
        <v>1064</v>
      </c>
      <c r="BT20" s="357">
        <f>SUM(AF20:AI20)</f>
        <v>1221.8600000000001</v>
      </c>
      <c r="BU20" s="360">
        <f>SUM(AJ20:AM20)</f>
        <v>1691.5</v>
      </c>
      <c r="BV20" s="357">
        <f>SUM(AN20:AQ20)</f>
        <v>2536</v>
      </c>
      <c r="BW20" s="357">
        <f>SUM(AR20:AU20)</f>
        <v>3724</v>
      </c>
      <c r="BX20" s="357">
        <f>SUM(AV20:AY20)</f>
        <v>5404</v>
      </c>
      <c r="BY20" s="357">
        <f>SUM(AZ20:BC20)</f>
        <v>7138.6314999999995</v>
      </c>
      <c r="BZ20" s="357">
        <f>SUM(BD20:BG20)</f>
        <v>7812.62408641</v>
      </c>
      <c r="CA20" s="357">
        <f>SUM(BH20:BK20)</f>
        <v>8601.3112837089175</v>
      </c>
      <c r="CB20" s="1438"/>
      <c r="CC20" s="360"/>
      <c r="CD20" s="357">
        <f>SUM(I20:L20)</f>
        <v>112.56000000000002</v>
      </c>
      <c r="CE20" s="357">
        <f>SUM(M20:P20)</f>
        <v>531.26</v>
      </c>
      <c r="CF20" s="357">
        <f>SUM(Q20:T20)</f>
        <v>671</v>
      </c>
      <c r="CG20" s="357">
        <f>SUM(U20:X20)</f>
        <v>825</v>
      </c>
      <c r="CH20" s="357">
        <f>SUM(Y20:AB20)</f>
        <v>939</v>
      </c>
      <c r="CI20" s="360">
        <f>SUM(AC20:AF20)</f>
        <v>1118</v>
      </c>
      <c r="CJ20" s="357">
        <f>SUM(AG20:AJ20)</f>
        <v>1262.8600000000001</v>
      </c>
      <c r="CK20" s="360">
        <f>SUM(AK20:AN20)</f>
        <v>2006.5</v>
      </c>
      <c r="CL20" s="357">
        <f>SUM(AO20:AR20)</f>
        <v>2450</v>
      </c>
      <c r="CM20" s="357">
        <f>SUM(AS20:AV20)</f>
        <v>4321</v>
      </c>
      <c r="CN20" s="357">
        <f>SUM(AW20:AZ20)</f>
        <v>6439</v>
      </c>
      <c r="CO20" s="357">
        <f>SUM(BA20:BD20)</f>
        <v>6745.0139250000002</v>
      </c>
      <c r="CP20" s="358">
        <f>SUM(BE20:BH20)</f>
        <v>8229.6291635415</v>
      </c>
      <c r="CQ20" s="1287">
        <f>(CO20/CM20)^(1/2)-1</f>
        <v>0.2493936437219948</v>
      </c>
    </row>
    <row r="21" spans="1:95" s="7" customFormat="1" ht="14.25" customHeight="1">
      <c r="A21" s="511"/>
      <c r="B21" s="35" t="s">
        <v>110</v>
      </c>
      <c r="C21" s="240"/>
      <c r="D21" s="149"/>
      <c r="E21" s="87"/>
      <c r="F21" s="87"/>
      <c r="G21" s="88"/>
      <c r="H21" s="149"/>
      <c r="I21" s="87"/>
      <c r="J21" s="87"/>
      <c r="K21" s="88"/>
      <c r="L21" s="149"/>
      <c r="M21" s="87">
        <f t="shared" ref="M21:AZ21" si="97">M20/L20-1</f>
        <v>5.890191897654562E-2</v>
      </c>
      <c r="N21" s="87">
        <f t="shared" si="97"/>
        <v>0.14179041865928355</v>
      </c>
      <c r="O21" s="88">
        <f t="shared" si="97"/>
        <v>0.11676096700712768</v>
      </c>
      <c r="P21" s="149">
        <f t="shared" si="97"/>
        <v>-0.18410317146993038</v>
      </c>
      <c r="Q21" s="87">
        <f t="shared" si="97"/>
        <v>0.13709677419354849</v>
      </c>
      <c r="R21" s="87">
        <f t="shared" si="97"/>
        <v>0.1914893617021276</v>
      </c>
      <c r="S21" s="88">
        <f t="shared" si="97"/>
        <v>0.125</v>
      </c>
      <c r="T21" s="149">
        <f t="shared" si="97"/>
        <v>-8.4656084656084651E-2</v>
      </c>
      <c r="U21" s="87">
        <f t="shared" si="97"/>
        <v>0.1387283236994219</v>
      </c>
      <c r="V21" s="87">
        <f t="shared" si="97"/>
        <v>5.0761421319796884E-2</v>
      </c>
      <c r="W21" s="88">
        <f t="shared" si="97"/>
        <v>5.7971014492753659E-2</v>
      </c>
      <c r="X21" s="361">
        <f t="shared" si="97"/>
        <v>-7.7625570776255759E-2</v>
      </c>
      <c r="Y21" s="362">
        <f t="shared" si="97"/>
        <v>4.9504950495049549E-3</v>
      </c>
      <c r="Z21" s="87">
        <f t="shared" si="97"/>
        <v>9.8522167487684831E-2</v>
      </c>
      <c r="AA21" s="88">
        <f t="shared" si="97"/>
        <v>0.16143497757847536</v>
      </c>
      <c r="AB21" s="361">
        <f t="shared" si="97"/>
        <v>-1.9305019305019266E-2</v>
      </c>
      <c r="AC21" s="362">
        <f t="shared" si="97"/>
        <v>3.937007874015741E-3</v>
      </c>
      <c r="AD21" s="362">
        <f t="shared" si="97"/>
        <v>-5.4901960784313752E-2</v>
      </c>
      <c r="AE21" s="88">
        <f t="shared" si="97"/>
        <v>0.30290456431535273</v>
      </c>
      <c r="AF21" s="361">
        <f t="shared" si="97"/>
        <v>-1.9108280254777066E-2</v>
      </c>
      <c r="AG21" s="362">
        <f t="shared" si="97"/>
        <v>-9.4155844155844104E-2</v>
      </c>
      <c r="AH21" s="362">
        <f t="shared" si="97"/>
        <v>3.2258064516129004E-2</v>
      </c>
      <c r="AI21" s="88">
        <f t="shared" si="97"/>
        <v>0.20437499999999997</v>
      </c>
      <c r="AJ21" s="362">
        <f t="shared" si="97"/>
        <v>6.1696361644467679E-3</v>
      </c>
      <c r="AK21" s="362">
        <f t="shared" si="97"/>
        <v>4.2979942693410766E-3</v>
      </c>
      <c r="AL21" s="362">
        <f t="shared" si="97"/>
        <v>3.8516405135520682E-2</v>
      </c>
      <c r="AM21" s="362">
        <f t="shared" si="97"/>
        <v>0.72527472527472536</v>
      </c>
      <c r="AN21" s="361">
        <f t="shared" si="97"/>
        <v>5.7324840764331197E-2</v>
      </c>
      <c r="AO21" s="362">
        <f t="shared" si="97"/>
        <v>-0.13253012048192769</v>
      </c>
      <c r="AP21" s="362">
        <f t="shared" si="97"/>
        <v>6.944444444444442E-2</v>
      </c>
      <c r="AQ21" s="362">
        <f t="shared" si="97"/>
        <v>0.10389610389610393</v>
      </c>
      <c r="AR21" s="361">
        <f t="shared" si="97"/>
        <v>-0.15000000000000002</v>
      </c>
      <c r="AS21" s="362">
        <f t="shared" si="97"/>
        <v>0.37024221453287187</v>
      </c>
      <c r="AT21" s="362">
        <f t="shared" si="97"/>
        <v>0.27272727272727271</v>
      </c>
      <c r="AU21" s="362">
        <f t="shared" si="97"/>
        <v>0.33531746031746024</v>
      </c>
      <c r="AV21" s="361">
        <f t="shared" si="97"/>
        <v>-0.12704309063893016</v>
      </c>
      <c r="AW21" s="362">
        <f t="shared" si="97"/>
        <v>-2.1276595744680882E-2</v>
      </c>
      <c r="AX21" s="362">
        <f t="shared" si="97"/>
        <v>0.11565217391304339</v>
      </c>
      <c r="AY21" s="362">
        <f t="shared" si="97"/>
        <v>0.39984411535463749</v>
      </c>
      <c r="AZ21" s="361">
        <f t="shared" si="97"/>
        <v>0.23051224944320703</v>
      </c>
      <c r="BA21" s="362">
        <v>-0.35</v>
      </c>
      <c r="BB21" s="1308">
        <v>0.1</v>
      </c>
      <c r="BC21" s="1230">
        <v>0.21</v>
      </c>
      <c r="BD21" s="1313">
        <v>-0.05</v>
      </c>
      <c r="BE21" s="1308">
        <v>-0.1</v>
      </c>
      <c r="BF21" s="1308">
        <v>0.15</v>
      </c>
      <c r="BG21" s="1395">
        <v>0.32</v>
      </c>
      <c r="BH21" s="1313">
        <v>-0.1</v>
      </c>
      <c r="BI21" s="1308">
        <v>-0.15</v>
      </c>
      <c r="BJ21" s="1308">
        <v>0.08</v>
      </c>
      <c r="BK21" s="1395">
        <v>0.18</v>
      </c>
      <c r="BL21" s="1391"/>
      <c r="BM21" s="241"/>
      <c r="BN21" s="241"/>
      <c r="BO21" s="241"/>
      <c r="BP21" s="241"/>
      <c r="BQ21" s="241"/>
      <c r="BR21" s="629"/>
      <c r="BS21" s="748"/>
      <c r="BT21" s="241"/>
      <c r="BU21" s="629"/>
      <c r="BV21" s="241"/>
      <c r="BW21" s="241"/>
      <c r="BX21" s="241"/>
      <c r="BY21" s="1238"/>
      <c r="BZ21" s="1314"/>
      <c r="CA21" s="1314"/>
      <c r="CB21" s="19"/>
      <c r="CC21" s="629"/>
      <c r="CD21" s="241"/>
      <c r="CE21" s="241"/>
      <c r="CF21" s="241"/>
      <c r="CG21" s="241"/>
      <c r="CH21" s="241"/>
      <c r="CI21" s="629"/>
      <c r="CJ21" s="241"/>
      <c r="CK21" s="1204"/>
      <c r="CL21" s="1199"/>
      <c r="CM21" s="1199"/>
      <c r="CN21" s="1314"/>
      <c r="CO21" s="1314"/>
      <c r="CP21" s="1315"/>
    </row>
    <row r="22" spans="1:95" s="7" customFormat="1" ht="14.25" customHeight="1">
      <c r="A22" s="511"/>
      <c r="B22" s="35" t="s">
        <v>202</v>
      </c>
      <c r="C22" s="240"/>
      <c r="D22" s="149"/>
      <c r="E22" s="87"/>
      <c r="F22" s="87"/>
      <c r="G22" s="88"/>
      <c r="H22" s="149"/>
      <c r="I22" s="87"/>
      <c r="J22" s="87"/>
      <c r="K22" s="88"/>
      <c r="L22" s="149"/>
      <c r="M22" s="87"/>
      <c r="N22" s="87"/>
      <c r="O22" s="88"/>
      <c r="P22" s="149"/>
      <c r="Q22" s="87"/>
      <c r="R22" s="87"/>
      <c r="S22" s="88"/>
      <c r="T22" s="149"/>
      <c r="U22" s="87"/>
      <c r="V22" s="87"/>
      <c r="W22" s="88"/>
      <c r="X22" s="87"/>
      <c r="Y22" s="87"/>
      <c r="Z22" s="87"/>
      <c r="AA22" s="88"/>
      <c r="AB22" s="87">
        <f t="shared" ref="AB22:AZ22" si="98">AVERAGE(X21,T21,P21,L21,H21)</f>
        <v>-0.11546160896742359</v>
      </c>
      <c r="AC22" s="87">
        <f t="shared" si="98"/>
        <v>8.4919377979755239E-2</v>
      </c>
      <c r="AD22" s="87">
        <f t="shared" si="98"/>
        <v>0.12064084229222322</v>
      </c>
      <c r="AE22" s="88">
        <f t="shared" si="98"/>
        <v>0.11529173976958917</v>
      </c>
      <c r="AF22" s="87">
        <f t="shared" si="98"/>
        <v>-9.1422461551822515E-2</v>
      </c>
      <c r="AG22" s="87">
        <f t="shared" si="98"/>
        <v>6.8722903958607334E-2</v>
      </c>
      <c r="AH22" s="241">
        <f t="shared" si="98"/>
        <v>8.5532281676915817E-2</v>
      </c>
      <c r="AI22" s="88">
        <f t="shared" si="98"/>
        <v>0.15281430467874188</v>
      </c>
      <c r="AJ22" s="241">
        <f t="shared" si="98"/>
        <v>-7.6959625292413431E-2</v>
      </c>
      <c r="AK22" s="241">
        <f t="shared" si="98"/>
        <v>3.8111351332129395E-2</v>
      </c>
      <c r="AL22" s="241">
        <f t="shared" si="98"/>
        <v>6.3625810848284919E-2</v>
      </c>
      <c r="AM22" s="241">
        <f t="shared" si="98"/>
        <v>0.17033711127731635</v>
      </c>
      <c r="AN22" s="629">
        <f t="shared" si="98"/>
        <v>-3.8905063765537998E-2</v>
      </c>
      <c r="AO22" s="241">
        <f t="shared" si="98"/>
        <v>1.1551595347287913E-2</v>
      </c>
      <c r="AP22" s="241">
        <f t="shared" si="98"/>
        <v>3.3031219534963532E-2</v>
      </c>
      <c r="AQ22" s="241">
        <f t="shared" si="98"/>
        <v>0.29039205633226139</v>
      </c>
      <c r="AR22" s="629">
        <f t="shared" si="98"/>
        <v>-1.0508878681454826E-2</v>
      </c>
      <c r="AS22" s="241">
        <f t="shared" si="98"/>
        <v>-4.2700093488982002E-2</v>
      </c>
      <c r="AT22" s="1149">
        <f t="shared" si="98"/>
        <v>3.6767824159893034E-2</v>
      </c>
      <c r="AU22" s="1222">
        <f t="shared" si="98"/>
        <v>0.29957707421293145</v>
      </c>
      <c r="AV22" s="1253">
        <f t="shared" si="98"/>
        <v>-2.4983764526203676E-2</v>
      </c>
      <c r="AW22" s="1238">
        <f t="shared" si="98"/>
        <v>3.0358250407691377E-2</v>
      </c>
      <c r="AX22" s="1314">
        <f t="shared" si="98"/>
        <v>7.1608845207810606E-2</v>
      </c>
      <c r="AY22" s="1314">
        <f t="shared" si="98"/>
        <v>0.33435357076072847</v>
      </c>
      <c r="AZ22" s="1319">
        <f t="shared" si="98"/>
        <v>-4.6531378792985856E-2</v>
      </c>
      <c r="BA22" s="1229">
        <f t="shared" ref="BA22:BC22" si="99">AVERAGE(AW21,AS21,AO21,AK21,AG21)</f>
        <v>2.5315529683952055E-2</v>
      </c>
      <c r="BB22" s="1229">
        <f t="shared" si="99"/>
        <v>0.10571967214728203</v>
      </c>
      <c r="BC22" s="1230">
        <f t="shared" si="99"/>
        <v>0.35374148096858538</v>
      </c>
      <c r="BD22" s="1237">
        <f t="shared" ref="BD22" si="100">AVERAGE(AZ21,AV21,AR21,AN21,AJ21)</f>
        <v>3.3927271466109633E-3</v>
      </c>
      <c r="BE22" s="1229">
        <f t="shared" ref="BE22" si="101">AVERAGE(BA21,AW21,AS21,AO21,AK21)</f>
        <v>-2.5853301484879122E-2</v>
      </c>
      <c r="BF22" s="1229">
        <f t="shared" ref="BF22" si="102">AVERAGE(BB21,AX21,AT21,AP21,AL21)</f>
        <v>0.11926805924405623</v>
      </c>
      <c r="BG22" s="1395">
        <f t="shared" ref="BG22" si="103">AVERAGE(BC21,AY21,AU21,AQ21,AM21)</f>
        <v>0.35486648096858542</v>
      </c>
      <c r="BH22" s="1313">
        <f t="shared" ref="BH22" si="104">AVERAGE(BD21,AZ21,AV21,AR21,AN21)</f>
        <v>-7.8412000862783885E-3</v>
      </c>
      <c r="BI22" s="1308">
        <f t="shared" ref="BI22" si="105">AVERAGE(BE21,BA21,AW21,AS21,AO21)</f>
        <v>-4.671290033874733E-2</v>
      </c>
      <c r="BJ22" s="1308">
        <f t="shared" ref="BJ22" si="106">AVERAGE(BF21,BB21,AX21,AT21,AP21)</f>
        <v>0.1415647782169521</v>
      </c>
      <c r="BK22" s="1395">
        <f t="shared" ref="BK22" si="107">AVERAGE(BG21,BC21,AY21,AU21,AQ21)</f>
        <v>0.27381153591364032</v>
      </c>
      <c r="BL22" s="1391"/>
      <c r="BM22" s="241"/>
      <c r="BN22" s="241"/>
      <c r="BO22" s="241"/>
      <c r="BP22" s="241"/>
      <c r="BQ22" s="241"/>
      <c r="BR22" s="629"/>
      <c r="BS22" s="241"/>
      <c r="BT22" s="241"/>
      <c r="BU22" s="629"/>
      <c r="BV22" s="241"/>
      <c r="BW22" s="241"/>
      <c r="BX22" s="241"/>
      <c r="BY22" s="1238"/>
      <c r="BZ22" s="1314"/>
      <c r="CA22" s="1314"/>
      <c r="CB22" s="19"/>
      <c r="CC22" s="629"/>
      <c r="CD22" s="241"/>
      <c r="CE22" s="241"/>
      <c r="CF22" s="241"/>
      <c r="CG22" s="241"/>
      <c r="CH22" s="241"/>
      <c r="CI22" s="629"/>
      <c r="CJ22" s="241"/>
      <c r="CK22" s="1204"/>
      <c r="CL22" s="1199"/>
      <c r="CM22" s="1199"/>
      <c r="CN22" s="1314"/>
      <c r="CO22" s="1314"/>
      <c r="CP22" s="1315"/>
    </row>
    <row r="23" spans="1:95" s="369" customFormat="1" ht="14.25" customHeight="1">
      <c r="A23" s="512"/>
      <c r="B23" s="363" t="s">
        <v>111</v>
      </c>
      <c r="C23" s="364"/>
      <c r="D23" s="361"/>
      <c r="E23" s="362"/>
      <c r="F23" s="362"/>
      <c r="G23" s="365"/>
      <c r="H23" s="361"/>
      <c r="I23" s="362"/>
      <c r="J23" s="362"/>
      <c r="K23" s="365"/>
      <c r="L23" s="361"/>
      <c r="M23" s="362"/>
      <c r="N23" s="362"/>
      <c r="O23" s="365"/>
      <c r="P23" s="361">
        <f t="shared" ref="P23:AZ23" si="108">P20/L20-1</f>
        <v>0.1016346837242359</v>
      </c>
      <c r="Q23" s="362">
        <f t="shared" si="108"/>
        <v>0.18298514976088609</v>
      </c>
      <c r="R23" s="362">
        <f t="shared" si="108"/>
        <v>0.23447718421632735</v>
      </c>
      <c r="S23" s="365">
        <f t="shared" si="108"/>
        <v>0.2435846821950256</v>
      </c>
      <c r="T23" s="361">
        <f t="shared" si="108"/>
        <v>0.39516129032258074</v>
      </c>
      <c r="U23" s="362">
        <f t="shared" si="108"/>
        <v>0.39716312056737579</v>
      </c>
      <c r="V23" s="362">
        <f t="shared" si="108"/>
        <v>0.23214285714285721</v>
      </c>
      <c r="W23" s="365">
        <f t="shared" si="108"/>
        <v>0.15873015873015883</v>
      </c>
      <c r="X23" s="361">
        <f t="shared" si="108"/>
        <v>0.16763005780346818</v>
      </c>
      <c r="Y23" s="362">
        <f t="shared" si="108"/>
        <v>3.0456852791878264E-2</v>
      </c>
      <c r="Z23" s="362">
        <f t="shared" si="108"/>
        <v>7.7294685990338063E-2</v>
      </c>
      <c r="AA23" s="365">
        <f t="shared" si="108"/>
        <v>0.18264840182648401</v>
      </c>
      <c r="AB23" s="361">
        <f t="shared" si="108"/>
        <v>0.25742574257425743</v>
      </c>
      <c r="AC23" s="362">
        <f t="shared" si="108"/>
        <v>0.2561576354679802</v>
      </c>
      <c r="AD23" s="362">
        <f t="shared" si="108"/>
        <v>8.0717488789237679E-2</v>
      </c>
      <c r="AE23" s="365">
        <f t="shared" si="108"/>
        <v>0.21235521235521237</v>
      </c>
      <c r="AF23" s="361">
        <f t="shared" si="108"/>
        <v>0.21259842519685046</v>
      </c>
      <c r="AG23" s="362">
        <f t="shared" si="108"/>
        <v>9.4117647058823639E-2</v>
      </c>
      <c r="AH23" s="362">
        <f t="shared" si="108"/>
        <v>0.19502074688796678</v>
      </c>
      <c r="AI23" s="365">
        <f t="shared" si="108"/>
        <v>0.10464968152866239</v>
      </c>
      <c r="AJ23" s="362">
        <f t="shared" si="108"/>
        <v>0.13311688311688319</v>
      </c>
      <c r="AK23" s="362">
        <f t="shared" si="108"/>
        <v>0.25627240143369168</v>
      </c>
      <c r="AL23" s="362">
        <f t="shared" si="108"/>
        <v>0.26388888888888884</v>
      </c>
      <c r="AM23" s="362">
        <f t="shared" si="108"/>
        <v>0.81052874358530813</v>
      </c>
      <c r="AN23" s="361">
        <f t="shared" si="108"/>
        <v>0.90257879656160456</v>
      </c>
      <c r="AO23" s="362">
        <f t="shared" si="108"/>
        <v>0.64336661911554915</v>
      </c>
      <c r="AP23" s="362">
        <f t="shared" si="108"/>
        <v>0.69230769230769229</v>
      </c>
      <c r="AQ23" s="362">
        <f t="shared" si="108"/>
        <v>8.2802547770700619E-2</v>
      </c>
      <c r="AR23" s="361">
        <f t="shared" si="108"/>
        <v>-0.12951807228915657</v>
      </c>
      <c r="AS23" s="362">
        <f t="shared" si="108"/>
        <v>0.375</v>
      </c>
      <c r="AT23" s="362">
        <f t="shared" si="108"/>
        <v>0.63636363636363646</v>
      </c>
      <c r="AU23" s="362">
        <f t="shared" si="108"/>
        <v>0.97941176470588243</v>
      </c>
      <c r="AV23" s="361">
        <f t="shared" si="108"/>
        <v>1.0328719723183393</v>
      </c>
      <c r="AW23" s="362">
        <f t="shared" si="108"/>
        <v>0.45202020202020199</v>
      </c>
      <c r="AX23" s="362">
        <f t="shared" si="108"/>
        <v>0.27281746031746024</v>
      </c>
      <c r="AY23" s="362">
        <f t="shared" si="108"/>
        <v>0.33432392273402667</v>
      </c>
      <c r="AZ23" s="361">
        <f t="shared" si="108"/>
        <v>0.88085106382978728</v>
      </c>
      <c r="BA23" s="362">
        <f t="shared" ref="BA23:BC23" si="109">BA20/AW20-1</f>
        <v>0.24913043478260866</v>
      </c>
      <c r="BB23" s="362">
        <f t="shared" si="109"/>
        <v>0.23160561184723316</v>
      </c>
      <c r="BC23" s="365">
        <f t="shared" si="109"/>
        <v>6.4577672605790726E-2</v>
      </c>
      <c r="BD23" s="361">
        <f t="shared" ref="BD23" si="110">BD20/AZ20-1</f>
        <v>-0.17810749999999997</v>
      </c>
      <c r="BE23" s="362">
        <f t="shared" ref="BE23" si="111">BE20/BA20-1</f>
        <v>0.13800500000000016</v>
      </c>
      <c r="BF23" s="362">
        <f t="shared" ref="BF23" si="112">BF20/BB20-1</f>
        <v>0.18973249999999986</v>
      </c>
      <c r="BG23" s="1441">
        <f t="shared" ref="BG23" si="113">BG20/BC20-1</f>
        <v>0.29788999999999977</v>
      </c>
      <c r="BH23" s="361">
        <f t="shared" ref="BH23" si="114">BH20/BD20-1</f>
        <v>0.2295799999999999</v>
      </c>
      <c r="BI23" s="362">
        <f t="shared" ref="BI23" si="115">BI20/BE20-1</f>
        <v>0.1612699999999998</v>
      </c>
      <c r="BJ23" s="362">
        <f t="shared" ref="BJ23" si="116">BJ20/BF20-1</f>
        <v>9.0583999999999998E-2</v>
      </c>
      <c r="BK23" s="1441">
        <f t="shared" ref="BK23" si="117">BK20/BG20-1</f>
        <v>-2.5083999999999995E-2</v>
      </c>
      <c r="BL23" s="1446"/>
      <c r="BM23" s="362"/>
      <c r="BN23" s="301"/>
      <c r="BO23" s="301"/>
      <c r="BP23" s="301">
        <f t="shared" ref="BP23:CA23" si="118">BP20/BO20-1</f>
        <v>0.19656804278404061</v>
      </c>
      <c r="BQ23" s="301">
        <f t="shared" si="118"/>
        <v>0.27974276527331199</v>
      </c>
      <c r="BR23" s="301">
        <f t="shared" si="118"/>
        <v>0.11432160804020097</v>
      </c>
      <c r="BS23" s="301">
        <f t="shared" si="118"/>
        <v>0.19954904171364141</v>
      </c>
      <c r="BT23" s="301">
        <f t="shared" si="118"/>
        <v>0.14836466165413542</v>
      </c>
      <c r="BU23" s="632">
        <f t="shared" si="118"/>
        <v>0.38436482084690549</v>
      </c>
      <c r="BV23" s="301">
        <f t="shared" si="118"/>
        <v>0.49926101093703812</v>
      </c>
      <c r="BW23" s="301">
        <f t="shared" si="118"/>
        <v>0.46845425867507884</v>
      </c>
      <c r="BX23" s="301">
        <f t="shared" si="118"/>
        <v>0.45112781954887216</v>
      </c>
      <c r="BY23" s="301">
        <f t="shared" si="118"/>
        <v>0.3209902849740931</v>
      </c>
      <c r="BZ23" s="301">
        <f t="shared" si="118"/>
        <v>9.441481695896492E-2</v>
      </c>
      <c r="CA23" s="301">
        <f t="shared" si="118"/>
        <v>0.10095035785362216</v>
      </c>
      <c r="CB23" s="366"/>
      <c r="CC23" s="632"/>
      <c r="CD23" s="301"/>
      <c r="CE23" s="301">
        <f t="shared" ref="CE23:CP23" si="119">CE20/CD20-1</f>
        <v>3.7197938877043351</v>
      </c>
      <c r="CF23" s="301">
        <f t="shared" si="119"/>
        <v>0.26303504875202344</v>
      </c>
      <c r="CG23" s="301">
        <f t="shared" si="119"/>
        <v>0.22950819672131151</v>
      </c>
      <c r="CH23" s="301">
        <f t="shared" si="119"/>
        <v>0.13818181818181818</v>
      </c>
      <c r="CI23" s="632">
        <f t="shared" si="119"/>
        <v>0.1906283280085197</v>
      </c>
      <c r="CJ23" s="301">
        <f t="shared" si="119"/>
        <v>0.12957066189624333</v>
      </c>
      <c r="CK23" s="632">
        <f t="shared" si="119"/>
        <v>0.58885387137133161</v>
      </c>
      <c r="CL23" s="301">
        <f t="shared" si="119"/>
        <v>0.22103164714677304</v>
      </c>
      <c r="CM23" s="301">
        <f t="shared" si="119"/>
        <v>0.76367346938775515</v>
      </c>
      <c r="CN23" s="301">
        <f t="shared" si="119"/>
        <v>0.49016431381624614</v>
      </c>
      <c r="CO23" s="301">
        <f t="shared" si="119"/>
        <v>4.7525069886628302E-2</v>
      </c>
      <c r="CP23" s="367">
        <f t="shared" si="119"/>
        <v>0.22010558540714942</v>
      </c>
    </row>
    <row r="24" spans="1:95" s="7" customFormat="1" ht="14.25" customHeight="1">
      <c r="A24" s="511"/>
      <c r="B24" s="35" t="s">
        <v>112</v>
      </c>
      <c r="C24" s="240"/>
      <c r="D24" s="87"/>
      <c r="E24" s="87"/>
      <c r="F24" s="87"/>
      <c r="G24" s="88"/>
      <c r="H24" s="87"/>
      <c r="I24" s="87"/>
      <c r="J24" s="87"/>
      <c r="K24" s="88"/>
      <c r="L24" s="149">
        <f t="shared" ref="L24:AJ24" si="120">L20/L$108</f>
        <v>0.28000000000000003</v>
      </c>
      <c r="M24" s="87">
        <f t="shared" si="120"/>
        <v>0.29000000000000004</v>
      </c>
      <c r="N24" s="87">
        <f t="shared" si="120"/>
        <v>0.30999999999999994</v>
      </c>
      <c r="O24" s="88">
        <f t="shared" si="120"/>
        <v>0.34</v>
      </c>
      <c r="P24" s="149">
        <f t="shared" si="120"/>
        <v>0.33695652173913043</v>
      </c>
      <c r="Q24" s="87">
        <f t="shared" si="120"/>
        <v>0.43384615384615383</v>
      </c>
      <c r="R24" s="87">
        <f t="shared" si="120"/>
        <v>0.46280991735537191</v>
      </c>
      <c r="S24" s="88">
        <f t="shared" si="120"/>
        <v>0.44158878504672899</v>
      </c>
      <c r="T24" s="149">
        <f t="shared" si="120"/>
        <v>0.37938596491228072</v>
      </c>
      <c r="U24" s="87">
        <f t="shared" si="120"/>
        <v>0.3825242718446602</v>
      </c>
      <c r="V24" s="87">
        <f t="shared" si="120"/>
        <v>0.37636363636363634</v>
      </c>
      <c r="W24" s="88">
        <f t="shared" si="120"/>
        <v>0.38286713286713286</v>
      </c>
      <c r="X24" s="361">
        <f t="shared" si="120"/>
        <v>0.36727272727272725</v>
      </c>
      <c r="Y24" s="362">
        <f t="shared" si="120"/>
        <v>0.36249999999999999</v>
      </c>
      <c r="Z24" s="87">
        <f t="shared" si="120"/>
        <v>0.36981757877280264</v>
      </c>
      <c r="AA24" s="88">
        <f t="shared" si="120"/>
        <v>0.4157303370786517</v>
      </c>
      <c r="AB24" s="361">
        <f t="shared" si="120"/>
        <v>0.45115452930728239</v>
      </c>
      <c r="AC24" s="362">
        <f t="shared" si="120"/>
        <v>0.44194107452339687</v>
      </c>
      <c r="AD24" s="362">
        <f t="shared" si="120"/>
        <v>0.39768976897689767</v>
      </c>
      <c r="AE24" s="88">
        <f t="shared" si="120"/>
        <v>0.50809061488673135</v>
      </c>
      <c r="AF24" s="361">
        <f t="shared" si="120"/>
        <v>0.53472222222222221</v>
      </c>
      <c r="AG24" s="362">
        <f t="shared" si="120"/>
        <v>0.49644128113879005</v>
      </c>
      <c r="AH24" s="362">
        <f t="shared" si="120"/>
        <v>0.44720496894409939</v>
      </c>
      <c r="AI24" s="88">
        <f t="shared" si="120"/>
        <v>0.47000000000000003</v>
      </c>
      <c r="AJ24" s="362">
        <f t="shared" si="120"/>
        <v>0.55146477894004997</v>
      </c>
      <c r="AK24" s="362">
        <f>AK20/AK$108</f>
        <v>0.5</v>
      </c>
      <c r="AL24" s="362">
        <f t="shared" ref="AL24:AP24" si="121">AL20/AL$108</f>
        <v>0.28282828282828282</v>
      </c>
      <c r="AM24" s="362">
        <f t="shared" si="121"/>
        <v>0.39006211180124223</v>
      </c>
      <c r="AN24" s="361">
        <f t="shared" si="121"/>
        <v>0.40072420036210016</v>
      </c>
      <c r="AO24" s="362">
        <f t="shared" si="121"/>
        <v>0.35015197568389056</v>
      </c>
      <c r="AP24" s="362">
        <f t="shared" si="121"/>
        <v>0.35199999999999998</v>
      </c>
      <c r="AQ24" s="362">
        <f t="shared" ref="AQ24:AT24" si="122">AQ20/AQ$108</f>
        <v>0.3669724770642202</v>
      </c>
      <c r="AR24" s="361">
        <f t="shared" si="122"/>
        <v>0.32435465768799104</v>
      </c>
      <c r="AS24" s="362">
        <f t="shared" si="122"/>
        <v>0.2223469960696238</v>
      </c>
      <c r="AT24" s="362">
        <f t="shared" si="122"/>
        <v>0.26512361914781696</v>
      </c>
      <c r="AU24" s="362">
        <f t="shared" ref="AU24:AV24" si="123">AU20/AU$108</f>
        <v>0.32465026531596719</v>
      </c>
      <c r="AV24" s="361">
        <f t="shared" si="123"/>
        <v>0.28320077127018561</v>
      </c>
      <c r="AW24" s="362">
        <f t="shared" ref="AW24:AZ24" si="124">AW20/AW$108</f>
        <v>0.27374434658414665</v>
      </c>
      <c r="AX24" s="362">
        <f t="shared" si="124"/>
        <v>0.28721737183792256</v>
      </c>
      <c r="AY24" s="362">
        <f t="shared" si="124"/>
        <v>0.37046204620462048</v>
      </c>
      <c r="AZ24" s="361">
        <f t="shared" si="124"/>
        <v>0.41455636841117988</v>
      </c>
      <c r="BA24" s="1229">
        <f t="shared" ref="BA24:BC24" si="125">BA20/BA108</f>
        <v>0.28666703917749603</v>
      </c>
      <c r="BB24" s="1229">
        <f t="shared" si="125"/>
        <v>0.30315975867934508</v>
      </c>
      <c r="BC24" s="1230">
        <f t="shared" si="125"/>
        <v>0.34247938334701422</v>
      </c>
      <c r="BD24" s="1237">
        <f t="shared" ref="BD24:BG24" si="126">BD20/BD108</f>
        <v>0.34070606081895738</v>
      </c>
      <c r="BE24" s="1229">
        <f t="shared" si="126"/>
        <v>0.31569567796277909</v>
      </c>
      <c r="BF24" s="1229">
        <f t="shared" si="126"/>
        <v>0.33890020931978199</v>
      </c>
      <c r="BG24" s="1395">
        <f t="shared" si="126"/>
        <v>0.40169692963832487</v>
      </c>
      <c r="BH24" s="1313">
        <f t="shared" ref="BH24:BK24" si="127">BH20/BH108</f>
        <v>0.37839107470091954</v>
      </c>
      <c r="BI24" s="1308">
        <f t="shared" si="127"/>
        <v>0.33981689525273501</v>
      </c>
      <c r="BJ24" s="1308">
        <f t="shared" si="127"/>
        <v>0.35268440565730508</v>
      </c>
      <c r="BK24" s="1395">
        <f t="shared" si="127"/>
        <v>0.39132503588935691</v>
      </c>
      <c r="BL24" s="1391"/>
      <c r="BM24" s="301"/>
      <c r="BN24" s="301"/>
      <c r="BO24" s="301">
        <f t="shared" ref="BO24:BX24" si="128">BO20/BO108</f>
        <v>0.30595644496762803</v>
      </c>
      <c r="BP24" s="301">
        <f t="shared" si="128"/>
        <v>0.41913746630727761</v>
      </c>
      <c r="BQ24" s="301">
        <f t="shared" si="128"/>
        <v>0.38031533683707597</v>
      </c>
      <c r="BR24" s="301">
        <f t="shared" si="128"/>
        <v>0.37970890410958902</v>
      </c>
      <c r="BS24" s="301">
        <f t="shared" si="128"/>
        <v>0.45008460236886633</v>
      </c>
      <c r="BT24" s="301">
        <f t="shared" si="128"/>
        <v>0.48486507936507944</v>
      </c>
      <c r="BU24" s="632">
        <f t="shared" si="128"/>
        <v>0.39980051337080408</v>
      </c>
      <c r="BV24" s="301">
        <f t="shared" si="128"/>
        <v>0.36727009413468503</v>
      </c>
      <c r="BW24" s="301">
        <f t="shared" si="128"/>
        <v>0.28016852241950047</v>
      </c>
      <c r="BX24" s="301">
        <f t="shared" si="128"/>
        <v>0.30591565242003965</v>
      </c>
      <c r="BY24" s="301">
        <f t="shared" ref="BY24:BZ24" si="129">BY20/BY108</f>
        <v>0.33773038525738708</v>
      </c>
      <c r="BZ24" s="301">
        <f t="shared" si="129"/>
        <v>0.35137663666509966</v>
      </c>
      <c r="CA24" s="301">
        <f t="shared" ref="CA24" si="130">CA20/CA108</f>
        <v>0.36625655541574731</v>
      </c>
      <c r="CB24" s="19"/>
      <c r="CC24" s="632"/>
      <c r="CD24" s="301">
        <f>CD20/CD108</f>
        <v>0.32183908045977017</v>
      </c>
      <c r="CE24" s="301">
        <f>CE20/CE108</f>
        <v>0.25620671695055847</v>
      </c>
      <c r="CF24" s="301">
        <f>CF20/CF108</f>
        <v>0.36075268817204303</v>
      </c>
      <c r="CG24" s="301">
        <f>CG20/CG108</f>
        <v>0.31877897990726428</v>
      </c>
      <c r="CH24" s="301">
        <f>CH20/CH108</f>
        <v>0.33728623945778452</v>
      </c>
      <c r="CI24" s="632">
        <f t="shared" ref="CI24:CN24" si="131">CI20/CI$108</f>
        <v>0.47034076567101391</v>
      </c>
      <c r="CJ24" s="301">
        <f t="shared" si="131"/>
        <v>0.49007707054321931</v>
      </c>
      <c r="CK24" s="632">
        <f t="shared" si="131"/>
        <v>0.38182683158896291</v>
      </c>
      <c r="CL24" s="301">
        <f t="shared" si="131"/>
        <v>0.34850640113798009</v>
      </c>
      <c r="CM24" s="301">
        <f t="shared" si="131"/>
        <v>0.27594354684207167</v>
      </c>
      <c r="CN24" s="301">
        <f t="shared" si="131"/>
        <v>0.34164588528678302</v>
      </c>
      <c r="CO24" s="301">
        <f t="shared" ref="CO24" si="132">CO20/CO$108</f>
        <v>0.3191047678355996</v>
      </c>
      <c r="CP24" s="367">
        <f t="shared" ref="CP24" si="133">CP20/CP$108</f>
        <v>0.36086277029242403</v>
      </c>
    </row>
    <row r="25" spans="1:95" s="7" customFormat="1" ht="14.25" customHeight="1">
      <c r="A25" s="511"/>
      <c r="B25" s="35"/>
      <c r="C25" s="240"/>
      <c r="D25" s="87"/>
      <c r="E25" s="87"/>
      <c r="F25" s="87"/>
      <c r="G25" s="88"/>
      <c r="H25" s="87"/>
      <c r="I25" s="87"/>
      <c r="J25" s="87"/>
      <c r="K25" s="88"/>
      <c r="L25" s="87"/>
      <c r="M25" s="87"/>
      <c r="N25" s="87"/>
      <c r="O25" s="88"/>
      <c r="P25" s="87"/>
      <c r="Q25" s="87"/>
      <c r="R25" s="87"/>
      <c r="S25" s="88"/>
      <c r="T25" s="87"/>
      <c r="U25" s="87"/>
      <c r="V25" s="87"/>
      <c r="W25" s="88"/>
      <c r="X25" s="87"/>
      <c r="Y25" s="87"/>
      <c r="Z25" s="87"/>
      <c r="AA25" s="88"/>
      <c r="AB25" s="87"/>
      <c r="AC25" s="87"/>
      <c r="AD25" s="87"/>
      <c r="AE25" s="88"/>
      <c r="AF25" s="87"/>
      <c r="AG25" s="87"/>
      <c r="AH25" s="87"/>
      <c r="AI25" s="90"/>
      <c r="AJ25" s="87"/>
      <c r="AK25" s="87"/>
      <c r="AL25" s="87"/>
      <c r="AM25" s="87"/>
      <c r="AN25" s="149"/>
      <c r="AO25" s="87"/>
      <c r="AP25" s="943"/>
      <c r="AQ25" s="943"/>
      <c r="AR25" s="945"/>
      <c r="AS25" s="1000"/>
      <c r="AT25" s="1177"/>
      <c r="AU25" s="1220"/>
      <c r="AV25" s="1237"/>
      <c r="AW25" s="1229"/>
      <c r="AX25" s="1308"/>
      <c r="AY25" s="1308"/>
      <c r="AZ25" s="1313"/>
      <c r="BA25" s="1231"/>
      <c r="BB25" s="1231"/>
      <c r="BC25" s="1232"/>
      <c r="BD25" s="1233"/>
      <c r="BE25" s="1231"/>
      <c r="BF25" s="1231"/>
      <c r="BG25" s="1396"/>
      <c r="BH25" s="1312"/>
      <c r="BI25" s="1310"/>
      <c r="BJ25" s="1310"/>
      <c r="BK25" s="1396"/>
      <c r="BL25" s="1391"/>
      <c r="BM25" s="241"/>
      <c r="BN25" s="241"/>
      <c r="BO25" s="241"/>
      <c r="BP25" s="241"/>
      <c r="BQ25" s="241"/>
      <c r="BR25" s="241"/>
      <c r="BS25" s="241"/>
      <c r="BT25" s="241"/>
      <c r="BU25" s="629"/>
      <c r="BV25" s="241"/>
      <c r="BW25" s="241"/>
      <c r="BX25" s="241"/>
      <c r="BY25" s="1238"/>
      <c r="BZ25" s="1314"/>
      <c r="CA25" s="1314"/>
      <c r="CB25" s="19"/>
      <c r="CC25" s="629"/>
      <c r="CD25" s="241"/>
      <c r="CE25" s="241"/>
      <c r="CF25" s="241"/>
      <c r="CG25" s="241"/>
      <c r="CH25" s="241"/>
      <c r="CI25" s="629"/>
      <c r="CJ25" s="241"/>
      <c r="CK25" s="1204"/>
      <c r="CL25" s="1199"/>
      <c r="CM25" s="1199"/>
      <c r="CN25" s="1314"/>
      <c r="CO25" s="1314"/>
      <c r="CP25" s="1315"/>
    </row>
    <row r="26" spans="1:95" s="7" customFormat="1" ht="14.25" customHeight="1">
      <c r="A26" s="511"/>
      <c r="B26" s="43" t="str">
        <f>$B$20&amp;" Gross Margin"</f>
        <v>Wireless communications Revenue Gross Margin</v>
      </c>
      <c r="C26" s="240"/>
      <c r="D26" s="370"/>
      <c r="E26" s="371"/>
      <c r="F26" s="371"/>
      <c r="G26" s="372"/>
      <c r="H26" s="370"/>
      <c r="I26" s="371"/>
      <c r="J26" s="371"/>
      <c r="K26" s="372"/>
      <c r="L26" s="370">
        <f>L24*L$129</f>
        <v>48.160000000000004</v>
      </c>
      <c r="M26" s="371">
        <f t="shared" ref="M26:AJ26" si="134">M24*M$129</f>
        <v>50.460000000000008</v>
      </c>
      <c r="N26" s="371">
        <f t="shared" si="134"/>
        <v>58.279999999999987</v>
      </c>
      <c r="O26" s="372">
        <f t="shared" si="134"/>
        <v>62.56</v>
      </c>
      <c r="P26" s="370">
        <f t="shared" si="134"/>
        <v>55.260869565217391</v>
      </c>
      <c r="Q26" s="371">
        <f t="shared" si="134"/>
        <v>49.892307692307689</v>
      </c>
      <c r="R26" s="371">
        <f t="shared" si="134"/>
        <v>73.123966942148769</v>
      </c>
      <c r="S26" s="372">
        <f t="shared" si="134"/>
        <v>84.785046728971963</v>
      </c>
      <c r="T26" s="370">
        <f t="shared" si="134"/>
        <v>79.291666666666671</v>
      </c>
      <c r="U26" s="371">
        <f t="shared" si="134"/>
        <v>94.866019417475727</v>
      </c>
      <c r="V26" s="371">
        <f t="shared" si="134"/>
        <v>105.38181818181818</v>
      </c>
      <c r="W26" s="372">
        <f t="shared" si="134"/>
        <v>111.41433566433567</v>
      </c>
      <c r="X26" s="373">
        <f t="shared" si="134"/>
        <v>105.03999999999999</v>
      </c>
      <c r="Y26" s="352">
        <f t="shared" si="134"/>
        <v>105.125</v>
      </c>
      <c r="Z26" s="371">
        <f t="shared" si="134"/>
        <v>115.38308457711442</v>
      </c>
      <c r="AA26" s="372">
        <f t="shared" si="134"/>
        <v>132.61797752808988</v>
      </c>
      <c r="AB26" s="373">
        <f t="shared" si="134"/>
        <v>128.57904085257547</v>
      </c>
      <c r="AC26" s="352">
        <f t="shared" si="134"/>
        <v>130.37261698440207</v>
      </c>
      <c r="AD26" s="352">
        <f t="shared" si="134"/>
        <v>123.28382838283828</v>
      </c>
      <c r="AE26" s="372">
        <f t="shared" si="134"/>
        <v>160.55663430420711</v>
      </c>
      <c r="AF26" s="371">
        <f t="shared" si="134"/>
        <v>156.13888888888889</v>
      </c>
      <c r="AG26" s="371">
        <f t="shared" si="134"/>
        <v>142.97508896797154</v>
      </c>
      <c r="AH26" s="371">
        <f t="shared" si="134"/>
        <v>146.68322981366461</v>
      </c>
      <c r="AI26" s="372">
        <f t="shared" si="134"/>
        <v>175.31</v>
      </c>
      <c r="AJ26" s="371">
        <f t="shared" si="134"/>
        <v>201.83610909205828</v>
      </c>
      <c r="AK26" s="371">
        <f t="shared" ref="AK26:AP26" si="135">AK24*AK$129</f>
        <v>190.5</v>
      </c>
      <c r="AL26" s="371">
        <f t="shared" si="135"/>
        <v>207.87878787878788</v>
      </c>
      <c r="AM26" s="371">
        <f t="shared" si="135"/>
        <v>366.26832298136645</v>
      </c>
      <c r="AN26" s="370">
        <f t="shared" si="135"/>
        <v>390.30537115268555</v>
      </c>
      <c r="AO26" s="371">
        <f t="shared" si="135"/>
        <v>349.45167173252275</v>
      </c>
      <c r="AP26" s="371">
        <f t="shared" si="135"/>
        <v>374.17599999999999</v>
      </c>
      <c r="AQ26" s="371">
        <f t="shared" ref="AQ26:AR26" si="136">AQ24*AQ$129</f>
        <v>421.651376146789</v>
      </c>
      <c r="AR26" s="370">
        <f t="shared" si="136"/>
        <v>353.22222222222223</v>
      </c>
      <c r="AS26" s="371">
        <f t="shared" ref="AS26:AV26" si="137">AS24*AS$129</f>
        <v>475.37787759685568</v>
      </c>
      <c r="AT26" s="371">
        <f t="shared" si="137"/>
        <v>608.98895318253551</v>
      </c>
      <c r="AU26" s="371">
        <f t="shared" si="137"/>
        <v>818.76796912686927</v>
      </c>
      <c r="AV26" s="370">
        <f t="shared" si="137"/>
        <v>733.48999758978073</v>
      </c>
      <c r="AW26" s="371">
        <f t="shared" ref="AW26:AZ26" si="138">AW24*AW$129</f>
        <v>725.97000714115688</v>
      </c>
      <c r="AX26" s="371">
        <f t="shared" si="138"/>
        <v>811.96351018580708</v>
      </c>
      <c r="AY26" s="371">
        <f t="shared" si="138"/>
        <v>1136.5775577557756</v>
      </c>
      <c r="AZ26" s="370">
        <f t="shared" si="138"/>
        <v>1431.8776964922154</v>
      </c>
      <c r="BA26" s="371">
        <f t="shared" ref="BA26:BC26" si="139">BA29*BA20</f>
        <v>912.17750000000001</v>
      </c>
      <c r="BB26" s="371">
        <f t="shared" si="139"/>
        <v>1003.39525</v>
      </c>
      <c r="BC26" s="372">
        <f t="shared" si="139"/>
        <v>1194.9884375000001</v>
      </c>
      <c r="BD26" s="370">
        <f t="shared" ref="BD26:BG26" si="140">BD29*BD20</f>
        <v>1138.8717804749999</v>
      </c>
      <c r="BE26" s="371">
        <f t="shared" si="140"/>
        <v>1024.9846024275</v>
      </c>
      <c r="BF26" s="371">
        <f t="shared" si="140"/>
        <v>1174.972381171875</v>
      </c>
      <c r="BG26" s="1397">
        <f t="shared" si="140"/>
        <v>1546.0004598088049</v>
      </c>
      <c r="BH26" s="370">
        <f t="shared" ref="BH26:BK26" si="141">BH29*BH20</f>
        <v>1395.8671888321874</v>
      </c>
      <c r="BI26" s="371">
        <f t="shared" si="141"/>
        <v>1176.9952136233003</v>
      </c>
      <c r="BJ26" s="371">
        <f t="shared" si="141"/>
        <v>1274.2302053035996</v>
      </c>
      <c r="BK26" s="1397">
        <f t="shared" si="141"/>
        <v>1506.0109369360562</v>
      </c>
      <c r="BL26" s="1447"/>
      <c r="BM26" s="357"/>
      <c r="BN26" s="357"/>
      <c r="BO26" s="357">
        <f>SUM(L26:O26)</f>
        <v>219.45999999999998</v>
      </c>
      <c r="BP26" s="357">
        <f>SUM(P26:S26)</f>
        <v>263.0621909286458</v>
      </c>
      <c r="BQ26" s="357">
        <f>SUM(T26:W26)</f>
        <v>390.95383993029623</v>
      </c>
      <c r="BR26" s="357">
        <f>SUM(X26:AA26)</f>
        <v>458.16606210520433</v>
      </c>
      <c r="BS26" s="357">
        <f>SUM(AB26:AE26)</f>
        <v>542.79212052402295</v>
      </c>
      <c r="BT26" s="357">
        <f>SUM(AF26:AI26)</f>
        <v>621.10720767052499</v>
      </c>
      <c r="BU26" s="360">
        <f>SUM(AJ26:AM26)</f>
        <v>966.48321995221272</v>
      </c>
      <c r="BV26" s="357">
        <f>SUM(AN26:AQ26)</f>
        <v>1535.5844190319974</v>
      </c>
      <c r="BW26" s="357">
        <f>SUM(AR26:AU26)</f>
        <v>2256.3570221284826</v>
      </c>
      <c r="BX26" s="357">
        <f>SUM(AV26:AY26)</f>
        <v>3408.0010726725204</v>
      </c>
      <c r="BY26" s="357">
        <f>SUM(AZ26:BC26)</f>
        <v>4542.4388839922158</v>
      </c>
      <c r="BZ26" s="357">
        <f>SUM(BD26:BG26)</f>
        <v>4884.82922388318</v>
      </c>
      <c r="CA26" s="357">
        <f>SUM(BH26:BK26)</f>
        <v>5353.1035446951428</v>
      </c>
      <c r="CB26" s="19"/>
      <c r="CC26" s="360"/>
      <c r="CD26" s="357"/>
      <c r="CE26" s="357"/>
      <c r="CF26" s="357"/>
      <c r="CG26" s="357"/>
      <c r="CH26" s="357"/>
      <c r="CI26" s="360"/>
      <c r="CJ26" s="357">
        <f>SUM(AG26:AJ26)</f>
        <v>666.80442787369441</v>
      </c>
      <c r="CK26" s="360">
        <f>SUM(AK26:AN26)</f>
        <v>1154.9524820128399</v>
      </c>
      <c r="CL26" s="357">
        <f>SUM(AO26:AR26)</f>
        <v>1498.5012701015339</v>
      </c>
      <c r="CM26" s="357">
        <f>SUM(AS26:AV26)</f>
        <v>2636.6247974960411</v>
      </c>
      <c r="CN26" s="357">
        <f>SUM(AW26:AZ26)</f>
        <v>4106.3887715749552</v>
      </c>
      <c r="CO26" s="357">
        <f>SUM(BA26:BD26)</f>
        <v>4249.4329679750008</v>
      </c>
      <c r="CP26" s="358">
        <f>SUM(BE26:BH26)</f>
        <v>5141.8246322403675</v>
      </c>
    </row>
    <row r="27" spans="1:95" s="7" customFormat="1" ht="14.25" customHeight="1">
      <c r="A27" s="511"/>
      <c r="B27" s="35" t="s">
        <v>110</v>
      </c>
      <c r="C27" s="240"/>
      <c r="D27" s="149"/>
      <c r="E27" s="87"/>
      <c r="F27" s="87"/>
      <c r="G27" s="88"/>
      <c r="H27" s="149"/>
      <c r="I27" s="87"/>
      <c r="J27" s="87"/>
      <c r="K27" s="88"/>
      <c r="L27" s="149"/>
      <c r="M27" s="87"/>
      <c r="N27" s="87">
        <f t="shared" ref="N27:AZ27" si="142">N26/M26-1</f>
        <v>0.15497423701942092</v>
      </c>
      <c r="O27" s="88">
        <f t="shared" si="142"/>
        <v>7.3438572409060043E-2</v>
      </c>
      <c r="P27" s="149">
        <f t="shared" si="142"/>
        <v>-0.11667407983987554</v>
      </c>
      <c r="Q27" s="87">
        <f t="shared" si="142"/>
        <v>-9.7149428069963184E-2</v>
      </c>
      <c r="R27" s="87">
        <f t="shared" si="142"/>
        <v>0.46563609350591117</v>
      </c>
      <c r="S27" s="88">
        <f t="shared" si="142"/>
        <v>0.15947001064710742</v>
      </c>
      <c r="T27" s="149">
        <f t="shared" si="142"/>
        <v>-6.4791850382128091E-2</v>
      </c>
      <c r="U27" s="87">
        <f t="shared" si="142"/>
        <v>0.196418531802111</v>
      </c>
      <c r="V27" s="87">
        <f t="shared" si="142"/>
        <v>0.11084895127796712</v>
      </c>
      <c r="W27" s="88">
        <f t="shared" si="142"/>
        <v>5.7244386048733942E-2</v>
      </c>
      <c r="X27" s="361">
        <f t="shared" si="142"/>
        <v>-5.7212885813366032E-2</v>
      </c>
      <c r="Y27" s="362">
        <f t="shared" si="142"/>
        <v>8.0921553693835691E-4</v>
      </c>
      <c r="Z27" s="87">
        <f t="shared" si="142"/>
        <v>9.7579877071243049E-2</v>
      </c>
      <c r="AA27" s="88">
        <f t="shared" si="142"/>
        <v>0.14937105394731232</v>
      </c>
      <c r="AB27" s="361">
        <f t="shared" si="142"/>
        <v>-3.0455423546622229E-2</v>
      </c>
      <c r="AC27" s="362">
        <f t="shared" si="142"/>
        <v>1.3949210695101133E-2</v>
      </c>
      <c r="AD27" s="362">
        <f t="shared" si="142"/>
        <v>-5.4373293760083818E-2</v>
      </c>
      <c r="AE27" s="88">
        <f t="shared" si="142"/>
        <v>0.30233329391446273</v>
      </c>
      <c r="AF27" s="361">
        <f t="shared" si="142"/>
        <v>-2.7515184498373979E-2</v>
      </c>
      <c r="AG27" s="362">
        <f t="shared" si="142"/>
        <v>-8.4308272042879273E-2</v>
      </c>
      <c r="AH27" s="362">
        <f t="shared" si="142"/>
        <v>2.5935572920145145E-2</v>
      </c>
      <c r="AI27" s="88">
        <f t="shared" si="142"/>
        <v>0.19516048441734402</v>
      </c>
      <c r="AJ27" s="362">
        <f t="shared" si="142"/>
        <v>0.15130973185818419</v>
      </c>
      <c r="AK27" s="362">
        <f t="shared" si="142"/>
        <v>-5.6164920851143774E-2</v>
      </c>
      <c r="AL27" s="362">
        <f t="shared" si="142"/>
        <v>9.1227232959516513E-2</v>
      </c>
      <c r="AM27" s="362">
        <f t="shared" si="142"/>
        <v>0.76193216594534885</v>
      </c>
      <c r="AN27" s="361">
        <f t="shared" si="142"/>
        <v>6.5626882433242661E-2</v>
      </c>
      <c r="AO27" s="362">
        <f t="shared" si="142"/>
        <v>-0.1046711176418349</v>
      </c>
      <c r="AP27" s="362">
        <f t="shared" si="142"/>
        <v>7.0751781340458786E-2</v>
      </c>
      <c r="AQ27" s="362">
        <f t="shared" si="142"/>
        <v>0.12687980027256973</v>
      </c>
      <c r="AR27" s="361">
        <f t="shared" si="142"/>
        <v>-0.16228846339812397</v>
      </c>
      <c r="AS27" s="362">
        <f t="shared" si="142"/>
        <v>0.3458323052443224</v>
      </c>
      <c r="AT27" s="362">
        <f t="shared" si="142"/>
        <v>0.2810628804628319</v>
      </c>
      <c r="AU27" s="362">
        <f t="shared" si="142"/>
        <v>0.34447097085758727</v>
      </c>
      <c r="AV27" s="361">
        <f t="shared" si="142"/>
        <v>-0.10415401524320578</v>
      </c>
      <c r="AW27" s="362">
        <f t="shared" si="142"/>
        <v>-1.0252342190533281E-2</v>
      </c>
      <c r="AX27" s="362">
        <f t="shared" si="142"/>
        <v>0.11845324489821474</v>
      </c>
      <c r="AY27" s="362">
        <f t="shared" si="142"/>
        <v>0.39978896033848232</v>
      </c>
      <c r="AZ27" s="361">
        <f t="shared" si="142"/>
        <v>0.25981521166010291</v>
      </c>
      <c r="BA27" s="1229">
        <f t="shared" ref="BA27:BC27" si="143">BA26/AZ26-1</f>
        <v>-0.36295013028372902</v>
      </c>
      <c r="BB27" s="1229">
        <f t="shared" si="143"/>
        <v>0.10000000000000009</v>
      </c>
      <c r="BC27" s="1230">
        <f t="shared" si="143"/>
        <v>0.19094488188976388</v>
      </c>
      <c r="BD27" s="1237">
        <f t="shared" ref="BD27" si="144">BD26/BC26-1</f>
        <v>-4.6960000000000224E-2</v>
      </c>
      <c r="BE27" s="1229">
        <f t="shared" ref="BE27" si="145">BE26/BD26-1</f>
        <v>-9.9999999999999867E-2</v>
      </c>
      <c r="BF27" s="1229">
        <f t="shared" ref="BF27" si="146">BF26/BE26-1</f>
        <v>0.14633173843700154</v>
      </c>
      <c r="BG27" s="1395">
        <f t="shared" ref="BG27" si="147">BG26/BF26-1</f>
        <v>0.31577599999999983</v>
      </c>
      <c r="BH27" s="1313">
        <f t="shared" ref="BH27" si="148">BH26/BG26-1</f>
        <v>-9.71107544141252E-2</v>
      </c>
      <c r="BI27" s="1308">
        <f t="shared" ref="BI27" si="149">BI26/BH26-1</f>
        <v>-0.15680000000000005</v>
      </c>
      <c r="BJ27" s="1308">
        <f t="shared" ref="BJ27" si="150">BJ26/BI26-1</f>
        <v>8.2612903225806722E-2</v>
      </c>
      <c r="BK27" s="1395">
        <f t="shared" ref="BK27" si="151">BK26/BJ26-1</f>
        <v>0.18189863234111003</v>
      </c>
      <c r="BL27" s="1391"/>
      <c r="BM27" s="241"/>
      <c r="BN27" s="241"/>
      <c r="BO27" s="241"/>
      <c r="BP27" s="241"/>
      <c r="BQ27" s="241"/>
      <c r="BR27" s="241"/>
      <c r="BS27" s="241"/>
      <c r="BT27" s="241"/>
      <c r="BU27" s="629"/>
      <c r="BV27" s="241"/>
      <c r="BW27" s="241"/>
      <c r="BX27" s="241"/>
      <c r="BY27" s="1238"/>
      <c r="BZ27" s="1314"/>
      <c r="CA27" s="1314"/>
      <c r="CB27" s="19"/>
      <c r="CC27" s="629"/>
      <c r="CD27" s="241"/>
      <c r="CE27" s="241"/>
      <c r="CF27" s="241"/>
      <c r="CG27" s="241"/>
      <c r="CH27" s="241"/>
      <c r="CI27" s="629"/>
      <c r="CJ27" s="241"/>
      <c r="CK27" s="1204"/>
      <c r="CL27" s="1199"/>
      <c r="CM27" s="1199"/>
      <c r="CN27" s="1314"/>
      <c r="CO27" s="1314"/>
      <c r="CP27" s="1315"/>
    </row>
    <row r="28" spans="1:95" s="7" customFormat="1" ht="14.25" customHeight="1">
      <c r="A28" s="511"/>
      <c r="B28" s="35" t="s">
        <v>111</v>
      </c>
      <c r="C28" s="240"/>
      <c r="D28" s="149"/>
      <c r="E28" s="87"/>
      <c r="F28" s="87"/>
      <c r="G28" s="88"/>
      <c r="H28" s="149"/>
      <c r="I28" s="87"/>
      <c r="J28" s="362"/>
      <c r="K28" s="365"/>
      <c r="L28" s="361"/>
      <c r="M28" s="362"/>
      <c r="N28" s="362"/>
      <c r="O28" s="365"/>
      <c r="P28" s="361"/>
      <c r="Q28" s="362">
        <f t="shared" ref="Q28:AZ28" si="152">Q26/M26-1</f>
        <v>-1.125034299826233E-2</v>
      </c>
      <c r="R28" s="362">
        <f t="shared" si="152"/>
        <v>0.25470087409315001</v>
      </c>
      <c r="S28" s="365">
        <f t="shared" si="152"/>
        <v>0.35525969835313242</v>
      </c>
      <c r="T28" s="361">
        <f t="shared" si="152"/>
        <v>0.43486100183582499</v>
      </c>
      <c r="U28" s="362">
        <f t="shared" si="152"/>
        <v>0.90141574533947666</v>
      </c>
      <c r="V28" s="362">
        <f t="shared" si="152"/>
        <v>0.4411392405063288</v>
      </c>
      <c r="W28" s="365">
        <f t="shared" si="152"/>
        <v>0.31408001720501733</v>
      </c>
      <c r="X28" s="361">
        <f t="shared" si="152"/>
        <v>0.32472937467157093</v>
      </c>
      <c r="Y28" s="362">
        <f t="shared" si="152"/>
        <v>0.10814178401833963</v>
      </c>
      <c r="Z28" s="362">
        <f t="shared" si="152"/>
        <v>9.4905046884281141E-2</v>
      </c>
      <c r="AA28" s="365">
        <f t="shared" si="152"/>
        <v>0.19031340749215286</v>
      </c>
      <c r="AB28" s="361">
        <f t="shared" si="152"/>
        <v>0.2240959715591726</v>
      </c>
      <c r="AC28" s="362">
        <f t="shared" si="152"/>
        <v>0.240167581302279</v>
      </c>
      <c r="AD28" s="362">
        <f t="shared" si="152"/>
        <v>6.8474021427668896E-2</v>
      </c>
      <c r="AE28" s="365">
        <f t="shared" si="152"/>
        <v>0.21067020698758232</v>
      </c>
      <c r="AF28" s="361">
        <f t="shared" si="152"/>
        <v>0.21434168316679725</v>
      </c>
      <c r="AG28" s="362">
        <f t="shared" si="152"/>
        <v>9.6665022725418215E-2</v>
      </c>
      <c r="AH28" s="362">
        <f t="shared" si="152"/>
        <v>0.18980106099693161</v>
      </c>
      <c r="AI28" s="88">
        <f t="shared" si="152"/>
        <v>9.1888857534467627E-2</v>
      </c>
      <c r="AJ28" s="362">
        <f t="shared" si="152"/>
        <v>0.29267033042414137</v>
      </c>
      <c r="AK28" s="362">
        <f t="shared" si="152"/>
        <v>0.33239994026284325</v>
      </c>
      <c r="AL28" s="362">
        <f t="shared" si="152"/>
        <v>0.41719532725630271</v>
      </c>
      <c r="AM28" s="362">
        <f t="shared" si="152"/>
        <v>1.0892608692109205</v>
      </c>
      <c r="AN28" s="361">
        <f t="shared" si="152"/>
        <v>0.93377375786938921</v>
      </c>
      <c r="AO28" s="362">
        <f t="shared" si="152"/>
        <v>0.83439197759854467</v>
      </c>
      <c r="AP28" s="362">
        <f t="shared" si="152"/>
        <v>0.79997201166180765</v>
      </c>
      <c r="AQ28" s="362">
        <f t="shared" si="152"/>
        <v>0.151208962638683</v>
      </c>
      <c r="AR28" s="361">
        <f t="shared" si="152"/>
        <v>-9.5010603674107741E-2</v>
      </c>
      <c r="AS28" s="362">
        <f t="shared" si="152"/>
        <v>0.36035370854004478</v>
      </c>
      <c r="AT28" s="362">
        <f t="shared" si="152"/>
        <v>0.62754680466554658</v>
      </c>
      <c r="AU28" s="362">
        <f t="shared" si="152"/>
        <v>0.94181263348191369</v>
      </c>
      <c r="AV28" s="361">
        <f t="shared" si="152"/>
        <v>1.0765680963535784</v>
      </c>
      <c r="AW28" s="362">
        <f t="shared" si="152"/>
        <v>0.52714301896230831</v>
      </c>
      <c r="AX28" s="362">
        <f t="shared" si="152"/>
        <v>0.3332976007898667</v>
      </c>
      <c r="AY28" s="362">
        <f t="shared" si="152"/>
        <v>0.38815586419167958</v>
      </c>
      <c r="AZ28" s="361">
        <f t="shared" si="152"/>
        <v>0.95214345280414059</v>
      </c>
      <c r="BA28" s="1229">
        <f t="shared" ref="BA28:BC28" si="153">BA26/AW26-1</f>
        <v>0.25649474637681147</v>
      </c>
      <c r="BB28" s="1229">
        <f t="shared" si="153"/>
        <v>0.23576396896257856</v>
      </c>
      <c r="BC28" s="1230">
        <f t="shared" si="153"/>
        <v>5.139189960741386E-2</v>
      </c>
      <c r="BD28" s="1237">
        <f t="shared" ref="BD28" si="154">BD26/AZ26-1</f>
        <v>-0.20463054682324844</v>
      </c>
      <c r="BE28" s="1229">
        <f t="shared" ref="BE28" si="155">BE26/BA26-1</f>
        <v>0.12366792913385827</v>
      </c>
      <c r="BF28" s="1229">
        <f t="shared" ref="BF28" si="156">BF26/BB26-1</f>
        <v>0.17099655511811029</v>
      </c>
      <c r="BG28" s="1395">
        <f t="shared" ref="BG28" si="157">BG26/BC26-1</f>
        <v>0.29373675199999982</v>
      </c>
      <c r="BH28" s="1313">
        <f t="shared" ref="BH28" si="158">BH26/BD26-1</f>
        <v>0.22565789473684217</v>
      </c>
      <c r="BI28" s="1308">
        <f t="shared" ref="BI28" si="159">BI26/BE26-1</f>
        <v>0.1483052631578945</v>
      </c>
      <c r="BJ28" s="1308">
        <f t="shared" ref="BJ28" si="160">BJ26/BF26-1</f>
        <v>8.4476729599999967E-2</v>
      </c>
      <c r="BK28" s="1395">
        <f t="shared" ref="BK28" si="161">BK26/BG26-1</f>
        <v>-2.5866436597110853E-2</v>
      </c>
      <c r="BL28" s="1391"/>
      <c r="BM28" s="362"/>
      <c r="BN28" s="301"/>
      <c r="BO28" s="301"/>
      <c r="BP28" s="301">
        <f t="shared" ref="BP28:CA28" si="162">BP26/BO26-1</f>
        <v>0.19867944467623189</v>
      </c>
      <c r="BQ28" s="301">
        <f t="shared" si="162"/>
        <v>0.48616507203173231</v>
      </c>
      <c r="BR28" s="301">
        <f t="shared" si="162"/>
        <v>0.17191856252618343</v>
      </c>
      <c r="BS28" s="301">
        <f t="shared" si="162"/>
        <v>0.18470608239723085</v>
      </c>
      <c r="BT28" s="301">
        <f t="shared" si="162"/>
        <v>0.14428191601398899</v>
      </c>
      <c r="BU28" s="632">
        <f t="shared" si="162"/>
        <v>0.55606505288680741</v>
      </c>
      <c r="BV28" s="301">
        <f t="shared" si="162"/>
        <v>0.58883712342975136</v>
      </c>
      <c r="BW28" s="301">
        <f t="shared" si="162"/>
        <v>0.46937999250529394</v>
      </c>
      <c r="BX28" s="301">
        <f t="shared" si="162"/>
        <v>0.51039974580692049</v>
      </c>
      <c r="BY28" s="301">
        <f t="shared" si="162"/>
        <v>0.33287483986326349</v>
      </c>
      <c r="BZ28" s="301">
        <f t="shared" si="162"/>
        <v>7.5375882567746855E-2</v>
      </c>
      <c r="CA28" s="301">
        <f t="shared" si="162"/>
        <v>9.5862987087132812E-2</v>
      </c>
      <c r="CB28" s="19"/>
      <c r="CC28" s="632"/>
      <c r="CD28" s="301"/>
      <c r="CE28" s="301"/>
      <c r="CF28" s="301"/>
      <c r="CG28" s="301"/>
      <c r="CH28" s="301"/>
      <c r="CI28" s="632"/>
      <c r="CJ28" s="301"/>
      <c r="CK28" s="632"/>
      <c r="CL28" s="301"/>
      <c r="CM28" s="301"/>
      <c r="CN28" s="301"/>
      <c r="CO28" s="301"/>
      <c r="CP28" s="367"/>
    </row>
    <row r="29" spans="1:95" s="7" customFormat="1" ht="14.25" customHeight="1">
      <c r="A29" s="511"/>
      <c r="B29" s="35" t="s">
        <v>203</v>
      </c>
      <c r="C29" s="240"/>
      <c r="D29" s="149"/>
      <c r="E29" s="87"/>
      <c r="F29" s="87"/>
      <c r="G29" s="88"/>
      <c r="H29" s="149"/>
      <c r="I29" s="87"/>
      <c r="J29" s="87"/>
      <c r="K29" s="88"/>
      <c r="L29" s="149"/>
      <c r="M29" s="87">
        <f t="shared" ref="M29:AI29" si="163">M26/M20</f>
        <v>0.42335766423357674</v>
      </c>
      <c r="N29" s="87">
        <f t="shared" si="163"/>
        <v>0.42824601366742587</v>
      </c>
      <c r="O29" s="88">
        <f t="shared" si="163"/>
        <v>0.41163310961968674</v>
      </c>
      <c r="P29" s="149">
        <f t="shared" si="163"/>
        <v>0.44565217391304346</v>
      </c>
      <c r="Q29" s="87">
        <f t="shared" si="163"/>
        <v>0.35384615384615381</v>
      </c>
      <c r="R29" s="87">
        <f t="shared" si="163"/>
        <v>0.43526170798898078</v>
      </c>
      <c r="S29" s="88">
        <f t="shared" si="163"/>
        <v>0.44859813084112149</v>
      </c>
      <c r="T29" s="149">
        <f t="shared" si="163"/>
        <v>0.45833333333333337</v>
      </c>
      <c r="U29" s="87">
        <f t="shared" si="163"/>
        <v>0.48155339805825242</v>
      </c>
      <c r="V29" s="87">
        <f t="shared" si="163"/>
        <v>0.50909090909090904</v>
      </c>
      <c r="W29" s="88">
        <f t="shared" si="163"/>
        <v>0.50874125874125875</v>
      </c>
      <c r="X29" s="361">
        <f t="shared" si="163"/>
        <v>0.51999999999999991</v>
      </c>
      <c r="Y29" s="362">
        <f t="shared" si="163"/>
        <v>0.5178571428571429</v>
      </c>
      <c r="Z29" s="87">
        <f t="shared" si="163"/>
        <v>0.51741293532338306</v>
      </c>
      <c r="AA29" s="88">
        <f t="shared" si="163"/>
        <v>0.5120385232744783</v>
      </c>
      <c r="AB29" s="361">
        <f t="shared" si="163"/>
        <v>0.50621669626998222</v>
      </c>
      <c r="AC29" s="362">
        <f t="shared" si="163"/>
        <v>0.51126516464471405</v>
      </c>
      <c r="AD29" s="362">
        <f t="shared" si="163"/>
        <v>0.51155115511551152</v>
      </c>
      <c r="AE29" s="88">
        <f t="shared" si="163"/>
        <v>0.51132686084142387</v>
      </c>
      <c r="AF29" s="149">
        <f t="shared" si="163"/>
        <v>0.50694444444444442</v>
      </c>
      <c r="AG29" s="87">
        <f t="shared" si="163"/>
        <v>0.51245551601423489</v>
      </c>
      <c r="AH29" s="87">
        <f t="shared" si="163"/>
        <v>0.50931677018633548</v>
      </c>
      <c r="AI29" s="88">
        <f t="shared" si="163"/>
        <v>0.50542005420054203</v>
      </c>
      <c r="AJ29" s="87">
        <f t="shared" ref="AJ29:AO29" si="164">AJ26/AJ20</f>
        <v>0.57832696014916407</v>
      </c>
      <c r="AK29" s="87">
        <f t="shared" si="164"/>
        <v>0.54350927246790304</v>
      </c>
      <c r="AL29" s="87">
        <f t="shared" si="164"/>
        <v>0.57109557109557108</v>
      </c>
      <c r="AM29" s="87">
        <f t="shared" si="164"/>
        <v>0.58322981366459625</v>
      </c>
      <c r="AN29" s="149">
        <f t="shared" si="164"/>
        <v>0.58780929390464687</v>
      </c>
      <c r="AO29" s="87">
        <f t="shared" si="164"/>
        <v>0.60668693009118535</v>
      </c>
      <c r="AP29" s="943">
        <f t="shared" ref="AP29:AR29" si="165">AP26/AP20</f>
        <v>0.60742857142857143</v>
      </c>
      <c r="AQ29" s="943">
        <f t="shared" si="165"/>
        <v>0.62007555315704266</v>
      </c>
      <c r="AR29" s="945">
        <f t="shared" si="165"/>
        <v>0.61111111111111116</v>
      </c>
      <c r="AS29" s="1143">
        <f t="shared" ref="AS29:AV29" si="166">AS26/AS20</f>
        <v>0.60022459292532282</v>
      </c>
      <c r="AT29" s="1177">
        <f t="shared" si="166"/>
        <v>0.6041557075223567</v>
      </c>
      <c r="AU29" s="1220">
        <f t="shared" si="166"/>
        <v>0.608297153883261</v>
      </c>
      <c r="AV29" s="1237">
        <f t="shared" si="166"/>
        <v>0.6242468064593879</v>
      </c>
      <c r="AW29" s="1229">
        <f t="shared" ref="AW29:AZ29" si="167">AW26/AW20</f>
        <v>0.63127826707926682</v>
      </c>
      <c r="AX29" s="1308">
        <f t="shared" si="167"/>
        <v>0.63286321916274912</v>
      </c>
      <c r="AY29" s="1308">
        <f t="shared" si="167"/>
        <v>0.63283828382838281</v>
      </c>
      <c r="AZ29" s="1313">
        <f t="shared" si="167"/>
        <v>0.6479084599512287</v>
      </c>
      <c r="BA29" s="1371">
        <v>0.63500000000000001</v>
      </c>
      <c r="BB29" s="1371">
        <f>BA29</f>
        <v>0.63500000000000001</v>
      </c>
      <c r="BC29" s="1374">
        <v>0.625</v>
      </c>
      <c r="BD29" s="1367">
        <f>BC29+0.2%</f>
        <v>0.627</v>
      </c>
      <c r="BE29" s="1371">
        <f>BD29</f>
        <v>0.627</v>
      </c>
      <c r="BF29" s="1371">
        <f>BE29-0.2%</f>
        <v>0.625</v>
      </c>
      <c r="BG29" s="1371">
        <f>BF29-0.2%</f>
        <v>0.623</v>
      </c>
      <c r="BH29" s="1367">
        <f>BG29+0.2%</f>
        <v>0.625</v>
      </c>
      <c r="BI29" s="1371">
        <f>BH29-0.5%</f>
        <v>0.62</v>
      </c>
      <c r="BJ29" s="1371">
        <f>BI29+0.15%</f>
        <v>0.62149999999999994</v>
      </c>
      <c r="BK29" s="1417">
        <f>BJ29+0.1%</f>
        <v>0.62249999999999994</v>
      </c>
      <c r="BL29" s="1391"/>
      <c r="BM29" s="301"/>
      <c r="BN29" s="301"/>
      <c r="BO29" s="301">
        <f t="shared" ref="BO29:BT29" si="168">BO26/BO20</f>
        <v>0.42218460236235611</v>
      </c>
      <c r="BP29" s="301">
        <f t="shared" si="168"/>
        <v>0.42292956740939841</v>
      </c>
      <c r="BQ29" s="301">
        <f t="shared" si="168"/>
        <v>0.49114804011343749</v>
      </c>
      <c r="BR29" s="301">
        <f t="shared" si="168"/>
        <v>0.51653445558647615</v>
      </c>
      <c r="BS29" s="301">
        <f t="shared" si="168"/>
        <v>0.51014297041731482</v>
      </c>
      <c r="BT29" s="301">
        <f t="shared" si="168"/>
        <v>0.50832927477004319</v>
      </c>
      <c r="BU29" s="632">
        <f t="shared" ref="BU29:BZ29" si="169">BU26/BU20</f>
        <v>0.57137642326468385</v>
      </c>
      <c r="BV29" s="301">
        <f t="shared" si="169"/>
        <v>0.60551436081703369</v>
      </c>
      <c r="BW29" s="301">
        <f t="shared" si="169"/>
        <v>0.60589608542655282</v>
      </c>
      <c r="BX29" s="301">
        <f t="shared" si="169"/>
        <v>0.63064416592755745</v>
      </c>
      <c r="BY29" s="301">
        <f t="shared" si="169"/>
        <v>0.63631788305534698</v>
      </c>
      <c r="BZ29" s="301">
        <f t="shared" si="169"/>
        <v>0.62524820980191576</v>
      </c>
      <c r="CA29" s="301">
        <f t="shared" ref="CA29" si="170">CA26/CA20</f>
        <v>0.62235900644987063</v>
      </c>
      <c r="CB29" s="19"/>
      <c r="CC29" s="632"/>
      <c r="CD29" s="301"/>
      <c r="CE29" s="301"/>
      <c r="CF29" s="301"/>
      <c r="CG29" s="301"/>
      <c r="CH29" s="301"/>
      <c r="CI29" s="632"/>
      <c r="CJ29" s="301">
        <f t="shared" ref="CJ29:CO29" si="171">CJ26/CJ20</f>
        <v>0.52801136141274119</v>
      </c>
      <c r="CK29" s="632">
        <f t="shared" si="171"/>
        <v>0.57560552305648638</v>
      </c>
      <c r="CL29" s="301">
        <f t="shared" si="171"/>
        <v>0.61163317147001384</v>
      </c>
      <c r="CM29" s="301">
        <f t="shared" si="171"/>
        <v>0.61018856688174983</v>
      </c>
      <c r="CN29" s="301">
        <f t="shared" si="171"/>
        <v>0.63773703549851768</v>
      </c>
      <c r="CO29" s="301">
        <f t="shared" si="171"/>
        <v>0.63001100001064869</v>
      </c>
      <c r="CP29" s="367">
        <f t="shared" ref="CP29" si="172">CP26/CP20</f>
        <v>0.62479420761988003</v>
      </c>
    </row>
    <row r="30" spans="1:95" s="7" customFormat="1" ht="14.25" customHeight="1">
      <c r="A30" s="511"/>
      <c r="B30" s="374"/>
      <c r="C30" s="266"/>
      <c r="D30" s="375"/>
      <c r="E30" s="242"/>
      <c r="F30" s="242"/>
      <c r="G30" s="243"/>
      <c r="H30" s="375"/>
      <c r="I30" s="242"/>
      <c r="J30" s="242"/>
      <c r="K30" s="243"/>
      <c r="L30" s="375"/>
      <c r="M30" s="242"/>
      <c r="N30" s="242"/>
      <c r="O30" s="243"/>
      <c r="P30" s="375"/>
      <c r="Q30" s="242"/>
      <c r="R30" s="242"/>
      <c r="S30" s="243"/>
      <c r="T30" s="375"/>
      <c r="U30" s="242"/>
      <c r="V30" s="242"/>
      <c r="W30" s="243"/>
      <c r="X30" s="744"/>
      <c r="Y30" s="747"/>
      <c r="Z30" s="747"/>
      <c r="AA30" s="746"/>
      <c r="AB30" s="745"/>
      <c r="AC30" s="747"/>
      <c r="AD30" s="747"/>
      <c r="AE30" s="746"/>
      <c r="AF30" s="375"/>
      <c r="AG30" s="242"/>
      <c r="AH30" s="747"/>
      <c r="AI30" s="61"/>
      <c r="AJ30" s="747"/>
      <c r="AK30" s="747"/>
      <c r="AL30" s="747"/>
      <c r="AM30" s="747"/>
      <c r="AN30" s="744"/>
      <c r="AO30" s="747"/>
      <c r="AP30" s="747"/>
      <c r="AQ30" s="66"/>
      <c r="AR30" s="744"/>
      <c r="AS30" s="747"/>
      <c r="AT30" s="747"/>
      <c r="AU30" s="66"/>
      <c r="AV30" s="744"/>
      <c r="AW30" s="747"/>
      <c r="AX30" s="747"/>
      <c r="AY30" s="61"/>
      <c r="AZ30" s="744"/>
      <c r="BA30" s="66"/>
      <c r="BB30" s="66"/>
      <c r="BC30" s="61"/>
      <c r="BD30" s="60"/>
      <c r="BE30" s="66"/>
      <c r="BF30" s="66"/>
      <c r="BG30" s="61"/>
      <c r="BH30" s="60"/>
      <c r="BI30" s="66"/>
      <c r="BJ30" s="66"/>
      <c r="BK30" s="61"/>
      <c r="BL30" s="1391"/>
      <c r="BM30" s="223"/>
      <c r="BN30" s="223"/>
      <c r="BO30" s="223"/>
      <c r="BP30" s="223"/>
      <c r="BQ30" s="223"/>
      <c r="BR30" s="223"/>
      <c r="BS30" s="223"/>
      <c r="BT30" s="223"/>
      <c r="BU30" s="14"/>
      <c r="BV30" s="223"/>
      <c r="BW30" s="223"/>
      <c r="BX30" s="223"/>
      <c r="BY30" s="223"/>
      <c r="BZ30" s="223"/>
      <c r="CA30" s="223"/>
      <c r="CB30" s="19"/>
      <c r="CC30" s="14"/>
      <c r="CD30" s="223"/>
      <c r="CE30" s="223"/>
      <c r="CF30" s="223"/>
      <c r="CG30" s="223"/>
      <c r="CH30" s="223"/>
      <c r="CI30" s="14"/>
      <c r="CJ30" s="223"/>
      <c r="CK30" s="14"/>
      <c r="CL30" s="223"/>
      <c r="CM30" s="223"/>
      <c r="CN30" s="223"/>
      <c r="CO30" s="223"/>
      <c r="CP30" s="15"/>
    </row>
    <row r="31" spans="1:95" s="100" customFormat="1" ht="14.25" customHeight="1">
      <c r="A31" s="510"/>
      <c r="B31" s="43" t="s">
        <v>244</v>
      </c>
      <c r="C31" s="347"/>
      <c r="D31" s="349"/>
      <c r="E31" s="349"/>
      <c r="F31" s="349"/>
      <c r="G31" s="350"/>
      <c r="H31" s="349"/>
      <c r="I31" s="349"/>
      <c r="J31" s="349"/>
      <c r="K31" s="350"/>
      <c r="L31" s="349">
        <f t="shared" ref="L31:AI31" si="173">L42+L53+L64</f>
        <v>116.58</v>
      </c>
      <c r="M31" s="349">
        <f t="shared" si="173"/>
        <v>241.89</v>
      </c>
      <c r="N31" s="349">
        <f t="shared" si="173"/>
        <v>258.52999999999997</v>
      </c>
      <c r="O31" s="350">
        <f t="shared" si="173"/>
        <v>253.75</v>
      </c>
      <c r="P31" s="349">
        <f t="shared" si="173"/>
        <v>217</v>
      </c>
      <c r="Q31" s="349">
        <f t="shared" si="173"/>
        <v>186</v>
      </c>
      <c r="R31" s="349">
        <f t="shared" si="173"/>
        <v>186</v>
      </c>
      <c r="S31" s="350">
        <f t="shared" si="173"/>
        <v>199</v>
      </c>
      <c r="T31" s="349">
        <f t="shared" si="173"/>
        <v>215</v>
      </c>
      <c r="U31" s="349">
        <f t="shared" si="173"/>
        <v>237</v>
      </c>
      <c r="V31" s="349">
        <f t="shared" si="173"/>
        <v>245</v>
      </c>
      <c r="W31" s="350">
        <f t="shared" si="173"/>
        <v>262</v>
      </c>
      <c r="X31" s="349">
        <f t="shared" si="173"/>
        <v>272</v>
      </c>
      <c r="Y31" s="349">
        <f t="shared" si="173"/>
        <v>272</v>
      </c>
      <c r="Z31" s="349">
        <f t="shared" si="173"/>
        <v>286</v>
      </c>
      <c r="AA31" s="350">
        <f t="shared" si="173"/>
        <v>294</v>
      </c>
      <c r="AB31" s="349">
        <f t="shared" si="173"/>
        <v>269.3</v>
      </c>
      <c r="AC31" s="349">
        <f t="shared" si="173"/>
        <v>275.02199999999999</v>
      </c>
      <c r="AD31" s="349">
        <f t="shared" si="173"/>
        <v>271.93594999999999</v>
      </c>
      <c r="AE31" s="350">
        <f t="shared" si="173"/>
        <v>264.84899999999999</v>
      </c>
      <c r="AF31" s="349">
        <f t="shared" si="173"/>
        <v>238.39305000000002</v>
      </c>
      <c r="AG31" s="349">
        <f t="shared" si="173"/>
        <v>246</v>
      </c>
      <c r="AH31" s="349">
        <f t="shared" si="173"/>
        <v>307.18299999999999</v>
      </c>
      <c r="AI31" s="350">
        <f t="shared" si="173"/>
        <v>352.37300000000005</v>
      </c>
      <c r="AJ31" s="955">
        <f>SUM(AJ42,AJ53)</f>
        <v>228</v>
      </c>
      <c r="AK31" s="955">
        <f>SUM(AK42,AK53)</f>
        <v>217.31</v>
      </c>
      <c r="AL31" s="955">
        <v>349</v>
      </c>
      <c r="AM31" s="955">
        <v>352</v>
      </c>
      <c r="AN31" s="956">
        <v>347</v>
      </c>
      <c r="AO31" s="955">
        <v>382</v>
      </c>
      <c r="AP31" s="955">
        <v>372</v>
      </c>
      <c r="AQ31" s="955">
        <v>378</v>
      </c>
      <c r="AR31" s="956">
        <v>386</v>
      </c>
      <c r="AS31" s="955">
        <v>2063</v>
      </c>
      <c r="AT31" s="955">
        <v>2065</v>
      </c>
      <c r="AU31" s="955">
        <v>2077</v>
      </c>
      <c r="AV31" s="958">
        <v>2087</v>
      </c>
      <c r="AW31" s="957">
        <v>2115</v>
      </c>
      <c r="AX31" s="957">
        <v>2211</v>
      </c>
      <c r="AY31" s="955">
        <v>2150</v>
      </c>
      <c r="AZ31" s="958">
        <v>1879</v>
      </c>
      <c r="BA31" s="352">
        <f t="shared" ref="BA31" si="174">AZ31*(1+BA32)</f>
        <v>2198.4299999999998</v>
      </c>
      <c r="BB31" s="355">
        <f t="shared" ref="BB31" si="175">BA31*(1+BB32)</f>
        <v>2330.3357999999998</v>
      </c>
      <c r="BC31" s="353">
        <f t="shared" ref="BC31" si="176">BB31*(1+BC32)</f>
        <v>2423.5492319999998</v>
      </c>
      <c r="BD31" s="355">
        <f t="shared" ref="BD31" si="177">BC31*(1+BD32)</f>
        <v>2229.6652934399999</v>
      </c>
      <c r="BE31" s="355">
        <f t="shared" ref="BE31" si="178">BD31*(1+BE32)</f>
        <v>2296.5552522431999</v>
      </c>
      <c r="BF31" s="355">
        <f t="shared" ref="BF31" si="179">BE31*(1+BF32)</f>
        <v>2365.4519098104961</v>
      </c>
      <c r="BG31" s="353">
        <f t="shared" ref="BG31" si="180">BF31*(1+BG32)</f>
        <v>2389.1064289086012</v>
      </c>
      <c r="BH31" s="354">
        <f t="shared" ref="BH31" si="181">BG31*(1+BH32)</f>
        <v>2341.3243003304292</v>
      </c>
      <c r="BI31" s="355">
        <f t="shared" ref="BI31" si="182">BH31*(1+BI32)</f>
        <v>2411.5640293403421</v>
      </c>
      <c r="BJ31" s="355">
        <f t="shared" ref="BJ31" si="183">BI31*(1+BJ32)</f>
        <v>2483.9109502205524</v>
      </c>
      <c r="BK31" s="353">
        <f t="shared" ref="BK31" si="184">BJ31*(1+BK32)</f>
        <v>2483.9109502205524</v>
      </c>
      <c r="BL31" s="1445"/>
      <c r="BM31" s="357"/>
      <c r="BN31" s="357"/>
      <c r="BO31" s="357">
        <f>SUM(L31:O31)</f>
        <v>870.75</v>
      </c>
      <c r="BP31" s="357">
        <f>SUM(P31:S31)</f>
        <v>788</v>
      </c>
      <c r="BQ31" s="357">
        <f>SUM(T31:W31)</f>
        <v>959</v>
      </c>
      <c r="BR31" s="357">
        <f>SUM(X31:AA31)</f>
        <v>1124</v>
      </c>
      <c r="BS31" s="357">
        <f>SUM(AB31:AE31)</f>
        <v>1081.1069499999999</v>
      </c>
      <c r="BT31" s="357">
        <f>SUM(AF31:AI31)</f>
        <v>1143.9490500000002</v>
      </c>
      <c r="BU31" s="360">
        <f>SUM(AJ31:AM31)</f>
        <v>1146.31</v>
      </c>
      <c r="BV31" s="357">
        <f>SUM(AN31:AQ31)</f>
        <v>1479</v>
      </c>
      <c r="BW31" s="357">
        <f>SUM(AR31:AU31)</f>
        <v>6591</v>
      </c>
      <c r="BX31" s="357">
        <f>SUM(AV31:AY31)</f>
        <v>8563</v>
      </c>
      <c r="BY31" s="357">
        <f>SUM(AZ31:BC31)</f>
        <v>8831.3150319999986</v>
      </c>
      <c r="BZ31" s="357">
        <f>SUM(BD31:BG31)</f>
        <v>9280.7788844022962</v>
      </c>
      <c r="CA31" s="357">
        <f>SUM(BH31:BK31)</f>
        <v>9720.7102301118757</v>
      </c>
      <c r="CB31" s="1438"/>
      <c r="CC31" s="360"/>
      <c r="CD31" s="357">
        <f>SUM(I31:L31)</f>
        <v>116.58</v>
      </c>
      <c r="CE31" s="357">
        <f>SUM(M31:P31)</f>
        <v>971.17</v>
      </c>
      <c r="CF31" s="357">
        <f>SUM(Q31:T31)</f>
        <v>786</v>
      </c>
      <c r="CG31" s="357">
        <f>SUM(U31:X31)</f>
        <v>1016</v>
      </c>
      <c r="CH31" s="357">
        <f>SUM(Y31:AB31)</f>
        <v>1121.3</v>
      </c>
      <c r="CI31" s="360">
        <f>SUM(AC31:AF31)</f>
        <v>1050.1999999999998</v>
      </c>
      <c r="CJ31" s="357">
        <f>SUM(AG31:AJ31)</f>
        <v>1133.556</v>
      </c>
      <c r="CK31" s="360">
        <f>SUM(AK31:AN31)</f>
        <v>1265.31</v>
      </c>
      <c r="CL31" s="357">
        <f>SUM(AO31:AR31)</f>
        <v>1518</v>
      </c>
      <c r="CM31" s="357">
        <f>SUM(AS31:AV31)</f>
        <v>8292</v>
      </c>
      <c r="CN31" s="357">
        <f>SUM(AW31:AZ31)</f>
        <v>8355</v>
      </c>
      <c r="CO31" s="357">
        <f>SUM(BA31:BD31)</f>
        <v>9181.9803254399994</v>
      </c>
      <c r="CP31" s="358">
        <f>SUM(BE31:BH31)</f>
        <v>9392.4378912927259</v>
      </c>
      <c r="CQ31" s="1287">
        <f>(CO31/CM31)^(1/2)-1</f>
        <v>5.2297484474864264E-2</v>
      </c>
    </row>
    <row r="32" spans="1:95" s="7" customFormat="1" ht="14.25" customHeight="1">
      <c r="A32" s="511"/>
      <c r="B32" s="35" t="s">
        <v>110</v>
      </c>
      <c r="C32" s="240"/>
      <c r="D32" s="149"/>
      <c r="E32" s="87"/>
      <c r="F32" s="87"/>
      <c r="G32" s="88"/>
      <c r="H32" s="149"/>
      <c r="I32" s="87"/>
      <c r="J32" s="87"/>
      <c r="K32" s="88"/>
      <c r="L32" s="149"/>
      <c r="M32" s="87">
        <f t="shared" ref="M32:AZ32" si="185">M31/L31-1</f>
        <v>1.0748841996911991</v>
      </c>
      <c r="N32" s="87">
        <f t="shared" si="185"/>
        <v>6.8791599487370236E-2</v>
      </c>
      <c r="O32" s="88">
        <f t="shared" si="185"/>
        <v>-1.8489150195335036E-2</v>
      </c>
      <c r="P32" s="149">
        <f t="shared" si="185"/>
        <v>-0.14482758620689651</v>
      </c>
      <c r="Q32" s="87">
        <f t="shared" si="185"/>
        <v>-0.1428571428571429</v>
      </c>
      <c r="R32" s="87">
        <f t="shared" si="185"/>
        <v>0</v>
      </c>
      <c r="S32" s="88">
        <f t="shared" si="185"/>
        <v>6.9892473118279508E-2</v>
      </c>
      <c r="T32" s="149">
        <f t="shared" si="185"/>
        <v>8.040201005025116E-2</v>
      </c>
      <c r="U32" s="87">
        <f t="shared" si="185"/>
        <v>0.10232558139534875</v>
      </c>
      <c r="V32" s="87">
        <f t="shared" si="185"/>
        <v>3.3755274261603407E-2</v>
      </c>
      <c r="W32" s="88">
        <f t="shared" si="185"/>
        <v>6.938775510204076E-2</v>
      </c>
      <c r="X32" s="361">
        <f t="shared" si="185"/>
        <v>3.8167938931297662E-2</v>
      </c>
      <c r="Y32" s="362">
        <f t="shared" si="185"/>
        <v>0</v>
      </c>
      <c r="Z32" s="87">
        <f t="shared" si="185"/>
        <v>5.1470588235294157E-2</v>
      </c>
      <c r="AA32" s="88">
        <f t="shared" si="185"/>
        <v>2.7972027972027913E-2</v>
      </c>
      <c r="AB32" s="361">
        <f t="shared" si="185"/>
        <v>-8.4013605442176842E-2</v>
      </c>
      <c r="AC32" s="362">
        <f t="shared" si="185"/>
        <v>2.1247679168213907E-2</v>
      </c>
      <c r="AD32" s="362">
        <f t="shared" si="185"/>
        <v>-1.1221102311815057E-2</v>
      </c>
      <c r="AE32" s="88">
        <f t="shared" si="185"/>
        <v>-2.6061100049478592E-2</v>
      </c>
      <c r="AF32" s="361">
        <f t="shared" si="185"/>
        <v>-9.9890692432291539E-2</v>
      </c>
      <c r="AG32" s="362">
        <f t="shared" si="185"/>
        <v>3.1909277556539495E-2</v>
      </c>
      <c r="AH32" s="362">
        <f t="shared" si="185"/>
        <v>0.24871138211382116</v>
      </c>
      <c r="AI32" s="88">
        <f t="shared" si="185"/>
        <v>0.14711100549184053</v>
      </c>
      <c r="AJ32" s="362">
        <f t="shared" si="185"/>
        <v>-0.35295837081728743</v>
      </c>
      <c r="AK32" s="362">
        <f t="shared" si="185"/>
        <v>-4.6885964912280698E-2</v>
      </c>
      <c r="AL32" s="362">
        <f t="shared" si="185"/>
        <v>0.60600064424094602</v>
      </c>
      <c r="AM32" s="362">
        <f t="shared" si="185"/>
        <v>8.5959885386819312E-3</v>
      </c>
      <c r="AN32" s="361">
        <f t="shared" si="185"/>
        <v>-1.4204545454545414E-2</v>
      </c>
      <c r="AO32" s="362">
        <f t="shared" si="185"/>
        <v>0.10086455331412103</v>
      </c>
      <c r="AP32" s="362">
        <f t="shared" si="185"/>
        <v>-2.6178010471204161E-2</v>
      </c>
      <c r="AQ32" s="362">
        <f t="shared" si="185"/>
        <v>1.6129032258064502E-2</v>
      </c>
      <c r="AR32" s="361">
        <f t="shared" si="185"/>
        <v>2.1164021164021163E-2</v>
      </c>
      <c r="AS32" s="362">
        <f t="shared" si="185"/>
        <v>4.3445595854922283</v>
      </c>
      <c r="AT32" s="362">
        <f t="shared" si="185"/>
        <v>9.6946194861846635E-4</v>
      </c>
      <c r="AU32" s="362">
        <f t="shared" si="185"/>
        <v>5.8111380145278169E-3</v>
      </c>
      <c r="AV32" s="361">
        <f t="shared" si="185"/>
        <v>4.8146364949446241E-3</v>
      </c>
      <c r="AW32" s="362">
        <f t="shared" si="185"/>
        <v>1.3416387158600829E-2</v>
      </c>
      <c r="AX32" s="362">
        <f t="shared" si="185"/>
        <v>4.5390070921985881E-2</v>
      </c>
      <c r="AY32" s="362">
        <f t="shared" si="185"/>
        <v>-2.7589326096788769E-2</v>
      </c>
      <c r="AZ32" s="361">
        <f t="shared" si="185"/>
        <v>-0.12604651162790703</v>
      </c>
      <c r="BA32" s="362">
        <v>0.17</v>
      </c>
      <c r="BB32" s="1308">
        <v>0.06</v>
      </c>
      <c r="BC32" s="1309">
        <v>0.04</v>
      </c>
      <c r="BD32" s="1313">
        <v>-0.08</v>
      </c>
      <c r="BE32" s="1229">
        <v>0.03</v>
      </c>
      <c r="BF32" s="1229">
        <v>0.03</v>
      </c>
      <c r="BG32" s="1395">
        <v>0.01</v>
      </c>
      <c r="BH32" s="1313">
        <v>-0.02</v>
      </c>
      <c r="BI32" s="1308">
        <v>0.03</v>
      </c>
      <c r="BJ32" s="1308">
        <v>0.03</v>
      </c>
      <c r="BK32" s="1395">
        <v>0</v>
      </c>
      <c r="BL32" s="1391"/>
      <c r="BM32" s="241"/>
      <c r="BN32" s="241"/>
      <c r="BO32" s="241"/>
      <c r="BP32" s="241"/>
      <c r="BQ32" s="241"/>
      <c r="BR32" s="241"/>
      <c r="BS32" s="748"/>
      <c r="BT32" s="241"/>
      <c r="BU32" s="629"/>
      <c r="BV32" s="241"/>
      <c r="BW32" s="241"/>
      <c r="BX32" s="241"/>
      <c r="BY32" s="1238"/>
      <c r="BZ32" s="1314"/>
      <c r="CA32" s="1314"/>
      <c r="CB32" s="19"/>
      <c r="CC32" s="629"/>
      <c r="CD32" s="241"/>
      <c r="CE32" s="241"/>
      <c r="CF32" s="241"/>
      <c r="CG32" s="241"/>
      <c r="CH32" s="241"/>
      <c r="CI32" s="629"/>
      <c r="CJ32" s="241"/>
      <c r="CK32" s="1204"/>
      <c r="CL32" s="1199"/>
      <c r="CM32" s="1199"/>
      <c r="CN32" s="1314"/>
      <c r="CO32" s="1314"/>
      <c r="CP32" s="1315"/>
    </row>
    <row r="33" spans="1:94" s="7" customFormat="1" ht="14.25" customHeight="1">
      <c r="A33" s="511"/>
      <c r="B33" s="35" t="s">
        <v>202</v>
      </c>
      <c r="C33" s="240"/>
      <c r="D33" s="149"/>
      <c r="E33" s="87"/>
      <c r="F33" s="87"/>
      <c r="G33" s="88"/>
      <c r="H33" s="149"/>
      <c r="I33" s="87"/>
      <c r="J33" s="87"/>
      <c r="K33" s="88"/>
      <c r="L33" s="149"/>
      <c r="M33" s="87"/>
      <c r="N33" s="87"/>
      <c r="O33" s="88"/>
      <c r="P33" s="149"/>
      <c r="Q33" s="87"/>
      <c r="R33" s="87"/>
      <c r="S33" s="88"/>
      <c r="T33" s="149"/>
      <c r="U33" s="87"/>
      <c r="V33" s="87"/>
      <c r="W33" s="88"/>
      <c r="X33" s="87"/>
      <c r="Y33" s="87"/>
      <c r="Z33" s="87"/>
      <c r="AA33" s="88"/>
      <c r="AB33" s="87">
        <f t="shared" ref="AB33:AI33" si="186">AVERAGE(X32,T32,P32,L32,H32)</f>
        <v>-8.7525457417825612E-3</v>
      </c>
      <c r="AC33" s="87">
        <f t="shared" si="186"/>
        <v>0.25858815955735126</v>
      </c>
      <c r="AD33" s="87">
        <f t="shared" si="186"/>
        <v>3.850436549606695E-2</v>
      </c>
      <c r="AE33" s="88">
        <f t="shared" si="186"/>
        <v>3.7190776499253286E-2</v>
      </c>
      <c r="AF33" s="87">
        <f t="shared" si="186"/>
        <v>-2.7567810666881132E-2</v>
      </c>
      <c r="AG33" s="87">
        <f t="shared" si="186"/>
        <v>0.21112006347952378</v>
      </c>
      <c r="AH33" s="241">
        <f t="shared" si="186"/>
        <v>2.8559271934490548E-2</v>
      </c>
      <c r="AI33" s="88">
        <f t="shared" si="186"/>
        <v>2.454040118950691E-2</v>
      </c>
      <c r="AJ33" s="241">
        <f t="shared" ref="AJ33:AZ33" si="187">AVERAGE(AF32,AB32,X32,T32,P32)</f>
        <v>-4.2032387019963216E-2</v>
      </c>
      <c r="AK33" s="241">
        <f t="shared" si="187"/>
        <v>2.5250790525918497E-3</v>
      </c>
      <c r="AL33" s="241">
        <f t="shared" si="187"/>
        <v>6.4543228459780735E-2</v>
      </c>
      <c r="AM33" s="241">
        <f t="shared" si="187"/>
        <v>5.7660432326942027E-2</v>
      </c>
      <c r="AN33" s="629">
        <f t="shared" si="187"/>
        <v>-8.3658543942041391E-2</v>
      </c>
      <c r="AO33" s="241">
        <f t="shared" si="187"/>
        <v>2.1719314641564291E-2</v>
      </c>
      <c r="AP33" s="241">
        <f t="shared" si="187"/>
        <v>0.18574335730796993</v>
      </c>
      <c r="AQ33" s="241">
        <f t="shared" si="187"/>
        <v>4.540113541102251E-2</v>
      </c>
      <c r="AR33" s="629">
        <f t="shared" si="187"/>
        <v>-0.10257985504300071</v>
      </c>
      <c r="AS33" s="241">
        <f t="shared" si="187"/>
        <v>2.1427109025318747E-2</v>
      </c>
      <c r="AT33" s="1149">
        <f t="shared" si="187"/>
        <v>0.17375670036140842</v>
      </c>
      <c r="AU33" s="1222">
        <f t="shared" si="187"/>
        <v>3.4749390842227258E-2</v>
      </c>
      <c r="AV33" s="1319">
        <f t="shared" si="187"/>
        <v>-0.10598063859645601</v>
      </c>
      <c r="AW33" s="1314">
        <f t="shared" si="187"/>
        <v>0.89033902612376448</v>
      </c>
      <c r="AX33" s="1314">
        <f t="shared" si="187"/>
        <v>0.16365647510407327</v>
      </c>
      <c r="AY33" s="1314">
        <f t="shared" si="187"/>
        <v>3.0317212850727238E-2</v>
      </c>
      <c r="AZ33" s="1319">
        <f t="shared" si="187"/>
        <v>-8.8214990209031716E-2</v>
      </c>
      <c r="BA33" s="1314">
        <f t="shared" ref="BA33" si="188">AVERAGE(AW32,AS32,AO32,AK32,AG32)</f>
        <v>0.88877276772184177</v>
      </c>
      <c r="BB33" s="1314">
        <f t="shared" ref="BB33" si="189">AVERAGE(AX32,AT32,AP32,AL32,AH32)</f>
        <v>0.17497870975083346</v>
      </c>
      <c r="BC33" s="1315">
        <f t="shared" ref="BC33" si="190">AVERAGE(AY32,AU32,AQ32,AM32,AI32)</f>
        <v>3.0011567641265204E-2</v>
      </c>
      <c r="BD33" s="1314">
        <f t="shared" ref="BD33" si="191">AVERAGE(AZ32,AV32,AR32,AN32,AJ32)</f>
        <v>-9.3446154048154817E-2</v>
      </c>
      <c r="BE33" s="1314">
        <f t="shared" ref="BE33" si="192">AVERAGE(BA32,AW32,AS32,AO32,AK32)</f>
        <v>0.91639091221053393</v>
      </c>
      <c r="BF33" s="1314">
        <f t="shared" ref="BF33" si="193">AVERAGE(BB32,AX32,AT32,AP32,AL32)</f>
        <v>0.13723643332806926</v>
      </c>
      <c r="BG33" s="1442">
        <f t="shared" ref="BG33" si="194">AVERAGE(BC32,AY32,AU32,AQ32,AM32)</f>
        <v>8.5893665428970964E-3</v>
      </c>
      <c r="BH33" s="1319">
        <f t="shared" ref="BH33" si="195">AVERAGE(BD32,AZ32,AV32,AR32,AN32)</f>
        <v>-3.8854479884697334E-2</v>
      </c>
      <c r="BI33" s="1314">
        <f t="shared" ref="BI33" si="196">AVERAGE(BE32,BA32,AW32,AS32,AO32)</f>
        <v>0.93176810519299003</v>
      </c>
      <c r="BJ33" s="1314">
        <f t="shared" ref="BJ33" si="197">AVERAGE(BF32,BB32,AX32,AT32,AP32)</f>
        <v>2.2036304479880038E-2</v>
      </c>
      <c r="BK33" s="1442">
        <f t="shared" ref="BK33" si="198">AVERAGE(BG32,BC32,AY32,AU32,AQ32)</f>
        <v>8.8701688351607109E-3</v>
      </c>
      <c r="BL33" s="1391"/>
      <c r="BM33" s="241"/>
      <c r="BN33" s="241"/>
      <c r="BO33" s="241"/>
      <c r="BP33" s="241"/>
      <c r="BQ33" s="241"/>
      <c r="BR33" s="241"/>
      <c r="BS33" s="241"/>
      <c r="BT33" s="241"/>
      <c r="BU33" s="629"/>
      <c r="BV33" s="241"/>
      <c r="BW33" s="241"/>
      <c r="BX33" s="241"/>
      <c r="BY33" s="1238"/>
      <c r="BZ33" s="1314"/>
      <c r="CA33" s="1314"/>
      <c r="CB33" s="19"/>
      <c r="CC33" s="629"/>
      <c r="CD33" s="241"/>
      <c r="CE33" s="241"/>
      <c r="CF33" s="241"/>
      <c r="CG33" s="241"/>
      <c r="CH33" s="241"/>
      <c r="CI33" s="629"/>
      <c r="CJ33" s="241"/>
      <c r="CK33" s="1204"/>
      <c r="CL33" s="1199"/>
      <c r="CM33" s="1199"/>
      <c r="CN33" s="1314"/>
      <c r="CO33" s="1314"/>
      <c r="CP33" s="1315"/>
    </row>
    <row r="34" spans="1:94" s="369" customFormat="1" ht="14.25" customHeight="1">
      <c r="A34" s="512"/>
      <c r="B34" s="363" t="s">
        <v>111</v>
      </c>
      <c r="C34" s="364"/>
      <c r="D34" s="361"/>
      <c r="E34" s="362"/>
      <c r="F34" s="362"/>
      <c r="G34" s="365"/>
      <c r="H34" s="361"/>
      <c r="I34" s="362"/>
      <c r="J34" s="362"/>
      <c r="K34" s="365"/>
      <c r="L34" s="361"/>
      <c r="M34" s="362"/>
      <c r="N34" s="362"/>
      <c r="O34" s="365"/>
      <c r="P34" s="361">
        <f t="shared" ref="P34:AZ34" si="199">P31/L31-1</f>
        <v>0.86138274146508831</v>
      </c>
      <c r="Q34" s="362">
        <f t="shared" si="199"/>
        <v>-0.23105543842242338</v>
      </c>
      <c r="R34" s="362">
        <f t="shared" si="199"/>
        <v>-0.2805477120643638</v>
      </c>
      <c r="S34" s="365">
        <f t="shared" si="199"/>
        <v>-0.21576354679802956</v>
      </c>
      <c r="T34" s="361">
        <f t="shared" si="199"/>
        <v>-9.2165898617511122E-3</v>
      </c>
      <c r="U34" s="362">
        <f t="shared" si="199"/>
        <v>0.27419354838709675</v>
      </c>
      <c r="V34" s="362">
        <f t="shared" si="199"/>
        <v>0.31720430107526876</v>
      </c>
      <c r="W34" s="365">
        <f t="shared" si="199"/>
        <v>0.31658291457286425</v>
      </c>
      <c r="X34" s="361">
        <f t="shared" si="199"/>
        <v>0.26511627906976742</v>
      </c>
      <c r="Y34" s="362">
        <f t="shared" si="199"/>
        <v>0.14767932489451474</v>
      </c>
      <c r="Z34" s="362">
        <f t="shared" si="199"/>
        <v>0.16734693877551021</v>
      </c>
      <c r="AA34" s="365">
        <f t="shared" si="199"/>
        <v>0.12213740458015265</v>
      </c>
      <c r="AB34" s="361">
        <f t="shared" si="199"/>
        <v>-9.9264705882352589E-3</v>
      </c>
      <c r="AC34" s="362">
        <f t="shared" si="199"/>
        <v>1.1110294117647079E-2</v>
      </c>
      <c r="AD34" s="362">
        <f t="shared" si="199"/>
        <v>-4.917500000000008E-2</v>
      </c>
      <c r="AE34" s="365">
        <f t="shared" si="199"/>
        <v>-9.9153061224489858E-2</v>
      </c>
      <c r="AF34" s="361">
        <f t="shared" si="199"/>
        <v>-0.11476773115484584</v>
      </c>
      <c r="AG34" s="362">
        <f t="shared" si="199"/>
        <v>-0.1055261033662761</v>
      </c>
      <c r="AH34" s="362">
        <f t="shared" si="199"/>
        <v>0.1296152641826136</v>
      </c>
      <c r="AI34" s="365">
        <f t="shared" si="199"/>
        <v>0.3304675494338285</v>
      </c>
      <c r="AJ34" s="362">
        <f t="shared" si="199"/>
        <v>-4.3596279337841493E-2</v>
      </c>
      <c r="AK34" s="362">
        <f t="shared" si="199"/>
        <v>-0.11662601626016256</v>
      </c>
      <c r="AL34" s="362">
        <f t="shared" si="199"/>
        <v>0.13613058014278145</v>
      </c>
      <c r="AM34" s="362">
        <f t="shared" si="199"/>
        <v>-1.0585374021280236E-3</v>
      </c>
      <c r="AN34" s="361">
        <f t="shared" si="199"/>
        <v>0.52192982456140347</v>
      </c>
      <c r="AO34" s="362">
        <f t="shared" si="199"/>
        <v>0.75785743868206712</v>
      </c>
      <c r="AP34" s="362">
        <f t="shared" si="199"/>
        <v>6.5902578796561695E-2</v>
      </c>
      <c r="AQ34" s="362">
        <f t="shared" si="199"/>
        <v>7.3863636363636465E-2</v>
      </c>
      <c r="AR34" s="361">
        <f t="shared" si="199"/>
        <v>0.11239193083573484</v>
      </c>
      <c r="AS34" s="362">
        <f t="shared" si="199"/>
        <v>4.4005235602094244</v>
      </c>
      <c r="AT34" s="362">
        <f t="shared" si="199"/>
        <v>4.551075268817204</v>
      </c>
      <c r="AU34" s="362">
        <f t="shared" si="199"/>
        <v>4.4947089947089944</v>
      </c>
      <c r="AV34" s="361">
        <f t="shared" si="199"/>
        <v>4.4067357512953365</v>
      </c>
      <c r="AW34" s="362">
        <f t="shared" si="199"/>
        <v>2.5206010664081457E-2</v>
      </c>
      <c r="AX34" s="362">
        <f t="shared" si="199"/>
        <v>7.0702179176755475E-2</v>
      </c>
      <c r="AY34" s="362">
        <f t="shared" si="199"/>
        <v>3.5146846413095734E-2</v>
      </c>
      <c r="AZ34" s="361">
        <f t="shared" si="199"/>
        <v>-9.9664590321035029E-2</v>
      </c>
      <c r="BA34" s="362">
        <f t="shared" ref="BA34" si="200">BA31/AW31-1</f>
        <v>3.9446808510638309E-2</v>
      </c>
      <c r="BB34" s="362">
        <f t="shared" ref="BB34" si="201">BB31/AX31-1</f>
        <v>5.3973677069199422E-2</v>
      </c>
      <c r="BC34" s="365">
        <f t="shared" ref="BC34" si="202">BC31/AY31-1</f>
        <v>0.12723220093023246</v>
      </c>
      <c r="BD34" s="362">
        <f t="shared" ref="BD34" si="203">BD31/AZ31-1</f>
        <v>0.18662336000000002</v>
      </c>
      <c r="BE34" s="362">
        <f t="shared" ref="BE34" si="204">BE31/BA31-1</f>
        <v>4.4634239999999936E-2</v>
      </c>
      <c r="BF34" s="362">
        <f t="shared" ref="BF34" si="205">BF31/BB31-1</f>
        <v>1.5069120000000158E-2</v>
      </c>
      <c r="BG34" s="1441">
        <f t="shared" ref="BG34" si="206">BG31/BC31-1</f>
        <v>-1.4211719999999817E-2</v>
      </c>
      <c r="BH34" s="361">
        <f t="shared" ref="BH34" si="207">BH31/BD31-1</f>
        <v>5.007882000000019E-2</v>
      </c>
      <c r="BI34" s="362">
        <f t="shared" ref="BI34" si="208">BI31/BE31-1</f>
        <v>5.007882000000019E-2</v>
      </c>
      <c r="BJ34" s="362">
        <f t="shared" ref="BJ34" si="209">BJ31/BF31-1</f>
        <v>5.007882000000019E-2</v>
      </c>
      <c r="BK34" s="1441">
        <f t="shared" ref="BK34" si="210">BK31/BG31-1</f>
        <v>3.9681999999999995E-2</v>
      </c>
      <c r="BL34" s="1446"/>
      <c r="BM34" s="362"/>
      <c r="BN34" s="301"/>
      <c r="BO34" s="301"/>
      <c r="BP34" s="301"/>
      <c r="BQ34" s="301"/>
      <c r="BR34" s="301"/>
      <c r="BS34" s="301"/>
      <c r="BT34" s="301"/>
      <c r="BU34" s="632">
        <f t="shared" ref="BU34:CA34" si="211">BU31/BT31-1</f>
        <v>2.0638594000317312E-3</v>
      </c>
      <c r="BV34" s="301">
        <f t="shared" si="211"/>
        <v>0.29022690197241596</v>
      </c>
      <c r="BW34" s="301">
        <f t="shared" si="211"/>
        <v>3.4563894523326573</v>
      </c>
      <c r="BX34" s="301">
        <f t="shared" si="211"/>
        <v>0.29919587316037011</v>
      </c>
      <c r="BY34" s="301">
        <f t="shared" si="211"/>
        <v>3.1334232395188399E-2</v>
      </c>
      <c r="BZ34" s="301">
        <f t="shared" si="211"/>
        <v>5.0894328961618829E-2</v>
      </c>
      <c r="CA34" s="301">
        <f t="shared" si="211"/>
        <v>4.7402416455470942E-2</v>
      </c>
      <c r="CB34" s="366"/>
      <c r="CC34" s="632"/>
      <c r="CD34" s="301"/>
      <c r="CE34" s="301"/>
      <c r="CF34" s="301"/>
      <c r="CG34" s="301"/>
      <c r="CH34" s="301"/>
      <c r="CI34" s="632">
        <f t="shared" ref="CI34:CP34" si="212">CI31/CH31-1</f>
        <v>-6.3408543654686622E-2</v>
      </c>
      <c r="CJ34" s="301">
        <f t="shared" si="212"/>
        <v>7.9371548276518933E-2</v>
      </c>
      <c r="CK34" s="632">
        <f t="shared" si="212"/>
        <v>0.1162306934990418</v>
      </c>
      <c r="CL34" s="301">
        <f t="shared" si="212"/>
        <v>0.19970600090096502</v>
      </c>
      <c r="CM34" s="301">
        <f t="shared" si="212"/>
        <v>4.4624505928853759</v>
      </c>
      <c r="CN34" s="301">
        <f t="shared" si="212"/>
        <v>7.5976845151952688E-3</v>
      </c>
      <c r="CO34" s="301">
        <f t="shared" si="212"/>
        <v>9.898029029802502E-2</v>
      </c>
      <c r="CP34" s="367">
        <f t="shared" si="212"/>
        <v>2.2920716271807251E-2</v>
      </c>
    </row>
    <row r="35" spans="1:94" s="7" customFormat="1" ht="14.25" customHeight="1">
      <c r="A35" s="511"/>
      <c r="B35" s="35" t="s">
        <v>112</v>
      </c>
      <c r="C35" s="240"/>
      <c r="D35" s="87"/>
      <c r="E35" s="87"/>
      <c r="F35" s="87"/>
      <c r="G35" s="88"/>
      <c r="H35" s="87"/>
      <c r="I35" s="87"/>
      <c r="J35" s="87"/>
      <c r="K35" s="88"/>
      <c r="L35" s="149">
        <f t="shared" ref="L35:AK35" si="213">L31/L$108</f>
        <v>0.28999999999999998</v>
      </c>
      <c r="M35" s="87">
        <f t="shared" si="213"/>
        <v>0.5885401459854015</v>
      </c>
      <c r="N35" s="87">
        <f t="shared" si="213"/>
        <v>0.58890660592255106</v>
      </c>
      <c r="O35" s="88">
        <f t="shared" si="213"/>
        <v>0.56767337807606266</v>
      </c>
      <c r="P35" s="149">
        <f t="shared" si="213"/>
        <v>0.58967391304347827</v>
      </c>
      <c r="Q35" s="87">
        <f t="shared" si="213"/>
        <v>0.5723076923076923</v>
      </c>
      <c r="R35" s="87">
        <f t="shared" si="213"/>
        <v>0.51239669421487599</v>
      </c>
      <c r="S35" s="88">
        <f t="shared" si="213"/>
        <v>0.46495327102803741</v>
      </c>
      <c r="T35" s="149">
        <f t="shared" si="213"/>
        <v>0.47149122807017546</v>
      </c>
      <c r="U35" s="87">
        <f t="shared" si="213"/>
        <v>0.46019417475728153</v>
      </c>
      <c r="V35" s="87">
        <f t="shared" si="213"/>
        <v>0.44545454545454544</v>
      </c>
      <c r="W35" s="88">
        <f t="shared" si="213"/>
        <v>0.45804195804195802</v>
      </c>
      <c r="X35" s="361">
        <f t="shared" si="213"/>
        <v>0.49454545454545457</v>
      </c>
      <c r="Y35" s="362">
        <f t="shared" si="213"/>
        <v>0.48571428571428571</v>
      </c>
      <c r="Z35" s="87">
        <f t="shared" si="213"/>
        <v>0.47429519071310117</v>
      </c>
      <c r="AA35" s="88">
        <f t="shared" si="213"/>
        <v>0.47191011235955055</v>
      </c>
      <c r="AB35" s="361">
        <f t="shared" si="213"/>
        <v>0.47833037300177622</v>
      </c>
      <c r="AC35" s="362">
        <f t="shared" si="213"/>
        <v>0.47664124783362216</v>
      </c>
      <c r="AD35" s="362">
        <f t="shared" si="213"/>
        <v>0.44873919141914193</v>
      </c>
      <c r="AE35" s="88">
        <f t="shared" si="213"/>
        <v>0.42855825242718443</v>
      </c>
      <c r="AF35" s="361">
        <f t="shared" si="213"/>
        <v>0.41387682291666672</v>
      </c>
      <c r="AG35" s="362">
        <f t="shared" si="213"/>
        <v>0.4377224199288256</v>
      </c>
      <c r="AH35" s="87">
        <f t="shared" si="213"/>
        <v>0.4769922360248447</v>
      </c>
      <c r="AI35" s="88">
        <f t="shared" si="213"/>
        <v>0.47747018970189709</v>
      </c>
      <c r="AJ35" s="87">
        <f t="shared" si="213"/>
        <v>0.36026925386341369</v>
      </c>
      <c r="AK35" s="87">
        <f t="shared" si="213"/>
        <v>0.31</v>
      </c>
      <c r="AL35" s="87">
        <f t="shared" ref="AL35:AQ35" si="214">AL31/AL$108</f>
        <v>0.27117327117327117</v>
      </c>
      <c r="AM35" s="87">
        <f t="shared" si="214"/>
        <v>0.2186335403726708</v>
      </c>
      <c r="AN35" s="149">
        <f t="shared" si="214"/>
        <v>0.20941460470730236</v>
      </c>
      <c r="AO35" s="87">
        <f t="shared" si="214"/>
        <v>0.23221884498480244</v>
      </c>
      <c r="AP35" s="943">
        <f t="shared" si="214"/>
        <v>0.21257142857142858</v>
      </c>
      <c r="AQ35" s="943">
        <f t="shared" si="214"/>
        <v>0.20399352401511064</v>
      </c>
      <c r="AR35" s="945">
        <f t="shared" ref="AR35:AU35" si="215">AR31/AR$108</f>
        <v>0.21661054994388329</v>
      </c>
      <c r="AS35" s="1000">
        <f t="shared" si="215"/>
        <v>0.5791690061763054</v>
      </c>
      <c r="AT35" s="1177">
        <f t="shared" si="215"/>
        <v>0.54313519200420834</v>
      </c>
      <c r="AU35" s="1220">
        <f t="shared" si="215"/>
        <v>0.5009647853352629</v>
      </c>
      <c r="AV35" s="1313">
        <f t="shared" ref="AV35:AW35" si="216">AV31/AV$108</f>
        <v>0.50301277416244883</v>
      </c>
      <c r="AW35" s="1308">
        <f t="shared" si="216"/>
        <v>0.50345155915258277</v>
      </c>
      <c r="AX35" s="1308">
        <f t="shared" ref="AX35:AZ35" si="217">AX31/AX$108</f>
        <v>0.49496306245802552</v>
      </c>
      <c r="AY35" s="1308">
        <f t="shared" si="217"/>
        <v>0.44348184818481851</v>
      </c>
      <c r="AZ35" s="1313">
        <f t="shared" si="217"/>
        <v>0.35246670418308007</v>
      </c>
      <c r="BA35" s="1308">
        <f t="shared" ref="BA35:BC35" si="218">BA31/BA$108</f>
        <v>0.4387173121747181</v>
      </c>
      <c r="BB35" s="1308">
        <f t="shared" si="218"/>
        <v>0.44708669352266461</v>
      </c>
      <c r="BC35" s="1309">
        <f t="shared" si="218"/>
        <v>0.43411280207810055</v>
      </c>
      <c r="BD35" s="1308">
        <f t="shared" ref="BD35:BG35" si="219">BD31/BD$108</f>
        <v>0.41822716880377608</v>
      </c>
      <c r="BE35" s="1229">
        <f t="shared" si="219"/>
        <v>0.44350215470847715</v>
      </c>
      <c r="BF35" s="1229">
        <f t="shared" si="219"/>
        <v>0.42642073987045359</v>
      </c>
      <c r="BG35" s="1395">
        <f t="shared" si="219"/>
        <v>0.38673407303491558</v>
      </c>
      <c r="BH35" s="1313">
        <f t="shared" ref="BH35:BK35" si="220">BH31/BH$108</f>
        <v>0.39667823760090448</v>
      </c>
      <c r="BI35" s="1308">
        <f t="shared" si="220"/>
        <v>0.43167883678229796</v>
      </c>
      <c r="BJ35" s="1308">
        <f t="shared" si="220"/>
        <v>0.42728290396338703</v>
      </c>
      <c r="BK35" s="1395">
        <f t="shared" si="220"/>
        <v>0.40177682803871873</v>
      </c>
      <c r="BL35" s="1391"/>
      <c r="BM35" s="301"/>
      <c r="BN35" s="301"/>
      <c r="BO35" s="301">
        <f t="shared" ref="BO35:BX35" si="221">BO31/BO$108</f>
        <v>0.51250735726898178</v>
      </c>
      <c r="BP35" s="301">
        <f t="shared" si="221"/>
        <v>0.53099730458221028</v>
      </c>
      <c r="BQ35" s="301">
        <f t="shared" si="221"/>
        <v>0.45819397993311034</v>
      </c>
      <c r="BR35" s="301">
        <f t="shared" si="221"/>
        <v>0.48116438356164382</v>
      </c>
      <c r="BS35" s="301">
        <f t="shared" si="221"/>
        <v>0.45732104483925545</v>
      </c>
      <c r="BT35" s="301">
        <f t="shared" si="221"/>
        <v>0.45394803571428577</v>
      </c>
      <c r="BU35" s="632">
        <f t="shared" si="221"/>
        <v>0.27094018710144036</v>
      </c>
      <c r="BV35" s="301">
        <f t="shared" si="221"/>
        <v>0.21419261404779147</v>
      </c>
      <c r="BW35" s="301">
        <f t="shared" si="221"/>
        <v>0.49586217273548</v>
      </c>
      <c r="BX35" s="301">
        <f t="shared" si="221"/>
        <v>0.48474384375884516</v>
      </c>
      <c r="BY35" s="301">
        <f t="shared" ref="BY35:BZ35" si="222">BY31/BY$108</f>
        <v>0.41781165312801388</v>
      </c>
      <c r="BZ35" s="301">
        <f t="shared" si="222"/>
        <v>0.41740762565375755</v>
      </c>
      <c r="CA35" s="301">
        <f t="shared" ref="CA35" si="223">CA31/CA$108</f>
        <v>0.4139222180946564</v>
      </c>
      <c r="CB35" s="19"/>
      <c r="CC35" s="632"/>
      <c r="CD35" s="301"/>
      <c r="CE35" s="301"/>
      <c r="CF35" s="301"/>
      <c r="CG35" s="301"/>
      <c r="CH35" s="301"/>
      <c r="CI35" s="632">
        <f t="shared" ref="CI35:CN35" si="224">CI31/CI$108</f>
        <v>0.44181741691207399</v>
      </c>
      <c r="CJ35" s="301">
        <f t="shared" si="224"/>
        <v>0.43989817064178882</v>
      </c>
      <c r="CK35" s="632">
        <f t="shared" si="224"/>
        <v>0.24078211227402474</v>
      </c>
      <c r="CL35" s="301">
        <f t="shared" si="224"/>
        <v>0.21593172119487908</v>
      </c>
      <c r="CM35" s="301">
        <f t="shared" si="224"/>
        <v>0.52953573025097389</v>
      </c>
      <c r="CN35" s="301">
        <f t="shared" si="224"/>
        <v>0.44330662704939777</v>
      </c>
      <c r="CO35" s="301">
        <f t="shared" ref="CO35" si="225">CO31/CO$108</f>
        <v>0.43439698310490504</v>
      </c>
      <c r="CP35" s="367">
        <f t="shared" ref="CP35" si="226">CP31/CP$108</f>
        <v>0.41185101903095428</v>
      </c>
    </row>
    <row r="36" spans="1:94" s="7" customFormat="1" ht="14.25" customHeight="1">
      <c r="A36" s="511"/>
      <c r="B36" s="35"/>
      <c r="C36" s="240"/>
      <c r="D36" s="87"/>
      <c r="E36" s="87"/>
      <c r="F36" s="87"/>
      <c r="G36" s="88"/>
      <c r="H36" s="87"/>
      <c r="I36" s="87"/>
      <c r="J36" s="87"/>
      <c r="K36" s="88"/>
      <c r="L36" s="87"/>
      <c r="M36" s="87"/>
      <c r="N36" s="87"/>
      <c r="O36" s="88"/>
      <c r="P36" s="87"/>
      <c r="Q36" s="87"/>
      <c r="R36" s="87"/>
      <c r="S36" s="88"/>
      <c r="T36" s="87"/>
      <c r="U36" s="87"/>
      <c r="V36" s="87"/>
      <c r="W36" s="88"/>
      <c r="X36" s="87"/>
      <c r="Y36" s="87"/>
      <c r="Z36" s="87"/>
      <c r="AA36" s="88"/>
      <c r="AB36" s="87"/>
      <c r="AC36" s="87"/>
      <c r="AD36" s="87"/>
      <c r="AE36" s="88"/>
      <c r="AF36" s="87"/>
      <c r="AG36" s="87"/>
      <c r="AH36" s="89"/>
      <c r="AI36" s="90"/>
      <c r="AJ36" s="89"/>
      <c r="AK36" s="89"/>
      <c r="AL36" s="89"/>
      <c r="AM36" s="89"/>
      <c r="AN36" s="91"/>
      <c r="AO36" s="89"/>
      <c r="AP36" s="89"/>
      <c r="AQ36" s="89"/>
      <c r="AR36" s="91"/>
      <c r="AS36" s="89"/>
      <c r="AT36" s="89"/>
      <c r="AU36" s="1221"/>
      <c r="AV36" s="1312"/>
      <c r="AW36" s="1310"/>
      <c r="AX36" s="1310"/>
      <c r="AY36" s="1310"/>
      <c r="AZ36" s="1312"/>
      <c r="BA36" s="1310"/>
      <c r="BB36" s="1310"/>
      <c r="BC36" s="1311"/>
      <c r="BD36" s="1310"/>
      <c r="BE36" s="1231"/>
      <c r="BF36" s="1231"/>
      <c r="BG36" s="1396"/>
      <c r="BH36" s="1312"/>
      <c r="BI36" s="1310"/>
      <c r="BJ36" s="1310"/>
      <c r="BK36" s="1396"/>
      <c r="BL36" s="1391"/>
      <c r="BM36" s="241"/>
      <c r="BN36" s="241"/>
      <c r="BO36" s="241"/>
      <c r="BP36" s="241"/>
      <c r="BQ36" s="241"/>
      <c r="BR36" s="241"/>
      <c r="BS36" s="241"/>
      <c r="BT36" s="241"/>
      <c r="BU36" s="629"/>
      <c r="BV36" s="241"/>
      <c r="BW36" s="241"/>
      <c r="BX36" s="241"/>
      <c r="BY36" s="1238"/>
      <c r="BZ36" s="1314"/>
      <c r="CA36" s="1314"/>
      <c r="CB36" s="19"/>
      <c r="CC36" s="629"/>
      <c r="CD36" s="241"/>
      <c r="CE36" s="241"/>
      <c r="CF36" s="241"/>
      <c r="CG36" s="241"/>
      <c r="CH36" s="241"/>
      <c r="CI36" s="629"/>
      <c r="CJ36" s="241"/>
      <c r="CK36" s="1204"/>
      <c r="CL36" s="1199"/>
      <c r="CM36" s="1199"/>
      <c r="CN36" s="1314"/>
      <c r="CO36" s="1314"/>
      <c r="CP36" s="1315"/>
    </row>
    <row r="37" spans="1:94" s="7" customFormat="1" ht="14.25" customHeight="1">
      <c r="A37" s="511"/>
      <c r="B37" s="43" t="str">
        <f>$B$31&amp;" Gross Margin"</f>
        <v>Wired Infrastructure Revenue Gross Margin</v>
      </c>
      <c r="C37" s="240"/>
      <c r="D37" s="370"/>
      <c r="E37" s="371"/>
      <c r="F37" s="371"/>
      <c r="G37" s="372"/>
      <c r="H37" s="370"/>
      <c r="I37" s="371"/>
      <c r="J37" s="371"/>
      <c r="K37" s="372"/>
      <c r="L37" s="370">
        <f>L35*L$129</f>
        <v>49.879999999999995</v>
      </c>
      <c r="M37" s="371">
        <f t="shared" ref="M37:AK37" si="227">M35*M$129</f>
        <v>102.40598540145986</v>
      </c>
      <c r="N37" s="371">
        <f t="shared" si="227"/>
        <v>110.7144419134396</v>
      </c>
      <c r="O37" s="372">
        <f t="shared" si="227"/>
        <v>104.45190156599553</v>
      </c>
      <c r="P37" s="370">
        <f t="shared" si="227"/>
        <v>96.706521739130437</v>
      </c>
      <c r="Q37" s="371">
        <f t="shared" si="227"/>
        <v>65.815384615384616</v>
      </c>
      <c r="R37" s="371">
        <f t="shared" si="227"/>
        <v>80.958677685950406</v>
      </c>
      <c r="S37" s="372">
        <f t="shared" si="227"/>
        <v>89.271028037383189</v>
      </c>
      <c r="T37" s="370">
        <f t="shared" si="227"/>
        <v>98.541666666666671</v>
      </c>
      <c r="U37" s="371">
        <f t="shared" si="227"/>
        <v>114.12815533980582</v>
      </c>
      <c r="V37" s="371">
        <f t="shared" si="227"/>
        <v>124.72727272727272</v>
      </c>
      <c r="W37" s="372">
        <f t="shared" si="227"/>
        <v>133.29020979020979</v>
      </c>
      <c r="X37" s="373">
        <f t="shared" si="227"/>
        <v>141.44</v>
      </c>
      <c r="Y37" s="352">
        <f t="shared" si="227"/>
        <v>140.85714285714286</v>
      </c>
      <c r="Z37" s="371">
        <f t="shared" si="227"/>
        <v>147.98009950248758</v>
      </c>
      <c r="AA37" s="372">
        <f t="shared" si="227"/>
        <v>150.53932584269663</v>
      </c>
      <c r="AB37" s="373">
        <f t="shared" si="227"/>
        <v>136.32415630550622</v>
      </c>
      <c r="AC37" s="352">
        <f t="shared" si="227"/>
        <v>140.60916811091855</v>
      </c>
      <c r="AD37" s="352">
        <f t="shared" si="227"/>
        <v>139.10914933993399</v>
      </c>
      <c r="AE37" s="372">
        <f t="shared" si="227"/>
        <v>135.42440776699027</v>
      </c>
      <c r="AF37" s="371">
        <f t="shared" si="227"/>
        <v>120.85203229166669</v>
      </c>
      <c r="AG37" s="371">
        <f t="shared" si="227"/>
        <v>126.06405693950177</v>
      </c>
      <c r="AH37" s="371">
        <f t="shared" si="227"/>
        <v>156.45345341614907</v>
      </c>
      <c r="AI37" s="372">
        <f t="shared" si="227"/>
        <v>178.09638075880761</v>
      </c>
      <c r="AJ37" s="371">
        <f t="shared" si="227"/>
        <v>131.85854691400939</v>
      </c>
      <c r="AK37" s="371">
        <f t="shared" si="227"/>
        <v>118.11</v>
      </c>
      <c r="AL37" s="371">
        <f t="shared" ref="AL37:AQ37" si="228">AL35*AL$129</f>
        <v>199.3123543123543</v>
      </c>
      <c r="AM37" s="371">
        <f t="shared" si="228"/>
        <v>205.29689440993789</v>
      </c>
      <c r="AN37" s="370">
        <f t="shared" si="228"/>
        <v>203.96982498491249</v>
      </c>
      <c r="AO37" s="371">
        <f t="shared" si="228"/>
        <v>231.75440729483284</v>
      </c>
      <c r="AP37" s="371">
        <f t="shared" si="228"/>
        <v>225.96342857142858</v>
      </c>
      <c r="AQ37" s="371">
        <f t="shared" si="228"/>
        <v>234.38855909336212</v>
      </c>
      <c r="AR37" s="370">
        <f t="shared" ref="AR37" si="229">AR35*AR$129</f>
        <v>235.88888888888891</v>
      </c>
      <c r="AS37" s="371">
        <f t="shared" ref="AS37:AV37" si="230">AS35*AS$129</f>
        <v>1238.2633352049409</v>
      </c>
      <c r="AT37" s="371">
        <f t="shared" si="230"/>
        <v>1247.5815360336667</v>
      </c>
      <c r="AU37" s="371">
        <f t="shared" si="230"/>
        <v>1263.433188615533</v>
      </c>
      <c r="AV37" s="370">
        <f t="shared" si="230"/>
        <v>1302.8030850807424</v>
      </c>
      <c r="AW37" s="371">
        <f t="shared" ref="AW37:AZ37" si="231">AW35*AW$129</f>
        <v>1335.1535348726495</v>
      </c>
      <c r="AX37" s="371">
        <f t="shared" si="231"/>
        <v>1399.2605775688382</v>
      </c>
      <c r="AY37" s="371">
        <f t="shared" si="231"/>
        <v>1360.6023102310232</v>
      </c>
      <c r="AZ37" s="370">
        <f t="shared" si="231"/>
        <v>1217.4199962483585</v>
      </c>
      <c r="BA37" s="371">
        <f t="shared" ref="BA37:BC37" si="232">BA40*BA31</f>
        <v>1466.3528099999999</v>
      </c>
      <c r="BB37" s="371">
        <f t="shared" si="232"/>
        <v>1514.7182699999998</v>
      </c>
      <c r="BC37" s="372">
        <f t="shared" si="232"/>
        <v>1570.4599023359999</v>
      </c>
      <c r="BD37" s="371">
        <f t="shared" ref="BD37:BG37" si="233">BD40*BD31</f>
        <v>1455.97143661632</v>
      </c>
      <c r="BE37" s="371">
        <f t="shared" si="233"/>
        <v>1511.1333559760255</v>
      </c>
      <c r="BF37" s="371">
        <f t="shared" si="233"/>
        <v>1561.1982604749276</v>
      </c>
      <c r="BG37" s="1397">
        <f t="shared" si="233"/>
        <v>1576.8102430796769</v>
      </c>
      <c r="BH37" s="370">
        <f t="shared" ref="BH37:BK37" si="234">BH40*BH31</f>
        <v>1545.2740382180834</v>
      </c>
      <c r="BI37" s="371">
        <f t="shared" si="234"/>
        <v>1598.8669514526468</v>
      </c>
      <c r="BJ37" s="371">
        <f t="shared" si="234"/>
        <v>1651.8007818966676</v>
      </c>
      <c r="BK37" s="1397">
        <f t="shared" si="234"/>
        <v>1651.8007818966676</v>
      </c>
      <c r="BL37" s="1447"/>
      <c r="BM37" s="357"/>
      <c r="BN37" s="357"/>
      <c r="BO37" s="357">
        <f>SUM(L37:O37)</f>
        <v>367.45232888089498</v>
      </c>
      <c r="BP37" s="357">
        <f>SUM(P37:S37)</f>
        <v>332.75161207784868</v>
      </c>
      <c r="BQ37" s="357">
        <f>SUM(T37:W37)</f>
        <v>470.68730452395505</v>
      </c>
      <c r="BR37" s="357">
        <f>SUM(X37:AA37)</f>
        <v>580.81656820232706</v>
      </c>
      <c r="BS37" s="357">
        <f>SUM(AB37:AE37)</f>
        <v>551.466881523349</v>
      </c>
      <c r="BT37" s="357">
        <f>SUM(AF37:AI37)</f>
        <v>581.46592340612517</v>
      </c>
      <c r="BU37" s="360">
        <f>SUM(AJ37:AM37)</f>
        <v>654.57779563630152</v>
      </c>
      <c r="BV37" s="357">
        <f>SUM(AN37:AQ37)</f>
        <v>896.07621994453609</v>
      </c>
      <c r="BW37" s="357">
        <f>SUM(AR37:AU37)</f>
        <v>3985.1669487430299</v>
      </c>
      <c r="BX37" s="357">
        <f>SUM(AV37:AY37)</f>
        <v>5397.8195077532528</v>
      </c>
      <c r="BY37" s="357">
        <f>SUM(AZ37:BC37)</f>
        <v>5768.9509785843575</v>
      </c>
      <c r="BZ37" s="357">
        <f>SUM(BD37:BG37)</f>
        <v>6105.1132961469502</v>
      </c>
      <c r="CA37" s="357">
        <f>SUM(BH37:BK37)</f>
        <v>6447.7425534640643</v>
      </c>
      <c r="CB37" s="19"/>
      <c r="CC37" s="360"/>
      <c r="CD37" s="357"/>
      <c r="CE37" s="357"/>
      <c r="CF37" s="357"/>
      <c r="CG37" s="357"/>
      <c r="CH37" s="357"/>
      <c r="CI37" s="360"/>
      <c r="CJ37" s="357">
        <f>SUM(AG37:AJ37)</f>
        <v>592.47243802846788</v>
      </c>
      <c r="CK37" s="360">
        <f>SUM(AK37:AN37)</f>
        <v>726.68907370720467</v>
      </c>
      <c r="CL37" s="357">
        <f>SUM(AO37:AR37)</f>
        <v>927.99528384851249</v>
      </c>
      <c r="CM37" s="357">
        <f>SUM(AS37:AV37)</f>
        <v>5052.081144934883</v>
      </c>
      <c r="CN37" s="357">
        <f>SUM(AW37:AZ37)</f>
        <v>5312.43641892087</v>
      </c>
      <c r="CO37" s="357">
        <f>SUM(BA37:BD37)</f>
        <v>6007.5024189523192</v>
      </c>
      <c r="CP37" s="358">
        <f>SUM(BE37:BH37)</f>
        <v>6194.4158977487141</v>
      </c>
    </row>
    <row r="38" spans="1:94" s="7" customFormat="1" ht="14.25" customHeight="1">
      <c r="A38" s="511"/>
      <c r="B38" s="35" t="s">
        <v>110</v>
      </c>
      <c r="C38" s="240"/>
      <c r="D38" s="149"/>
      <c r="E38" s="87"/>
      <c r="F38" s="87"/>
      <c r="G38" s="88"/>
      <c r="H38" s="149"/>
      <c r="I38" s="87"/>
      <c r="J38" s="87"/>
      <c r="K38" s="88"/>
      <c r="L38" s="149"/>
      <c r="M38" s="87"/>
      <c r="N38" s="87">
        <f t="shared" ref="N38:AZ38" si="235">N37/M37-1</f>
        <v>8.1132528332287235E-2</v>
      </c>
      <c r="O38" s="88">
        <f t="shared" si="235"/>
        <v>-5.6564800754181133E-2</v>
      </c>
      <c r="P38" s="149">
        <f t="shared" si="235"/>
        <v>-7.4152597614236315E-2</v>
      </c>
      <c r="Q38" s="87">
        <f t="shared" si="235"/>
        <v>-0.31943178772447067</v>
      </c>
      <c r="R38" s="87">
        <f t="shared" si="235"/>
        <v>0.23008743562103229</v>
      </c>
      <c r="S38" s="88">
        <f t="shared" si="235"/>
        <v>0.10267398862018862</v>
      </c>
      <c r="T38" s="149">
        <f t="shared" si="235"/>
        <v>0.10384823422668887</v>
      </c>
      <c r="U38" s="87">
        <f t="shared" si="235"/>
        <v>0.15817155524538662</v>
      </c>
      <c r="V38" s="87">
        <f t="shared" si="235"/>
        <v>9.2870311939319716E-2</v>
      </c>
      <c r="W38" s="88">
        <f t="shared" si="235"/>
        <v>6.8653285490020144E-2</v>
      </c>
      <c r="X38" s="361">
        <f t="shared" si="235"/>
        <v>6.1143201909708678E-2</v>
      </c>
      <c r="Y38" s="362">
        <f t="shared" si="235"/>
        <v>-4.1208791208791062E-3</v>
      </c>
      <c r="Z38" s="87">
        <f t="shared" si="235"/>
        <v>5.0568657725571065E-2</v>
      </c>
      <c r="AA38" s="88">
        <f t="shared" si="235"/>
        <v>1.7294395319459976E-2</v>
      </c>
      <c r="AB38" s="361">
        <f t="shared" si="235"/>
        <v>-9.4428279505145984E-2</v>
      </c>
      <c r="AC38" s="362">
        <f t="shared" si="235"/>
        <v>3.143252026302279E-2</v>
      </c>
      <c r="AD38" s="362">
        <f t="shared" si="235"/>
        <v>-1.066800117757094E-2</v>
      </c>
      <c r="AE38" s="88">
        <f t="shared" si="235"/>
        <v>-2.6488132451586655E-2</v>
      </c>
      <c r="AF38" s="361">
        <f t="shared" si="235"/>
        <v>-0.1076052368668774</v>
      </c>
      <c r="AG38" s="362">
        <f t="shared" si="235"/>
        <v>4.3127323132277073E-2</v>
      </c>
      <c r="AH38" s="362">
        <f t="shared" si="235"/>
        <v>0.24106313262019796</v>
      </c>
      <c r="AI38" s="88">
        <f t="shared" si="235"/>
        <v>0.13833460924055618</v>
      </c>
      <c r="AJ38" s="362">
        <f t="shared" si="235"/>
        <v>-0.25962253498804788</v>
      </c>
      <c r="AK38" s="362">
        <f t="shared" ref="AK38" si="236">AK37/AJ37-1</f>
        <v>-0.10426739286741427</v>
      </c>
      <c r="AL38" s="362">
        <f t="shared" si="235"/>
        <v>0.68751464154054953</v>
      </c>
      <c r="AM38" s="362">
        <f t="shared" si="235"/>
        <v>3.0025936516734131E-2</v>
      </c>
      <c r="AN38" s="361">
        <f t="shared" si="235"/>
        <v>-6.4641475889815059E-3</v>
      </c>
      <c r="AO38" s="362">
        <f t="shared" si="235"/>
        <v>0.13621908197438293</v>
      </c>
      <c r="AP38" s="362">
        <f t="shared" si="235"/>
        <v>-2.4987566756549784E-2</v>
      </c>
      <c r="AQ38" s="362">
        <f t="shared" si="235"/>
        <v>3.7285372129456373E-2</v>
      </c>
      <c r="AR38" s="361">
        <f t="shared" si="235"/>
        <v>6.4010368139564289E-3</v>
      </c>
      <c r="AS38" s="362">
        <f t="shared" si="235"/>
        <v>4.2493499843826976</v>
      </c>
      <c r="AT38" s="362">
        <f t="shared" si="235"/>
        <v>7.5252174265367788E-3</v>
      </c>
      <c r="AU38" s="362">
        <f t="shared" si="235"/>
        <v>1.2705905084378077E-2</v>
      </c>
      <c r="AV38" s="361">
        <f t="shared" si="235"/>
        <v>3.1161043433053148E-2</v>
      </c>
      <c r="AW38" s="362">
        <f t="shared" si="235"/>
        <v>2.4831419392825627E-2</v>
      </c>
      <c r="AX38" s="362">
        <f t="shared" si="235"/>
        <v>4.8014734651699476E-2</v>
      </c>
      <c r="AY38" s="362">
        <f t="shared" si="235"/>
        <v>-2.7627639881759758E-2</v>
      </c>
      <c r="AZ38" s="361">
        <f t="shared" si="235"/>
        <v>-0.10523450747217467</v>
      </c>
      <c r="BA38" s="1308">
        <f t="shared" ref="BA38:BC38" si="237">BA37/AZ37-1</f>
        <v>0.20447570642733059</v>
      </c>
      <c r="BB38" s="1308">
        <f t="shared" si="237"/>
        <v>3.2983508245877147E-2</v>
      </c>
      <c r="BC38" s="1309">
        <f t="shared" si="237"/>
        <v>3.6799999999999944E-2</v>
      </c>
      <c r="BD38" s="1308">
        <f t="shared" ref="BD38" si="238">BD37/BC37-1</f>
        <v>-7.2901234567901207E-2</v>
      </c>
      <c r="BE38" s="1229">
        <f t="shared" ref="BE38" si="239">BE37/BD37-1</f>
        <v>3.7886676875957148E-2</v>
      </c>
      <c r="BF38" s="1229">
        <f t="shared" ref="BF38" si="240">BF37/BE37-1</f>
        <v>3.3130699088146143E-2</v>
      </c>
      <c r="BG38" s="1395">
        <f t="shared" ref="BG38" si="241">BG37/BF37-1</f>
        <v>1.0000000000000009E-2</v>
      </c>
      <c r="BH38" s="1313">
        <f t="shared" ref="BH38" si="242">BH37/BG37-1</f>
        <v>-1.9999999999999907E-2</v>
      </c>
      <c r="BI38" s="1308">
        <f t="shared" ref="BI38" si="243">BI37/BH37-1</f>
        <v>3.4681818181818036E-2</v>
      </c>
      <c r="BJ38" s="1308">
        <f t="shared" ref="BJ38" si="244">BJ37/BI37-1</f>
        <v>3.3107088989442035E-2</v>
      </c>
      <c r="BK38" s="1395">
        <f t="shared" ref="BK38" si="245">BK37/BJ37-1</f>
        <v>0</v>
      </c>
      <c r="BL38" s="1391"/>
      <c r="BM38" s="241"/>
      <c r="BN38" s="241"/>
      <c r="BO38" s="241"/>
      <c r="BP38" s="241"/>
      <c r="BQ38" s="241"/>
      <c r="BR38" s="241"/>
      <c r="BS38" s="241"/>
      <c r="BT38" s="241"/>
      <c r="BU38" s="629"/>
      <c r="BV38" s="241"/>
      <c r="BW38" s="241"/>
      <c r="BX38" s="241"/>
      <c r="BY38" s="1238"/>
      <c r="BZ38" s="1314"/>
      <c r="CA38" s="1314"/>
      <c r="CB38" s="19"/>
      <c r="CC38" s="629"/>
      <c r="CD38" s="241"/>
      <c r="CE38" s="241"/>
      <c r="CF38" s="241"/>
      <c r="CG38" s="241"/>
      <c r="CH38" s="241"/>
      <c r="CI38" s="629"/>
      <c r="CJ38" s="241"/>
      <c r="CK38" s="1204"/>
      <c r="CL38" s="1199"/>
      <c r="CM38" s="1199"/>
      <c r="CN38" s="1314"/>
      <c r="CO38" s="1314"/>
      <c r="CP38" s="1315"/>
    </row>
    <row r="39" spans="1:94" s="7" customFormat="1" ht="14.25" customHeight="1">
      <c r="A39" s="511"/>
      <c r="B39" s="35" t="s">
        <v>111</v>
      </c>
      <c r="C39" s="240"/>
      <c r="D39" s="149"/>
      <c r="E39" s="87"/>
      <c r="F39" s="87"/>
      <c r="G39" s="88"/>
      <c r="H39" s="149"/>
      <c r="I39" s="87"/>
      <c r="J39" s="362"/>
      <c r="K39" s="365"/>
      <c r="L39" s="361"/>
      <c r="M39" s="362"/>
      <c r="N39" s="362"/>
      <c r="O39" s="365"/>
      <c r="P39" s="361"/>
      <c r="Q39" s="362">
        <f t="shared" ref="Q39:AZ39" si="246">Q37/M37-1</f>
        <v>-0.35730920065492211</v>
      </c>
      <c r="R39" s="362">
        <f t="shared" si="246"/>
        <v>-0.26876136223270031</v>
      </c>
      <c r="S39" s="365">
        <f t="shared" si="246"/>
        <v>-0.14533841223580457</v>
      </c>
      <c r="T39" s="361">
        <f t="shared" si="246"/>
        <v>1.897643400397131E-2</v>
      </c>
      <c r="U39" s="362">
        <f t="shared" si="246"/>
        <v>0.73406500633178529</v>
      </c>
      <c r="V39" s="362">
        <f t="shared" si="246"/>
        <v>0.54062882809309931</v>
      </c>
      <c r="W39" s="365">
        <f t="shared" si="246"/>
        <v>0.49309594300172166</v>
      </c>
      <c r="X39" s="361">
        <f t="shared" si="246"/>
        <v>0.43533192389006325</v>
      </c>
      <c r="Y39" s="362">
        <f t="shared" si="246"/>
        <v>0.23420152054288446</v>
      </c>
      <c r="Z39" s="362">
        <f t="shared" si="246"/>
        <v>0.18642936918904041</v>
      </c>
      <c r="AA39" s="365">
        <f t="shared" si="246"/>
        <v>0.12941022509932165</v>
      </c>
      <c r="AB39" s="361">
        <f t="shared" si="246"/>
        <v>-3.6169709378491066E-2</v>
      </c>
      <c r="AC39" s="362">
        <f t="shared" si="246"/>
        <v>-1.7604698007811503E-3</v>
      </c>
      <c r="AD39" s="362">
        <f t="shared" si="246"/>
        <v>-5.994691308073119E-2</v>
      </c>
      <c r="AE39" s="365">
        <f t="shared" si="246"/>
        <v>-0.10040511335556546</v>
      </c>
      <c r="AF39" s="361">
        <f t="shared" si="246"/>
        <v>-0.11349510191844558</v>
      </c>
      <c r="AG39" s="362">
        <f t="shared" si="246"/>
        <v>-0.10344354757822738</v>
      </c>
      <c r="AH39" s="362">
        <f t="shared" si="246"/>
        <v>0.12468126042401195</v>
      </c>
      <c r="AI39" s="88">
        <f t="shared" si="246"/>
        <v>0.31509809564933278</v>
      </c>
      <c r="AJ39" s="362">
        <f t="shared" si="246"/>
        <v>9.1074303126151612E-2</v>
      </c>
      <c r="AK39" s="362">
        <f>AK37/AG37-1</f>
        <v>-6.3095359078590652E-2</v>
      </c>
      <c r="AL39" s="362">
        <f t="shared" si="246"/>
        <v>0.2739402676028202</v>
      </c>
      <c r="AM39" s="362">
        <f t="shared" si="246"/>
        <v>0.15272917695035804</v>
      </c>
      <c r="AN39" s="361">
        <f t="shared" si="246"/>
        <v>0.54688360943284131</v>
      </c>
      <c r="AO39" s="362">
        <f t="shared" si="246"/>
        <v>0.96219123947873042</v>
      </c>
      <c r="AP39" s="362">
        <f t="shared" si="246"/>
        <v>0.13371511440433737</v>
      </c>
      <c r="AQ39" s="362">
        <f t="shared" si="246"/>
        <v>0.14170533249925277</v>
      </c>
      <c r="AR39" s="361">
        <f t="shared" si="246"/>
        <v>0.15648914689384785</v>
      </c>
      <c r="AS39" s="362">
        <f t="shared" si="246"/>
        <v>4.3429980023191082</v>
      </c>
      <c r="AT39" s="362">
        <f t="shared" si="246"/>
        <v>4.5211657210241771</v>
      </c>
      <c r="AU39" s="362">
        <f t="shared" si="246"/>
        <v>4.3903364289733942</v>
      </c>
      <c r="AV39" s="361">
        <f t="shared" si="246"/>
        <v>4.522952315462403</v>
      </c>
      <c r="AW39" s="362">
        <f t="shared" si="246"/>
        <v>7.8246845330095072E-2</v>
      </c>
      <c r="AX39" s="362">
        <f t="shared" si="246"/>
        <v>0.12157845972728354</v>
      </c>
      <c r="AY39" s="362">
        <f t="shared" si="246"/>
        <v>7.6908793033977352E-2</v>
      </c>
      <c r="AZ39" s="361">
        <f t="shared" si="246"/>
        <v>-6.5537984834517227E-2</v>
      </c>
      <c r="BA39" s="1308">
        <f t="shared" ref="BA39:BC39" si="247">BA37/AW37-1</f>
        <v>9.8265309345014318E-2</v>
      </c>
      <c r="BB39" s="1308">
        <f t="shared" si="247"/>
        <v>8.2513360471974995E-2</v>
      </c>
      <c r="BC39" s="1309">
        <f t="shared" si="247"/>
        <v>0.15423874450819053</v>
      </c>
      <c r="BD39" s="1308">
        <f t="shared" ref="BD39" si="248">BD37/AZ37-1</f>
        <v>0.19594835069498573</v>
      </c>
      <c r="BE39" s="1229">
        <f t="shared" ref="BE39" si="249">BE37/BA37-1</f>
        <v>3.053872551724135E-2</v>
      </c>
      <c r="BF39" s="1229">
        <f t="shared" ref="BF39" si="250">BF37/BB37-1</f>
        <v>3.0685568000000218E-2</v>
      </c>
      <c r="BG39" s="1395">
        <f t="shared" ref="BG39" si="251">BG37/BC37-1</f>
        <v>4.0436185185186435E-3</v>
      </c>
      <c r="BH39" s="1313">
        <f t="shared" ref="BH39" si="252">BH37/BD37-1</f>
        <v>6.1335407656968099E-2</v>
      </c>
      <c r="BI39" s="1308">
        <f t="shared" ref="BI39" si="253">BI37/BE37-1</f>
        <v>5.8058142340425611E-2</v>
      </c>
      <c r="BJ39" s="1308">
        <f t="shared" ref="BJ39" si="254">BJ37/BF37-1</f>
        <v>5.8033962575757769E-2</v>
      </c>
      <c r="BK39" s="1395">
        <f t="shared" ref="BK39" si="255">BK37/BG37-1</f>
        <v>4.755837878787883E-2</v>
      </c>
      <c r="BL39" s="1391"/>
      <c r="BM39" s="362"/>
      <c r="BN39" s="301"/>
      <c r="BO39" s="301"/>
      <c r="BP39" s="301">
        <f t="shared" ref="BP39:CA39" si="256">BP37/BO37-1</f>
        <v>-9.4435969173824685E-2</v>
      </c>
      <c r="BQ39" s="301">
        <f t="shared" si="256"/>
        <v>0.41453050094866484</v>
      </c>
      <c r="BR39" s="301">
        <f t="shared" si="256"/>
        <v>0.23397542831488694</v>
      </c>
      <c r="BS39" s="301">
        <f t="shared" si="256"/>
        <v>-5.0531765596524947E-2</v>
      </c>
      <c r="BT39" s="301">
        <f t="shared" si="256"/>
        <v>5.4398628254715975E-2</v>
      </c>
      <c r="BU39" s="632">
        <f t="shared" si="256"/>
        <v>0.12573715722135503</v>
      </c>
      <c r="BV39" s="301">
        <f t="shared" si="256"/>
        <v>0.36893769681490496</v>
      </c>
      <c r="BW39" s="301">
        <f t="shared" si="256"/>
        <v>3.4473526470657792</v>
      </c>
      <c r="BX39" s="301">
        <f t="shared" si="256"/>
        <v>0.35447763598857263</v>
      </c>
      <c r="BY39" s="301">
        <f t="shared" si="256"/>
        <v>6.8755813397988419E-2</v>
      </c>
      <c r="BZ39" s="301">
        <f t="shared" si="256"/>
        <v>5.8270961013623168E-2</v>
      </c>
      <c r="CA39" s="301">
        <f t="shared" si="256"/>
        <v>5.6121686969077711E-2</v>
      </c>
      <c r="CB39" s="19"/>
      <c r="CC39" s="632"/>
      <c r="CD39" s="301"/>
      <c r="CE39" s="301"/>
      <c r="CF39" s="301"/>
      <c r="CG39" s="301"/>
      <c r="CH39" s="301"/>
      <c r="CI39" s="632"/>
      <c r="CJ39" s="301"/>
      <c r="CK39" s="632"/>
      <c r="CL39" s="301"/>
      <c r="CM39" s="301"/>
      <c r="CN39" s="301"/>
      <c r="CO39" s="301"/>
      <c r="CP39" s="367"/>
    </row>
    <row r="40" spans="1:94" s="7" customFormat="1" ht="14.25" customHeight="1">
      <c r="A40" s="511"/>
      <c r="B40" s="35" t="s">
        <v>203</v>
      </c>
      <c r="C40" s="240"/>
      <c r="D40" s="149"/>
      <c r="E40" s="87"/>
      <c r="F40" s="87"/>
      <c r="G40" s="88"/>
      <c r="H40" s="149"/>
      <c r="I40" s="87"/>
      <c r="J40" s="87"/>
      <c r="K40" s="88"/>
      <c r="L40" s="149"/>
      <c r="M40" s="87">
        <f t="shared" ref="M40:AK40" si="257">M37/M31</f>
        <v>0.42335766423357668</v>
      </c>
      <c r="N40" s="87">
        <f t="shared" si="257"/>
        <v>0.42824601366742587</v>
      </c>
      <c r="O40" s="88">
        <f t="shared" si="257"/>
        <v>0.4116331096196868</v>
      </c>
      <c r="P40" s="149">
        <f t="shared" si="257"/>
        <v>0.44565217391304351</v>
      </c>
      <c r="Q40" s="87">
        <f t="shared" si="257"/>
        <v>0.35384615384615387</v>
      </c>
      <c r="R40" s="87">
        <f t="shared" si="257"/>
        <v>0.43526170798898067</v>
      </c>
      <c r="S40" s="88">
        <f t="shared" si="257"/>
        <v>0.44859813084112155</v>
      </c>
      <c r="T40" s="149">
        <f t="shared" si="257"/>
        <v>0.45833333333333337</v>
      </c>
      <c r="U40" s="87">
        <f t="shared" si="257"/>
        <v>0.48155339805825237</v>
      </c>
      <c r="V40" s="87">
        <f t="shared" si="257"/>
        <v>0.50909090909090904</v>
      </c>
      <c r="W40" s="88">
        <f t="shared" si="257"/>
        <v>0.50874125874125875</v>
      </c>
      <c r="X40" s="361">
        <f t="shared" si="257"/>
        <v>0.52</v>
      </c>
      <c r="Y40" s="362">
        <f t="shared" si="257"/>
        <v>0.5178571428571429</v>
      </c>
      <c r="Z40" s="87">
        <f t="shared" si="257"/>
        <v>0.51741293532338317</v>
      </c>
      <c r="AA40" s="88">
        <f t="shared" si="257"/>
        <v>0.5120385232744783</v>
      </c>
      <c r="AB40" s="361">
        <f t="shared" si="257"/>
        <v>0.50621669626998222</v>
      </c>
      <c r="AC40" s="362">
        <f t="shared" si="257"/>
        <v>0.51126516464471405</v>
      </c>
      <c r="AD40" s="362">
        <f t="shared" si="257"/>
        <v>0.51155115511551152</v>
      </c>
      <c r="AE40" s="88">
        <f t="shared" si="257"/>
        <v>0.51132686084142387</v>
      </c>
      <c r="AF40" s="149">
        <f t="shared" si="257"/>
        <v>0.50694444444444453</v>
      </c>
      <c r="AG40" s="87">
        <f t="shared" si="257"/>
        <v>0.51245551601423478</v>
      </c>
      <c r="AH40" s="87">
        <f t="shared" si="257"/>
        <v>0.50931677018633548</v>
      </c>
      <c r="AI40" s="88">
        <f t="shared" si="257"/>
        <v>0.50542005420054203</v>
      </c>
      <c r="AJ40" s="87">
        <f>AJ37/AJ31</f>
        <v>0.57832696014916396</v>
      </c>
      <c r="AK40" s="87">
        <f t="shared" si="257"/>
        <v>0.54350927246790304</v>
      </c>
      <c r="AL40" s="87">
        <f t="shared" ref="AL40:AQ40" si="258">AL37/AL31</f>
        <v>0.57109557109557108</v>
      </c>
      <c r="AM40" s="87">
        <f t="shared" si="258"/>
        <v>0.58322981366459625</v>
      </c>
      <c r="AN40" s="149">
        <f t="shared" si="258"/>
        <v>0.58780929390464698</v>
      </c>
      <c r="AO40" s="87">
        <f t="shared" si="258"/>
        <v>0.60668693009118546</v>
      </c>
      <c r="AP40" s="943">
        <f t="shared" si="258"/>
        <v>0.60742857142857143</v>
      </c>
      <c r="AQ40" s="943">
        <f t="shared" si="258"/>
        <v>0.62007555315704266</v>
      </c>
      <c r="AR40" s="945">
        <f t="shared" ref="AR40" si="259">AR37/AR31</f>
        <v>0.61111111111111116</v>
      </c>
      <c r="AS40" s="1143">
        <f t="shared" ref="AS40:AV40" si="260">AS37/AS31</f>
        <v>0.60022459292532271</v>
      </c>
      <c r="AT40" s="1177">
        <f t="shared" si="260"/>
        <v>0.6041557075223567</v>
      </c>
      <c r="AU40" s="1220">
        <f t="shared" si="260"/>
        <v>0.608297153883261</v>
      </c>
      <c r="AV40" s="1313">
        <f t="shared" si="260"/>
        <v>0.6242468064593879</v>
      </c>
      <c r="AW40" s="1308">
        <f t="shared" ref="AW40:AZ40" si="261">AW37/AW31</f>
        <v>0.63127826707926693</v>
      </c>
      <c r="AX40" s="1308">
        <f t="shared" si="261"/>
        <v>0.63286321916274912</v>
      </c>
      <c r="AY40" s="1308">
        <f t="shared" si="261"/>
        <v>0.63283828382838292</v>
      </c>
      <c r="AZ40" s="1313">
        <f t="shared" si="261"/>
        <v>0.64790845995122859</v>
      </c>
      <c r="BA40" s="1308">
        <v>0.66700000000000004</v>
      </c>
      <c r="BB40" s="1308">
        <v>0.65</v>
      </c>
      <c r="BC40" s="1309">
        <v>0.64800000000000002</v>
      </c>
      <c r="BD40" s="1308">
        <f>BC40+0.5%</f>
        <v>0.65300000000000002</v>
      </c>
      <c r="BE40" s="1308">
        <f>BD40+0.5%</f>
        <v>0.65800000000000003</v>
      </c>
      <c r="BF40" s="1308">
        <f>BE40+0.2%</f>
        <v>0.66</v>
      </c>
      <c r="BG40" s="1309">
        <f>BF40</f>
        <v>0.66</v>
      </c>
      <c r="BH40" s="1313">
        <f>BG40</f>
        <v>0.66</v>
      </c>
      <c r="BI40" s="1308">
        <f>BH40+0.3%</f>
        <v>0.66300000000000003</v>
      </c>
      <c r="BJ40" s="1308">
        <f>BI40+0.2%</f>
        <v>0.66500000000000004</v>
      </c>
      <c r="BK40" s="1395">
        <f>BJ40</f>
        <v>0.66500000000000004</v>
      </c>
      <c r="BL40" s="1391"/>
      <c r="BM40" s="301"/>
      <c r="BN40" s="301"/>
      <c r="BO40" s="301">
        <f t="shared" ref="BO40:BT40" si="262">BO37/BO31</f>
        <v>0.42199520973975879</v>
      </c>
      <c r="BP40" s="301">
        <f t="shared" si="262"/>
        <v>0.42227361938813285</v>
      </c>
      <c r="BQ40" s="301">
        <f t="shared" si="262"/>
        <v>0.49081053652132955</v>
      </c>
      <c r="BR40" s="301">
        <f t="shared" si="262"/>
        <v>0.51674071904121621</v>
      </c>
      <c r="BS40" s="301">
        <f t="shared" si="262"/>
        <v>0.51009465948151478</v>
      </c>
      <c r="BT40" s="301">
        <f t="shared" si="262"/>
        <v>0.50829704645161</v>
      </c>
      <c r="BU40" s="632">
        <f t="shared" ref="BU40:BZ40" si="263">BU37/BU31</f>
        <v>0.57103034574966771</v>
      </c>
      <c r="BV40" s="301">
        <f t="shared" si="263"/>
        <v>0.60586627447230301</v>
      </c>
      <c r="BW40" s="301">
        <f t="shared" si="263"/>
        <v>0.60463767997921858</v>
      </c>
      <c r="BX40" s="301">
        <f t="shared" si="263"/>
        <v>0.63036546861535125</v>
      </c>
      <c r="BY40" s="301">
        <f t="shared" si="263"/>
        <v>0.65323804639294836</v>
      </c>
      <c r="BZ40" s="301">
        <f t="shared" si="263"/>
        <v>0.65782337583836681</v>
      </c>
      <c r="CA40" s="301">
        <f t="shared" ref="CA40" si="264">CA37/CA31</f>
        <v>0.66329953273279052</v>
      </c>
      <c r="CB40" s="19"/>
      <c r="CC40" s="632"/>
      <c r="CD40" s="301"/>
      <c r="CE40" s="301"/>
      <c r="CF40" s="301"/>
      <c r="CG40" s="301"/>
      <c r="CH40" s="301"/>
      <c r="CI40" s="632"/>
      <c r="CJ40" s="301">
        <f t="shared" ref="CJ40:CO40" si="265">CJ37/CJ31</f>
        <v>0.52266710954594908</v>
      </c>
      <c r="CK40" s="632">
        <f t="shared" si="265"/>
        <v>0.5743170240551364</v>
      </c>
      <c r="CL40" s="301">
        <f t="shared" si="265"/>
        <v>0.61132759146805826</v>
      </c>
      <c r="CM40" s="301">
        <f t="shared" si="265"/>
        <v>0.60927172514892458</v>
      </c>
      <c r="CN40" s="301">
        <f t="shared" si="265"/>
        <v>0.63583918838071452</v>
      </c>
      <c r="CO40" s="301">
        <f t="shared" si="265"/>
        <v>0.65427088776346731</v>
      </c>
      <c r="CP40" s="367">
        <f t="shared" ref="CP40" si="266">CP37/CP31</f>
        <v>0.65951097781453061</v>
      </c>
    </row>
    <row r="41" spans="1:94" s="7" customFormat="1" ht="14.25" customHeight="1">
      <c r="A41" s="511"/>
      <c r="B41" s="374"/>
      <c r="C41" s="266"/>
      <c r="D41" s="375"/>
      <c r="E41" s="242"/>
      <c r="F41" s="242"/>
      <c r="G41" s="243"/>
      <c r="H41" s="375"/>
      <c r="I41" s="242"/>
      <c r="J41" s="242"/>
      <c r="K41" s="243"/>
      <c r="L41" s="375"/>
      <c r="M41" s="242"/>
      <c r="N41" s="242"/>
      <c r="O41" s="243"/>
      <c r="P41" s="375"/>
      <c r="Q41" s="242"/>
      <c r="R41" s="242"/>
      <c r="S41" s="243"/>
      <c r="T41" s="375"/>
      <c r="U41" s="242"/>
      <c r="V41" s="242"/>
      <c r="W41" s="243"/>
      <c r="X41" s="744"/>
      <c r="Y41" s="747"/>
      <c r="Z41" s="747"/>
      <c r="AA41" s="746"/>
      <c r="AB41" s="745"/>
      <c r="AC41" s="747"/>
      <c r="AD41" s="747"/>
      <c r="AE41" s="746"/>
      <c r="AF41" s="375"/>
      <c r="AG41" s="242"/>
      <c r="AH41" s="66"/>
      <c r="AI41" s="61"/>
      <c r="AJ41" s="66"/>
      <c r="AK41" s="66"/>
      <c r="AL41" s="66"/>
      <c r="AM41" s="66"/>
      <c r="AN41" s="60"/>
      <c r="AO41" s="66"/>
      <c r="AP41" s="66"/>
      <c r="AQ41" s="66"/>
      <c r="AR41" s="60"/>
      <c r="AS41" s="66"/>
      <c r="AT41" s="66"/>
      <c r="AU41" s="66"/>
      <c r="AV41" s="60"/>
      <c r="AW41" s="66"/>
      <c r="AX41" s="66"/>
      <c r="AY41" s="61"/>
      <c r="AZ41" s="60"/>
      <c r="BA41" s="66"/>
      <c r="BB41" s="66"/>
      <c r="BC41" s="61"/>
      <c r="BD41" s="66"/>
      <c r="BE41" s="66"/>
      <c r="BF41" s="66"/>
      <c r="BG41" s="61"/>
      <c r="BH41" s="60"/>
      <c r="BI41" s="66"/>
      <c r="BJ41" s="66"/>
      <c r="BK41" s="61"/>
      <c r="BL41" s="1391"/>
      <c r="BM41" s="223"/>
      <c r="BN41" s="223"/>
      <c r="BO41" s="223"/>
      <c r="BP41" s="223"/>
      <c r="BQ41" s="223"/>
      <c r="BR41" s="223"/>
      <c r="BS41" s="223"/>
      <c r="BT41" s="223"/>
      <c r="BU41" s="14"/>
      <c r="BV41" s="223"/>
      <c r="BW41" s="223"/>
      <c r="BX41" s="223"/>
      <c r="BY41" s="223"/>
      <c r="BZ41" s="223"/>
      <c r="CA41" s="223"/>
      <c r="CB41" s="19"/>
      <c r="CC41" s="14"/>
      <c r="CD41" s="223"/>
      <c r="CE41" s="223"/>
      <c r="CF41" s="223"/>
      <c r="CG41" s="223"/>
      <c r="CH41" s="223"/>
      <c r="CI41" s="14"/>
      <c r="CJ41" s="223"/>
      <c r="CK41" s="14"/>
      <c r="CL41" s="223"/>
      <c r="CM41" s="223"/>
      <c r="CN41" s="223"/>
      <c r="CO41" s="223"/>
      <c r="CP41" s="15"/>
    </row>
    <row r="42" spans="1:94" s="100" customFormat="1" ht="14.25" hidden="1" customHeight="1" outlineLevel="1">
      <c r="A42" s="510"/>
      <c r="B42" s="346" t="str">
        <f>$B$163&amp;" Revenue"</f>
        <v>Avago's Wired Infrastructure Revenue</v>
      </c>
      <c r="C42" s="347"/>
      <c r="D42" s="349"/>
      <c r="E42" s="349"/>
      <c r="F42" s="349"/>
      <c r="G42" s="350"/>
      <c r="H42" s="349"/>
      <c r="I42" s="349"/>
      <c r="J42" s="349"/>
      <c r="K42" s="350"/>
      <c r="L42" s="349">
        <f t="shared" ref="L42:AL42" si="267">L$163</f>
        <v>116.58</v>
      </c>
      <c r="M42" s="349">
        <f t="shared" si="267"/>
        <v>119.19</v>
      </c>
      <c r="N42" s="349">
        <f t="shared" si="267"/>
        <v>118.53</v>
      </c>
      <c r="O42" s="350">
        <f t="shared" si="267"/>
        <v>111.75</v>
      </c>
      <c r="P42" s="349">
        <f t="shared" si="267"/>
        <v>103</v>
      </c>
      <c r="Q42" s="349">
        <f t="shared" si="267"/>
        <v>90</v>
      </c>
      <c r="R42" s="349">
        <f t="shared" si="267"/>
        <v>87</v>
      </c>
      <c r="S42" s="350">
        <f t="shared" si="267"/>
        <v>104</v>
      </c>
      <c r="T42" s="349">
        <f t="shared" si="267"/>
        <v>120</v>
      </c>
      <c r="U42" s="349">
        <f t="shared" si="267"/>
        <v>123</v>
      </c>
      <c r="V42" s="349">
        <f t="shared" si="267"/>
        <v>123</v>
      </c>
      <c r="W42" s="350">
        <f t="shared" si="267"/>
        <v>143</v>
      </c>
      <c r="X42" s="349">
        <f t="shared" si="267"/>
        <v>153</v>
      </c>
      <c r="Y42" s="349">
        <f t="shared" si="267"/>
        <v>160</v>
      </c>
      <c r="Z42" s="349">
        <f t="shared" si="267"/>
        <v>169</v>
      </c>
      <c r="AA42" s="350">
        <f t="shared" si="267"/>
        <v>177</v>
      </c>
      <c r="AB42" s="349">
        <f t="shared" si="267"/>
        <v>162</v>
      </c>
      <c r="AC42" s="349">
        <f t="shared" si="267"/>
        <v>168</v>
      </c>
      <c r="AD42" s="349">
        <f t="shared" si="267"/>
        <v>173</v>
      </c>
      <c r="AE42" s="350">
        <f t="shared" si="267"/>
        <v>159</v>
      </c>
      <c r="AF42" s="349">
        <f t="shared" si="267"/>
        <v>143</v>
      </c>
      <c r="AG42" s="349">
        <f t="shared" si="267"/>
        <v>153</v>
      </c>
      <c r="AH42" s="349">
        <f t="shared" si="267"/>
        <v>202</v>
      </c>
      <c r="AI42" s="350">
        <f t="shared" si="267"/>
        <v>187.68</v>
      </c>
      <c r="AJ42" s="349">
        <f t="shared" si="267"/>
        <v>172.14</v>
      </c>
      <c r="AK42" s="349">
        <f t="shared" si="267"/>
        <v>217.31</v>
      </c>
      <c r="AL42" s="349">
        <f t="shared" si="267"/>
        <v>0</v>
      </c>
      <c r="AM42" s="349"/>
      <c r="AN42" s="348"/>
      <c r="AO42" s="349">
        <f t="shared" ref="AO42:AP42" si="268">AO$163</f>
        <v>0</v>
      </c>
      <c r="AP42" s="349">
        <f t="shared" si="268"/>
        <v>0</v>
      </c>
      <c r="AQ42" s="352"/>
      <c r="AR42" s="348"/>
      <c r="AS42" s="349">
        <f t="shared" ref="AS42:AT42" si="269">AS$163</f>
        <v>0</v>
      </c>
      <c r="AT42" s="349">
        <f t="shared" si="269"/>
        <v>0</v>
      </c>
      <c r="AU42" s="352"/>
      <c r="AV42" s="348"/>
      <c r="AW42" s="349"/>
      <c r="AX42" s="352"/>
      <c r="AY42" s="351"/>
      <c r="AZ42" s="373"/>
      <c r="BA42" s="352"/>
      <c r="BB42" s="352"/>
      <c r="BC42" s="351"/>
      <c r="BD42" s="373"/>
      <c r="BE42" s="352"/>
      <c r="BF42" s="352"/>
      <c r="BG42" s="351"/>
      <c r="BH42" s="373"/>
      <c r="BI42" s="352"/>
      <c r="BJ42" s="352"/>
      <c r="BK42" s="1449"/>
      <c r="BL42" s="1445"/>
      <c r="BM42" s="357"/>
      <c r="BN42" s="357"/>
      <c r="BO42" s="357">
        <f>SUM(L42:O42)</f>
        <v>466.04999999999995</v>
      </c>
      <c r="BP42" s="357">
        <f>SUM(P42:S42)</f>
        <v>384</v>
      </c>
      <c r="BQ42" s="357">
        <f>SUM(T42:W42)</f>
        <v>509</v>
      </c>
      <c r="BR42" s="357">
        <f>SUM(X42:AA42)</f>
        <v>659</v>
      </c>
      <c r="BS42" s="357">
        <f>SUM(AB42:AE42)</f>
        <v>662</v>
      </c>
      <c r="BT42" s="357">
        <f>SUM(AF42:AI42)</f>
        <v>685.68000000000006</v>
      </c>
      <c r="BU42" s="360">
        <f>AJ42+AJ53+SUM(AK42:AM42)</f>
        <v>445.31</v>
      </c>
      <c r="BV42" s="357"/>
      <c r="BW42" s="357"/>
      <c r="BX42" s="357">
        <f>SUM(AV42:AY42)</f>
        <v>0</v>
      </c>
      <c r="BY42" s="357">
        <f>SUM(AW42:AZ42)</f>
        <v>0</v>
      </c>
      <c r="BZ42" s="357">
        <f>SUM(AX42:BD42)</f>
        <v>0</v>
      </c>
      <c r="CA42" s="357">
        <f>SUM(BH42:BK42)</f>
        <v>0</v>
      </c>
      <c r="CB42" s="356"/>
      <c r="CC42" s="360"/>
      <c r="CD42" s="357">
        <f>SUM(I42:L42)</f>
        <v>116.58</v>
      </c>
      <c r="CE42" s="357">
        <f>SUM(M42:P42)</f>
        <v>452.47</v>
      </c>
      <c r="CF42" s="357">
        <f>SUM(Q42:T42)</f>
        <v>401</v>
      </c>
      <c r="CG42" s="357">
        <f>SUM(U42:X42)</f>
        <v>542</v>
      </c>
      <c r="CH42" s="357">
        <f>SUM(Y42:AB42)</f>
        <v>668</v>
      </c>
      <c r="CI42" s="360">
        <f>SUM(AC42:AF42)</f>
        <v>643</v>
      </c>
      <c r="CJ42" s="357">
        <f>SUM(AG42:AJ42)</f>
        <v>714.82</v>
      </c>
      <c r="CK42" s="360">
        <f>SUM(AK42:AN42)</f>
        <v>217.31</v>
      </c>
      <c r="CL42" s="357"/>
      <c r="CM42" s="357"/>
      <c r="CN42" s="357"/>
      <c r="CO42" s="357"/>
      <c r="CP42" s="358"/>
    </row>
    <row r="43" spans="1:94" s="7" customFormat="1" ht="14.25" hidden="1" customHeight="1" outlineLevel="1">
      <c r="A43" s="511"/>
      <c r="B43" s="35" t="s">
        <v>110</v>
      </c>
      <c r="C43" s="240"/>
      <c r="D43" s="149"/>
      <c r="E43" s="87"/>
      <c r="F43" s="87"/>
      <c r="G43" s="88"/>
      <c r="H43" s="149"/>
      <c r="I43" s="87"/>
      <c r="J43" s="87"/>
      <c r="K43" s="88"/>
      <c r="L43" s="149"/>
      <c r="M43" s="87">
        <f t="shared" ref="M43:AL43" si="270">M42/L42-1</f>
        <v>2.2388059701492491E-2</v>
      </c>
      <c r="N43" s="87">
        <f t="shared" si="270"/>
        <v>-5.5373772967530765E-3</v>
      </c>
      <c r="O43" s="88">
        <f t="shared" si="270"/>
        <v>-5.7200708681346524E-2</v>
      </c>
      <c r="P43" s="149">
        <f t="shared" si="270"/>
        <v>-7.8299776286353429E-2</v>
      </c>
      <c r="Q43" s="87">
        <f t="shared" si="270"/>
        <v>-0.12621359223300976</v>
      </c>
      <c r="R43" s="87">
        <f t="shared" si="270"/>
        <v>-3.3333333333333326E-2</v>
      </c>
      <c r="S43" s="88">
        <f t="shared" si="270"/>
        <v>0.19540229885057481</v>
      </c>
      <c r="T43" s="149">
        <f t="shared" si="270"/>
        <v>0.15384615384615374</v>
      </c>
      <c r="U43" s="87">
        <f t="shared" si="270"/>
        <v>2.4999999999999911E-2</v>
      </c>
      <c r="V43" s="87">
        <f t="shared" si="270"/>
        <v>0</v>
      </c>
      <c r="W43" s="88">
        <f t="shared" si="270"/>
        <v>0.16260162601626016</v>
      </c>
      <c r="X43" s="361">
        <f t="shared" si="270"/>
        <v>6.9930069930070005E-2</v>
      </c>
      <c r="Y43" s="362">
        <f t="shared" si="270"/>
        <v>4.5751633986928164E-2</v>
      </c>
      <c r="Z43" s="87">
        <f t="shared" si="270"/>
        <v>5.6249999999999911E-2</v>
      </c>
      <c r="AA43" s="88">
        <f t="shared" si="270"/>
        <v>4.7337278106508895E-2</v>
      </c>
      <c r="AB43" s="361">
        <f t="shared" si="270"/>
        <v>-8.4745762711864403E-2</v>
      </c>
      <c r="AC43" s="362">
        <f t="shared" si="270"/>
        <v>3.7037037037036979E-2</v>
      </c>
      <c r="AD43" s="362">
        <f t="shared" si="270"/>
        <v>2.9761904761904656E-2</v>
      </c>
      <c r="AE43" s="88">
        <f t="shared" si="270"/>
        <v>-8.0924855491329439E-2</v>
      </c>
      <c r="AF43" s="361">
        <f t="shared" si="270"/>
        <v>-0.10062893081761004</v>
      </c>
      <c r="AG43" s="362">
        <f t="shared" si="270"/>
        <v>6.9930069930070005E-2</v>
      </c>
      <c r="AH43" s="362">
        <f t="shared" si="270"/>
        <v>0.3202614379084967</v>
      </c>
      <c r="AI43" s="88">
        <f t="shared" si="270"/>
        <v>-7.0891089108910843E-2</v>
      </c>
      <c r="AJ43" s="362">
        <f t="shared" si="270"/>
        <v>-8.2800511508951513E-2</v>
      </c>
      <c r="AK43" s="362">
        <f t="shared" si="270"/>
        <v>0.26240269548042305</v>
      </c>
      <c r="AL43" s="362">
        <f t="shared" si="270"/>
        <v>-1</v>
      </c>
      <c r="AM43" s="362"/>
      <c r="AN43" s="361"/>
      <c r="AO43" s="362" t="e">
        <f t="shared" ref="AO43:AP43" si="271">AO42/AN42-1</f>
        <v>#DIV/0!</v>
      </c>
      <c r="AP43" s="362" t="e">
        <f t="shared" si="271"/>
        <v>#DIV/0!</v>
      </c>
      <c r="AQ43" s="89"/>
      <c r="AR43" s="361"/>
      <c r="AS43" s="362" t="e">
        <f t="shared" ref="AS43:AT43" si="272">AS42/AR42-1</f>
        <v>#DIV/0!</v>
      </c>
      <c r="AT43" s="362" t="e">
        <f t="shared" si="272"/>
        <v>#DIV/0!</v>
      </c>
      <c r="AU43" s="89"/>
      <c r="AV43" s="361"/>
      <c r="AW43" s="362"/>
      <c r="AX43" s="1231"/>
      <c r="AY43" s="1232"/>
      <c r="AZ43" s="1233"/>
      <c r="BA43" s="1231"/>
      <c r="BB43" s="1231"/>
      <c r="BC43" s="1232"/>
      <c r="BD43" s="1233"/>
      <c r="BE43" s="1231"/>
      <c r="BF43" s="1231"/>
      <c r="BG43" s="1232"/>
      <c r="BH43" s="1312"/>
      <c r="BI43" s="1310"/>
      <c r="BJ43" s="1310"/>
      <c r="BK43" s="1396"/>
      <c r="BL43" s="1391"/>
      <c r="BM43" s="241"/>
      <c r="BN43" s="241"/>
      <c r="BO43" s="241"/>
      <c r="BP43" s="241"/>
      <c r="BQ43" s="241"/>
      <c r="BR43" s="241"/>
      <c r="BS43" s="748"/>
      <c r="BT43" s="241"/>
      <c r="BU43" s="629"/>
      <c r="BV43" s="241"/>
      <c r="BW43" s="241"/>
      <c r="BX43" s="241"/>
      <c r="BY43" s="1238"/>
      <c r="BZ43" s="1314"/>
      <c r="CA43" s="1314"/>
      <c r="CB43" s="19"/>
      <c r="CC43" s="629"/>
      <c r="CD43" s="241"/>
      <c r="CE43" s="241"/>
      <c r="CF43" s="241"/>
      <c r="CG43" s="241"/>
      <c r="CH43" s="241"/>
      <c r="CI43" s="629"/>
      <c r="CJ43" s="241"/>
      <c r="CK43" s="1204"/>
      <c r="CL43" s="1199"/>
      <c r="CM43" s="1199"/>
      <c r="CN43" s="1314"/>
      <c r="CO43" s="1314"/>
      <c r="CP43" s="1315"/>
    </row>
    <row r="44" spans="1:94" s="7" customFormat="1" ht="14.25" hidden="1" customHeight="1" outlineLevel="1">
      <c r="A44" s="511"/>
      <c r="B44" s="35" t="s">
        <v>202</v>
      </c>
      <c r="C44" s="240"/>
      <c r="D44" s="149"/>
      <c r="E44" s="87"/>
      <c r="F44" s="87"/>
      <c r="G44" s="88"/>
      <c r="H44" s="149"/>
      <c r="I44" s="87"/>
      <c r="J44" s="87"/>
      <c r="K44" s="88"/>
      <c r="L44" s="149"/>
      <c r="M44" s="87"/>
      <c r="N44" s="87"/>
      <c r="O44" s="88"/>
      <c r="P44" s="149"/>
      <c r="Q44" s="87"/>
      <c r="R44" s="87"/>
      <c r="S44" s="88"/>
      <c r="T44" s="149"/>
      <c r="U44" s="87"/>
      <c r="V44" s="87"/>
      <c r="W44" s="88"/>
      <c r="X44" s="87"/>
      <c r="Y44" s="87"/>
      <c r="Z44" s="87"/>
      <c r="AA44" s="88"/>
      <c r="AB44" s="87"/>
      <c r="AC44" s="87"/>
      <c r="AD44" s="87"/>
      <c r="AE44" s="88"/>
      <c r="AF44" s="87"/>
      <c r="AG44" s="87"/>
      <c r="AH44" s="87"/>
      <c r="AI44" s="88"/>
      <c r="AJ44" s="87"/>
      <c r="AK44" s="87"/>
      <c r="AL44" s="87"/>
      <c r="AM44" s="87"/>
      <c r="AN44" s="149"/>
      <c r="AO44" s="87"/>
      <c r="AP44" s="943"/>
      <c r="AQ44" s="943"/>
      <c r="AR44" s="945"/>
      <c r="AS44" s="1000"/>
      <c r="AT44" s="1177"/>
      <c r="AU44" s="1000"/>
      <c r="AV44" s="1237"/>
      <c r="AW44" s="1229"/>
      <c r="AX44" s="1229"/>
      <c r="AY44" s="1230"/>
      <c r="AZ44" s="1237"/>
      <c r="BA44" s="1229"/>
      <c r="BB44" s="1229"/>
      <c r="BC44" s="1230"/>
      <c r="BD44" s="1237"/>
      <c r="BE44" s="1229"/>
      <c r="BF44" s="1229"/>
      <c r="BG44" s="1230"/>
      <c r="BH44" s="1313"/>
      <c r="BI44" s="1308"/>
      <c r="BJ44" s="1308"/>
      <c r="BK44" s="1395"/>
      <c r="BL44" s="1391"/>
      <c r="BM44" s="241"/>
      <c r="BN44" s="241"/>
      <c r="BO44" s="241"/>
      <c r="BP44" s="241"/>
      <c r="BQ44" s="241"/>
      <c r="BR44" s="241"/>
      <c r="BS44" s="241"/>
      <c r="BT44" s="241"/>
      <c r="BU44" s="629"/>
      <c r="BV44" s="241"/>
      <c r="BW44" s="241"/>
      <c r="BX44" s="241"/>
      <c r="BY44" s="1238"/>
      <c r="BZ44" s="1314"/>
      <c r="CA44" s="1314"/>
      <c r="CB44" s="19"/>
      <c r="CC44" s="629"/>
      <c r="CD44" s="241"/>
      <c r="CE44" s="241"/>
      <c r="CF44" s="241"/>
      <c r="CG44" s="241"/>
      <c r="CH44" s="241"/>
      <c r="CI44" s="629"/>
      <c r="CJ44" s="241"/>
      <c r="CK44" s="1204"/>
      <c r="CL44" s="1199"/>
      <c r="CM44" s="1199"/>
      <c r="CN44" s="1314"/>
      <c r="CO44" s="1314"/>
      <c r="CP44" s="1315"/>
    </row>
    <row r="45" spans="1:94" s="369" customFormat="1" ht="14.25" hidden="1" customHeight="1" outlineLevel="1">
      <c r="A45" s="512"/>
      <c r="B45" s="363" t="s">
        <v>111</v>
      </c>
      <c r="C45" s="364"/>
      <c r="D45" s="361"/>
      <c r="E45" s="362"/>
      <c r="F45" s="362"/>
      <c r="G45" s="365"/>
      <c r="H45" s="361"/>
      <c r="I45" s="362"/>
      <c r="J45" s="362"/>
      <c r="K45" s="365"/>
      <c r="L45" s="361"/>
      <c r="M45" s="362"/>
      <c r="N45" s="362"/>
      <c r="O45" s="365"/>
      <c r="P45" s="361">
        <f t="shared" ref="P45:AL45" si="273">P42/L42-1</f>
        <v>-0.1164865328529765</v>
      </c>
      <c r="Q45" s="362">
        <f t="shared" si="273"/>
        <v>-0.24490309589730686</v>
      </c>
      <c r="R45" s="362">
        <f t="shared" si="273"/>
        <v>-0.2660086054163503</v>
      </c>
      <c r="S45" s="365">
        <f t="shared" si="273"/>
        <v>-6.9351230425055976E-2</v>
      </c>
      <c r="T45" s="361">
        <f t="shared" si="273"/>
        <v>0.16504854368932032</v>
      </c>
      <c r="U45" s="362">
        <f t="shared" si="273"/>
        <v>0.3666666666666667</v>
      </c>
      <c r="V45" s="362">
        <f t="shared" si="273"/>
        <v>0.4137931034482758</v>
      </c>
      <c r="W45" s="365">
        <f t="shared" si="273"/>
        <v>0.375</v>
      </c>
      <c r="X45" s="361">
        <f t="shared" si="273"/>
        <v>0.27499999999999991</v>
      </c>
      <c r="Y45" s="362">
        <f t="shared" si="273"/>
        <v>0.30081300813008127</v>
      </c>
      <c r="Z45" s="362">
        <f t="shared" si="273"/>
        <v>0.37398373983739841</v>
      </c>
      <c r="AA45" s="365">
        <f t="shared" si="273"/>
        <v>0.2377622377622377</v>
      </c>
      <c r="AB45" s="361">
        <f t="shared" si="273"/>
        <v>5.8823529411764719E-2</v>
      </c>
      <c r="AC45" s="362">
        <f t="shared" si="273"/>
        <v>5.0000000000000044E-2</v>
      </c>
      <c r="AD45" s="362">
        <f t="shared" si="273"/>
        <v>2.3668639053254337E-2</v>
      </c>
      <c r="AE45" s="365">
        <f t="shared" si="273"/>
        <v>-0.10169491525423724</v>
      </c>
      <c r="AF45" s="361">
        <f t="shared" si="273"/>
        <v>-0.11728395061728392</v>
      </c>
      <c r="AG45" s="362">
        <f t="shared" si="273"/>
        <v>-8.9285714285714302E-2</v>
      </c>
      <c r="AH45" s="362">
        <f t="shared" si="273"/>
        <v>0.16763005780346818</v>
      </c>
      <c r="AI45" s="365">
        <f t="shared" si="273"/>
        <v>0.18037735849056613</v>
      </c>
      <c r="AJ45" s="362">
        <f t="shared" si="273"/>
        <v>0.20377622377622373</v>
      </c>
      <c r="AK45" s="362">
        <f t="shared" si="273"/>
        <v>0.42032679738562084</v>
      </c>
      <c r="AL45" s="362">
        <f t="shared" si="273"/>
        <v>-1</v>
      </c>
      <c r="AM45" s="362"/>
      <c r="AN45" s="361"/>
      <c r="AO45" s="362">
        <f t="shared" ref="AO45:AP45" si="274">AO42/AK42-1</f>
        <v>-1</v>
      </c>
      <c r="AP45" s="362" t="e">
        <f t="shared" si="274"/>
        <v>#DIV/0!</v>
      </c>
      <c r="AQ45" s="362"/>
      <c r="AR45" s="361"/>
      <c r="AS45" s="362" t="e">
        <f t="shared" ref="AS45:AT45" si="275">AS42/AO42-1</f>
        <v>#DIV/0!</v>
      </c>
      <c r="AT45" s="362" t="e">
        <f t="shared" si="275"/>
        <v>#DIV/0!</v>
      </c>
      <c r="AU45" s="362"/>
      <c r="AV45" s="361"/>
      <c r="AW45" s="362"/>
      <c r="AX45" s="362"/>
      <c r="AY45" s="365"/>
      <c r="AZ45" s="361"/>
      <c r="BA45" s="362"/>
      <c r="BB45" s="362"/>
      <c r="BC45" s="365"/>
      <c r="BD45" s="361"/>
      <c r="BE45" s="362"/>
      <c r="BF45" s="362"/>
      <c r="BG45" s="365"/>
      <c r="BH45" s="361"/>
      <c r="BI45" s="362"/>
      <c r="BJ45" s="362"/>
      <c r="BK45" s="1441"/>
      <c r="BL45" s="1446"/>
      <c r="BM45" s="362"/>
      <c r="BN45" s="301"/>
      <c r="BO45" s="301"/>
      <c r="BP45" s="301"/>
      <c r="BQ45" s="301"/>
      <c r="BR45" s="301"/>
      <c r="BS45" s="301"/>
      <c r="BT45" s="301"/>
      <c r="BU45" s="632">
        <f>BU42/BT42-1</f>
        <v>-0.35055711118889288</v>
      </c>
      <c r="BV45" s="301"/>
      <c r="BW45" s="301"/>
      <c r="BX45" s="301" t="e">
        <f>BX42/BW42-1</f>
        <v>#DIV/0!</v>
      </c>
      <c r="BY45" s="301" t="e">
        <f>BY42/BX42-1</f>
        <v>#DIV/0!</v>
      </c>
      <c r="BZ45" s="301" t="e">
        <f>BZ42/BY42-1</f>
        <v>#DIV/0!</v>
      </c>
      <c r="CA45" s="301" t="e">
        <f>CA42/BZ42-1</f>
        <v>#DIV/0!</v>
      </c>
      <c r="CB45" s="366"/>
      <c r="CC45" s="632"/>
      <c r="CD45" s="301"/>
      <c r="CE45" s="301"/>
      <c r="CF45" s="301"/>
      <c r="CG45" s="301"/>
      <c r="CH45" s="301"/>
      <c r="CI45" s="632">
        <f>CI42/CH42-1</f>
        <v>-3.7425149700598848E-2</v>
      </c>
      <c r="CJ45" s="301">
        <f>CJ42/CI42-1</f>
        <v>0.11169517884914471</v>
      </c>
      <c r="CK45" s="632">
        <f>CK42/CJ42-1</f>
        <v>-0.69599339693908957</v>
      </c>
      <c r="CL45" s="301"/>
      <c r="CM45" s="301"/>
      <c r="CN45" s="301"/>
      <c r="CO45" s="301"/>
      <c r="CP45" s="367"/>
    </row>
    <row r="46" spans="1:94" s="7" customFormat="1" ht="14.25" hidden="1" customHeight="1" outlineLevel="1">
      <c r="A46" s="511"/>
      <c r="B46" s="35" t="s">
        <v>112</v>
      </c>
      <c r="C46" s="240"/>
      <c r="D46" s="87"/>
      <c r="E46" s="87"/>
      <c r="F46" s="87"/>
      <c r="G46" s="88"/>
      <c r="H46" s="87"/>
      <c r="I46" s="87"/>
      <c r="J46" s="87"/>
      <c r="K46" s="88"/>
      <c r="L46" s="149">
        <f t="shared" ref="L46:AJ46" si="276">L42/L$108</f>
        <v>0.28999999999999998</v>
      </c>
      <c r="M46" s="87">
        <f t="shared" si="276"/>
        <v>0.29000000000000004</v>
      </c>
      <c r="N46" s="87">
        <f t="shared" si="276"/>
        <v>0.26999999999999996</v>
      </c>
      <c r="O46" s="88">
        <f t="shared" si="276"/>
        <v>0.25</v>
      </c>
      <c r="P46" s="149">
        <f t="shared" si="276"/>
        <v>0.27989130434782611</v>
      </c>
      <c r="Q46" s="87">
        <f t="shared" si="276"/>
        <v>0.27692307692307694</v>
      </c>
      <c r="R46" s="87">
        <f t="shared" si="276"/>
        <v>0.23966942148760331</v>
      </c>
      <c r="S46" s="88">
        <f t="shared" si="276"/>
        <v>0.24299065420560748</v>
      </c>
      <c r="T46" s="149">
        <f t="shared" si="276"/>
        <v>0.26315789473684209</v>
      </c>
      <c r="U46" s="87">
        <f t="shared" si="276"/>
        <v>0.23883495145631067</v>
      </c>
      <c r="V46" s="87">
        <f t="shared" si="276"/>
        <v>0.22363636363636363</v>
      </c>
      <c r="W46" s="88">
        <f t="shared" si="276"/>
        <v>0.25</v>
      </c>
      <c r="X46" s="361">
        <f t="shared" si="276"/>
        <v>0.2781818181818182</v>
      </c>
      <c r="Y46" s="362">
        <f t="shared" si="276"/>
        <v>0.2857142857142857</v>
      </c>
      <c r="Z46" s="87">
        <f t="shared" si="276"/>
        <v>0.28026533996683251</v>
      </c>
      <c r="AA46" s="88">
        <f t="shared" si="276"/>
        <v>0.2841091492776886</v>
      </c>
      <c r="AB46" s="361">
        <f t="shared" si="276"/>
        <v>0.28774422735346361</v>
      </c>
      <c r="AC46" s="362">
        <f t="shared" si="276"/>
        <v>0.29116117850953205</v>
      </c>
      <c r="AD46" s="362">
        <f t="shared" si="276"/>
        <v>0.28547854785478549</v>
      </c>
      <c r="AE46" s="88">
        <f t="shared" si="276"/>
        <v>0.25728155339805825</v>
      </c>
      <c r="AF46" s="361">
        <f t="shared" si="276"/>
        <v>0.2482638888888889</v>
      </c>
      <c r="AG46" s="362">
        <f t="shared" si="276"/>
        <v>0.27224199288256229</v>
      </c>
      <c r="AH46" s="87">
        <f t="shared" si="276"/>
        <v>0.31366459627329191</v>
      </c>
      <c r="AI46" s="88">
        <f t="shared" si="276"/>
        <v>0.25430894308943092</v>
      </c>
      <c r="AJ46" s="87">
        <f t="shared" si="276"/>
        <v>0.27200328666687734</v>
      </c>
      <c r="AK46" s="87">
        <f>AK42/AK$108</f>
        <v>0.31</v>
      </c>
      <c r="AL46" s="87">
        <f>AL42/AL$108</f>
        <v>0</v>
      </c>
      <c r="AM46" s="87"/>
      <c r="AN46" s="149"/>
      <c r="AO46" s="87">
        <f>AO42/AO$108</f>
        <v>0</v>
      </c>
      <c r="AP46" s="943">
        <f>AP42/AP$108</f>
        <v>0</v>
      </c>
      <c r="AQ46" s="943"/>
      <c r="AR46" s="945"/>
      <c r="AS46" s="1000">
        <f>AS42/AS$108</f>
        <v>0</v>
      </c>
      <c r="AT46" s="1177">
        <f>AT42/AT$108</f>
        <v>0</v>
      </c>
      <c r="AU46" s="1000"/>
      <c r="AV46" s="1237"/>
      <c r="AW46" s="1229"/>
      <c r="AX46" s="1229"/>
      <c r="AY46" s="1230"/>
      <c r="AZ46" s="1237"/>
      <c r="BA46" s="1229"/>
      <c r="BB46" s="1229"/>
      <c r="BC46" s="1230"/>
      <c r="BD46" s="1237"/>
      <c r="BE46" s="1229"/>
      <c r="BF46" s="1229"/>
      <c r="BG46" s="1230"/>
      <c r="BH46" s="1313"/>
      <c r="BI46" s="1308"/>
      <c r="BJ46" s="1308"/>
      <c r="BK46" s="1395"/>
      <c r="BL46" s="1391"/>
      <c r="BM46" s="301"/>
      <c r="BN46" s="301"/>
      <c r="BO46" s="301">
        <f t="shared" ref="BO46:BX46" si="277">BO42/BO$108</f>
        <v>0.2743084167157151</v>
      </c>
      <c r="BP46" s="301">
        <f t="shared" si="277"/>
        <v>0.2587601078167116</v>
      </c>
      <c r="BQ46" s="301">
        <f t="shared" si="277"/>
        <v>0.24319159101767798</v>
      </c>
      <c r="BR46" s="301">
        <f t="shared" si="277"/>
        <v>0.28210616438356162</v>
      </c>
      <c r="BS46" s="301">
        <f t="shared" si="277"/>
        <v>0.28003384094754652</v>
      </c>
      <c r="BT46" s="301">
        <f t="shared" si="277"/>
        <v>0.27209523809523811</v>
      </c>
      <c r="BU46" s="632">
        <f t="shared" si="277"/>
        <v>0.10525283275740631</v>
      </c>
      <c r="BV46" s="301"/>
      <c r="BW46" s="301"/>
      <c r="BX46" s="301">
        <f t="shared" si="277"/>
        <v>0</v>
      </c>
      <c r="BY46" s="301">
        <f t="shared" ref="BY46:BZ46" si="278">BY42/BY$108</f>
        <v>0</v>
      </c>
      <c r="BZ46" s="301">
        <f t="shared" si="278"/>
        <v>0</v>
      </c>
      <c r="CA46" s="301">
        <f t="shared" ref="CA46" si="279">CA42/CA$108</f>
        <v>0</v>
      </c>
      <c r="CB46" s="19"/>
      <c r="CC46" s="632"/>
      <c r="CD46" s="301"/>
      <c r="CE46" s="301"/>
      <c r="CF46" s="301"/>
      <c r="CG46" s="301"/>
      <c r="CH46" s="301"/>
      <c r="CI46" s="632">
        <f>CI42/CI$108</f>
        <v>0.27050904501472445</v>
      </c>
      <c r="CJ46" s="301">
        <f>CJ42/CJ$108</f>
        <v>0.27739962590129075</v>
      </c>
      <c r="CK46" s="632">
        <f>CK42/CK$108</f>
        <v>4.1352997145575644E-2</v>
      </c>
      <c r="CL46" s="301"/>
      <c r="CM46" s="301"/>
      <c r="CN46" s="301"/>
      <c r="CO46" s="301"/>
      <c r="CP46" s="367"/>
    </row>
    <row r="47" spans="1:94" s="7" customFormat="1" ht="14.25" hidden="1" customHeight="1" outlineLevel="1">
      <c r="A47" s="511"/>
      <c r="B47" s="35"/>
      <c r="C47" s="240"/>
      <c r="D47" s="87"/>
      <c r="E47" s="87"/>
      <c r="F47" s="87"/>
      <c r="G47" s="88"/>
      <c r="H47" s="87"/>
      <c r="I47" s="87"/>
      <c r="J47" s="87"/>
      <c r="K47" s="88"/>
      <c r="L47" s="87"/>
      <c r="M47" s="87"/>
      <c r="N47" s="87"/>
      <c r="O47" s="88"/>
      <c r="P47" s="87"/>
      <c r="Q47" s="87"/>
      <c r="R47" s="87"/>
      <c r="S47" s="88"/>
      <c r="T47" s="87"/>
      <c r="U47" s="87"/>
      <c r="V47" s="87"/>
      <c r="W47" s="88"/>
      <c r="X47" s="87"/>
      <c r="Y47" s="87"/>
      <c r="Z47" s="87"/>
      <c r="AA47" s="88"/>
      <c r="AB47" s="87"/>
      <c r="AC47" s="87"/>
      <c r="AD47" s="87"/>
      <c r="AE47" s="88"/>
      <c r="AF47" s="87"/>
      <c r="AG47" s="87"/>
      <c r="AH47" s="89"/>
      <c r="AI47" s="90"/>
      <c r="AJ47" s="89"/>
      <c r="AK47" s="89"/>
      <c r="AL47" s="89"/>
      <c r="AM47" s="89"/>
      <c r="AN47" s="91"/>
      <c r="AO47" s="89"/>
      <c r="AP47" s="89"/>
      <c r="AQ47" s="89"/>
      <c r="AR47" s="91"/>
      <c r="AS47" s="89"/>
      <c r="AT47" s="89"/>
      <c r="AU47" s="89"/>
      <c r="AV47" s="1233"/>
      <c r="AW47" s="1231"/>
      <c r="AX47" s="1231"/>
      <c r="AY47" s="1232"/>
      <c r="AZ47" s="1233"/>
      <c r="BA47" s="1231"/>
      <c r="BB47" s="1231"/>
      <c r="BC47" s="1232"/>
      <c r="BD47" s="1233"/>
      <c r="BE47" s="1231"/>
      <c r="BF47" s="1231"/>
      <c r="BG47" s="1232"/>
      <c r="BH47" s="1312"/>
      <c r="BI47" s="1310"/>
      <c r="BJ47" s="1310"/>
      <c r="BK47" s="1396"/>
      <c r="BL47" s="1391"/>
      <c r="BM47" s="241"/>
      <c r="BN47" s="241"/>
      <c r="BO47" s="241"/>
      <c r="BP47" s="241"/>
      <c r="BQ47" s="241"/>
      <c r="BR47" s="241"/>
      <c r="BS47" s="241"/>
      <c r="BT47" s="241"/>
      <c r="BU47" s="629"/>
      <c r="BV47" s="241"/>
      <c r="BW47" s="241"/>
      <c r="BX47" s="241"/>
      <c r="BY47" s="1238"/>
      <c r="BZ47" s="1314"/>
      <c r="CA47" s="1314"/>
      <c r="CB47" s="19"/>
      <c r="CC47" s="629"/>
      <c r="CD47" s="241"/>
      <c r="CE47" s="241"/>
      <c r="CF47" s="241"/>
      <c r="CG47" s="241"/>
      <c r="CH47" s="241"/>
      <c r="CI47" s="629"/>
      <c r="CJ47" s="241"/>
      <c r="CK47" s="1204"/>
      <c r="CL47" s="1199"/>
      <c r="CM47" s="1199"/>
      <c r="CN47" s="1314"/>
      <c r="CO47" s="1314"/>
      <c r="CP47" s="1315"/>
    </row>
    <row r="48" spans="1:94" s="7" customFormat="1" ht="14.25" hidden="1" customHeight="1" outlineLevel="1">
      <c r="A48" s="511"/>
      <c r="B48" s="43" t="str">
        <f>$B$163&amp;" Gross Margin"</f>
        <v>Avago's Wired Infrastructure Gross Margin</v>
      </c>
      <c r="C48" s="240"/>
      <c r="D48" s="370"/>
      <c r="E48" s="371"/>
      <c r="F48" s="371"/>
      <c r="G48" s="372"/>
      <c r="H48" s="370"/>
      <c r="I48" s="371"/>
      <c r="J48" s="371"/>
      <c r="K48" s="372"/>
      <c r="L48" s="370">
        <f>L46*L$129</f>
        <v>49.879999999999995</v>
      </c>
      <c r="M48" s="371">
        <f t="shared" ref="M48:AJ48" si="280">M46*M$129</f>
        <v>50.460000000000008</v>
      </c>
      <c r="N48" s="371">
        <f t="shared" si="280"/>
        <v>50.759999999999991</v>
      </c>
      <c r="O48" s="372">
        <f t="shared" si="280"/>
        <v>46</v>
      </c>
      <c r="P48" s="370">
        <f t="shared" si="280"/>
        <v>45.902173913043484</v>
      </c>
      <c r="Q48" s="371">
        <f t="shared" si="280"/>
        <v>31.846153846153847</v>
      </c>
      <c r="R48" s="371">
        <f t="shared" si="280"/>
        <v>37.867768595041326</v>
      </c>
      <c r="S48" s="372">
        <f t="shared" si="280"/>
        <v>46.654205607476634</v>
      </c>
      <c r="T48" s="370">
        <f t="shared" si="280"/>
        <v>55</v>
      </c>
      <c r="U48" s="371">
        <f t="shared" si="280"/>
        <v>59.231067961165046</v>
      </c>
      <c r="V48" s="371">
        <f t="shared" si="280"/>
        <v>62.618181818181817</v>
      </c>
      <c r="W48" s="372">
        <f t="shared" si="280"/>
        <v>72.75</v>
      </c>
      <c r="X48" s="373">
        <f t="shared" si="280"/>
        <v>79.56</v>
      </c>
      <c r="Y48" s="352">
        <f t="shared" si="280"/>
        <v>82.857142857142847</v>
      </c>
      <c r="Z48" s="371">
        <f t="shared" si="280"/>
        <v>87.442786069651746</v>
      </c>
      <c r="AA48" s="372">
        <f t="shared" si="280"/>
        <v>90.630818619582669</v>
      </c>
      <c r="AB48" s="373">
        <f t="shared" si="280"/>
        <v>82.007104795737135</v>
      </c>
      <c r="AC48" s="352">
        <f t="shared" si="280"/>
        <v>85.892547660311948</v>
      </c>
      <c r="AD48" s="352">
        <f t="shared" si="280"/>
        <v>88.4983498349835</v>
      </c>
      <c r="AE48" s="372">
        <f t="shared" si="280"/>
        <v>81.300970873786412</v>
      </c>
      <c r="AF48" s="371">
        <f t="shared" si="280"/>
        <v>72.493055555555557</v>
      </c>
      <c r="AG48" s="371">
        <f t="shared" si="280"/>
        <v>78.405693950177934</v>
      </c>
      <c r="AH48" s="371">
        <f t="shared" si="280"/>
        <v>102.88198757763975</v>
      </c>
      <c r="AI48" s="372">
        <f t="shared" si="280"/>
        <v>94.857235772357726</v>
      </c>
      <c r="AJ48" s="371">
        <f t="shared" si="280"/>
        <v>99.553202920077112</v>
      </c>
      <c r="AK48" s="371">
        <f>AK46*AK$129</f>
        <v>118.11</v>
      </c>
      <c r="AL48" s="371">
        <f>AL46*AL$129</f>
        <v>0</v>
      </c>
      <c r="AM48" s="371"/>
      <c r="AN48" s="370"/>
      <c r="AO48" s="371">
        <f>AO46*AO$129</f>
        <v>0</v>
      </c>
      <c r="AP48" s="371">
        <f>AP46*AP$129</f>
        <v>0</v>
      </c>
      <c r="AQ48" s="371"/>
      <c r="AR48" s="370"/>
      <c r="AS48" s="371">
        <f>AS46*AS$129</f>
        <v>0</v>
      </c>
      <c r="AT48" s="371">
        <f>AT46*AT$129</f>
        <v>0</v>
      </c>
      <c r="AU48" s="371"/>
      <c r="AV48" s="370"/>
      <c r="AW48" s="371"/>
      <c r="AX48" s="371"/>
      <c r="AY48" s="372"/>
      <c r="AZ48" s="370"/>
      <c r="BA48" s="371"/>
      <c r="BB48" s="371"/>
      <c r="BC48" s="372"/>
      <c r="BD48" s="370"/>
      <c r="BE48" s="371"/>
      <c r="BF48" s="371"/>
      <c r="BG48" s="372"/>
      <c r="BH48" s="370"/>
      <c r="BI48" s="371"/>
      <c r="BJ48" s="371"/>
      <c r="BK48" s="1397"/>
      <c r="BL48" s="1447"/>
      <c r="BM48" s="357"/>
      <c r="BN48" s="357"/>
      <c r="BO48" s="357">
        <f>SUM(L48:O48)</f>
        <v>197.1</v>
      </c>
      <c r="BP48" s="357">
        <f>SUM(P48:S48)</f>
        <v>162.27030196171529</v>
      </c>
      <c r="BQ48" s="357">
        <f>SUM(T48:W48)</f>
        <v>249.59924977934688</v>
      </c>
      <c r="BR48" s="357">
        <f>SUM(X48:AA48)</f>
        <v>340.49074754637724</v>
      </c>
      <c r="BS48" s="357">
        <f>SUM(AB48:AE48)</f>
        <v>337.69897316481899</v>
      </c>
      <c r="BT48" s="357">
        <f>SUM(AF48:AI48)</f>
        <v>348.63797285573099</v>
      </c>
      <c r="BU48" s="360">
        <f>SUM(AJ48:AM48)</f>
        <v>217.66320292007711</v>
      </c>
      <c r="BV48" s="357"/>
      <c r="BW48" s="357"/>
      <c r="BX48" s="357">
        <f>SUM(AV48:AY48)</f>
        <v>0</v>
      </c>
      <c r="BY48" s="357">
        <f>SUM(AW48:AZ48)</f>
        <v>0</v>
      </c>
      <c r="BZ48" s="357">
        <f>SUM(AX48:BD48)</f>
        <v>0</v>
      </c>
      <c r="CA48" s="357">
        <f>SUM(AY48:BE48)</f>
        <v>0</v>
      </c>
      <c r="CB48" s="19"/>
      <c r="CC48" s="360"/>
      <c r="CD48" s="357"/>
      <c r="CE48" s="357"/>
      <c r="CF48" s="357"/>
      <c r="CG48" s="357"/>
      <c r="CH48" s="357"/>
      <c r="CI48" s="360"/>
      <c r="CJ48" s="357">
        <f>SUM(AG48:AJ48)</f>
        <v>375.69812022025252</v>
      </c>
      <c r="CK48" s="360">
        <f>SUM(AK48:AN48)</f>
        <v>118.11</v>
      </c>
      <c r="CL48" s="357"/>
      <c r="CM48" s="357"/>
      <c r="CN48" s="357"/>
      <c r="CO48" s="357"/>
      <c r="CP48" s="358"/>
    </row>
    <row r="49" spans="1:94" s="7" customFormat="1" ht="14.25" hidden="1" customHeight="1" outlineLevel="1">
      <c r="A49" s="511"/>
      <c r="B49" s="35" t="s">
        <v>110</v>
      </c>
      <c r="C49" s="240"/>
      <c r="D49" s="149"/>
      <c r="E49" s="87"/>
      <c r="F49" s="87"/>
      <c r="G49" s="88"/>
      <c r="H49" s="149"/>
      <c r="I49" s="87"/>
      <c r="J49" s="87"/>
      <c r="K49" s="88"/>
      <c r="L49" s="149"/>
      <c r="M49" s="87"/>
      <c r="N49" s="87">
        <f t="shared" ref="N49:AL49" si="281">N48/M48-1</f>
        <v>5.9453032104634929E-3</v>
      </c>
      <c r="O49" s="88">
        <f t="shared" si="281"/>
        <v>-9.3774625689519109E-2</v>
      </c>
      <c r="P49" s="149">
        <f t="shared" si="281"/>
        <v>-2.1266540642720377E-3</v>
      </c>
      <c r="Q49" s="87">
        <f t="shared" si="281"/>
        <v>-0.30621687098125661</v>
      </c>
      <c r="R49" s="87">
        <f t="shared" si="281"/>
        <v>0.18908452110033158</v>
      </c>
      <c r="S49" s="88">
        <f t="shared" si="281"/>
        <v>0.23202943660075781</v>
      </c>
      <c r="T49" s="149">
        <f t="shared" si="281"/>
        <v>0.17888621794871806</v>
      </c>
      <c r="U49" s="87">
        <f t="shared" si="281"/>
        <v>7.6928508384819017E-2</v>
      </c>
      <c r="V49" s="87">
        <f t="shared" si="281"/>
        <v>5.7184750733137779E-2</v>
      </c>
      <c r="W49" s="88">
        <f t="shared" si="281"/>
        <v>0.1618031358885017</v>
      </c>
      <c r="X49" s="361">
        <f t="shared" si="281"/>
        <v>9.3608247422680479E-2</v>
      </c>
      <c r="Y49" s="362">
        <f t="shared" si="281"/>
        <v>4.1442217912806001E-2</v>
      </c>
      <c r="Z49" s="87">
        <f t="shared" si="281"/>
        <v>5.5343969806141979E-2</v>
      </c>
      <c r="AA49" s="88">
        <f t="shared" si="281"/>
        <v>3.6458496958131192E-2</v>
      </c>
      <c r="AB49" s="361">
        <f t="shared" si="281"/>
        <v>-9.5152112219608731E-2</v>
      </c>
      <c r="AC49" s="362">
        <f t="shared" si="281"/>
        <v>4.7379344439151483E-2</v>
      </c>
      <c r="AD49" s="362">
        <f t="shared" si="281"/>
        <v>3.0337930887519793E-2</v>
      </c>
      <c r="AE49" s="88">
        <f t="shared" si="281"/>
        <v>-8.132783237899377E-2</v>
      </c>
      <c r="AF49" s="361">
        <f t="shared" si="281"/>
        <v>-0.10833714805084527</v>
      </c>
      <c r="AG49" s="362">
        <f t="shared" si="281"/>
        <v>8.1561445428261603E-2</v>
      </c>
      <c r="AH49" s="362">
        <f t="shared" si="281"/>
        <v>0.31217495049549604</v>
      </c>
      <c r="AI49" s="88">
        <f t="shared" si="281"/>
        <v>-7.7999579850905887E-2</v>
      </c>
      <c r="AJ49" s="362">
        <f t="shared" si="281"/>
        <v>4.9505629269958495E-2</v>
      </c>
      <c r="AK49" s="362">
        <f t="shared" si="281"/>
        <v>0.18640080414911986</v>
      </c>
      <c r="AL49" s="362">
        <f t="shared" si="281"/>
        <v>-1</v>
      </c>
      <c r="AM49" s="362"/>
      <c r="AN49" s="361"/>
      <c r="AO49" s="362" t="e">
        <f t="shared" ref="AO49:AP49" si="282">AO48/AN48-1</f>
        <v>#DIV/0!</v>
      </c>
      <c r="AP49" s="362" t="e">
        <f t="shared" si="282"/>
        <v>#DIV/0!</v>
      </c>
      <c r="AQ49" s="943"/>
      <c r="AR49" s="361"/>
      <c r="AS49" s="362" t="e">
        <f t="shared" ref="AS49:AT49" si="283">AS48/AR48-1</f>
        <v>#DIV/0!</v>
      </c>
      <c r="AT49" s="362" t="e">
        <f t="shared" si="283"/>
        <v>#DIV/0!</v>
      </c>
      <c r="AU49" s="1000"/>
      <c r="AV49" s="361"/>
      <c r="AW49" s="362"/>
      <c r="AX49" s="1229"/>
      <c r="AY49" s="1230"/>
      <c r="AZ49" s="1237"/>
      <c r="BA49" s="1229"/>
      <c r="BB49" s="1229"/>
      <c r="BC49" s="1230"/>
      <c r="BD49" s="1237"/>
      <c r="BE49" s="1229"/>
      <c r="BF49" s="1229"/>
      <c r="BG49" s="1230"/>
      <c r="BH49" s="1313"/>
      <c r="BI49" s="1308"/>
      <c r="BJ49" s="1308"/>
      <c r="BK49" s="1395"/>
      <c r="BL49" s="1391"/>
      <c r="BM49" s="241"/>
      <c r="BN49" s="241"/>
      <c r="BO49" s="241"/>
      <c r="BP49" s="241"/>
      <c r="BQ49" s="241"/>
      <c r="BR49" s="241"/>
      <c r="BS49" s="241"/>
      <c r="BT49" s="241"/>
      <c r="BU49" s="629"/>
      <c r="BV49" s="241"/>
      <c r="BW49" s="241"/>
      <c r="BX49" s="241"/>
      <c r="BY49" s="1238"/>
      <c r="BZ49" s="1314"/>
      <c r="CA49" s="1314"/>
      <c r="CB49" s="19"/>
      <c r="CC49" s="629"/>
      <c r="CD49" s="241"/>
      <c r="CE49" s="241"/>
      <c r="CF49" s="241"/>
      <c r="CG49" s="241"/>
      <c r="CH49" s="241"/>
      <c r="CI49" s="629"/>
      <c r="CJ49" s="241"/>
      <c r="CK49" s="1204"/>
      <c r="CL49" s="1199"/>
      <c r="CM49" s="1199"/>
      <c r="CN49" s="1314"/>
      <c r="CO49" s="1314"/>
      <c r="CP49" s="1315"/>
    </row>
    <row r="50" spans="1:94" s="7" customFormat="1" ht="14.25" hidden="1" customHeight="1" outlineLevel="1">
      <c r="A50" s="511"/>
      <c r="B50" s="35" t="s">
        <v>111</v>
      </c>
      <c r="C50" s="240"/>
      <c r="D50" s="149"/>
      <c r="E50" s="87"/>
      <c r="F50" s="87"/>
      <c r="G50" s="88"/>
      <c r="H50" s="149"/>
      <c r="I50" s="87"/>
      <c r="J50" s="362"/>
      <c r="K50" s="365"/>
      <c r="L50" s="361"/>
      <c r="M50" s="362"/>
      <c r="N50" s="362"/>
      <c r="O50" s="365"/>
      <c r="P50" s="361"/>
      <c r="Q50" s="362">
        <f t="shared" ref="Q50:AL50" si="284">Q48/M48-1</f>
        <v>-0.36888319765846533</v>
      </c>
      <c r="R50" s="362">
        <f t="shared" si="284"/>
        <v>-0.25398407023165226</v>
      </c>
      <c r="S50" s="365">
        <f t="shared" si="284"/>
        <v>1.4221861032100769E-2</v>
      </c>
      <c r="T50" s="361">
        <f t="shared" si="284"/>
        <v>0.19820033151787819</v>
      </c>
      <c r="U50" s="362">
        <f t="shared" si="284"/>
        <v>0.8599127620655691</v>
      </c>
      <c r="V50" s="362">
        <f t="shared" si="284"/>
        <v>0.65360104757747695</v>
      </c>
      <c r="W50" s="365">
        <f t="shared" si="284"/>
        <v>0.55934495192307709</v>
      </c>
      <c r="X50" s="361">
        <f t="shared" si="284"/>
        <v>0.44654545454545458</v>
      </c>
      <c r="Y50" s="362">
        <f t="shared" si="284"/>
        <v>0.39887977220786031</v>
      </c>
      <c r="Z50" s="362">
        <f t="shared" si="284"/>
        <v>0.39644402840616899</v>
      </c>
      <c r="AA50" s="365">
        <f t="shared" si="284"/>
        <v>0.24578444837914315</v>
      </c>
      <c r="AB50" s="361">
        <f t="shared" si="284"/>
        <v>3.0757978830280752E-2</v>
      </c>
      <c r="AC50" s="362">
        <f t="shared" si="284"/>
        <v>3.6634195900316691E-2</v>
      </c>
      <c r="AD50" s="362">
        <f t="shared" si="284"/>
        <v>1.2071479109676986E-2</v>
      </c>
      <c r="AE50" s="365">
        <f t="shared" si="284"/>
        <v>-0.102943434561236</v>
      </c>
      <c r="AF50" s="361">
        <f t="shared" si="284"/>
        <v>-0.11601493875291813</v>
      </c>
      <c r="AG50" s="362">
        <f t="shared" si="284"/>
        <v>-8.7165346867379423E-2</v>
      </c>
      <c r="AH50" s="362">
        <f t="shared" si="284"/>
        <v>0.16253001066659856</v>
      </c>
      <c r="AI50" s="88">
        <f t="shared" si="284"/>
        <v>0.16674173448206897</v>
      </c>
      <c r="AJ50" s="362">
        <f t="shared" si="284"/>
        <v>0.37327916663388283</v>
      </c>
      <c r="AK50" s="362">
        <f t="shared" si="284"/>
        <v>0.50639569716775612</v>
      </c>
      <c r="AL50" s="362">
        <f t="shared" si="284"/>
        <v>-1</v>
      </c>
      <c r="AM50" s="362"/>
      <c r="AN50" s="361"/>
      <c r="AO50" s="362">
        <f t="shared" ref="AO50:AP50" si="285">AO48/AK48-1</f>
        <v>-1</v>
      </c>
      <c r="AP50" s="362" t="e">
        <f t="shared" si="285"/>
        <v>#DIV/0!</v>
      </c>
      <c r="AQ50" s="943"/>
      <c r="AR50" s="361"/>
      <c r="AS50" s="362" t="e">
        <f t="shared" ref="AS50:AT50" si="286">AS48/AO48-1</f>
        <v>#DIV/0!</v>
      </c>
      <c r="AT50" s="362" t="e">
        <f t="shared" si="286"/>
        <v>#DIV/0!</v>
      </c>
      <c r="AU50" s="1000"/>
      <c r="AV50" s="361"/>
      <c r="AW50" s="362"/>
      <c r="AX50" s="1229"/>
      <c r="AY50" s="1230"/>
      <c r="AZ50" s="1237"/>
      <c r="BA50" s="1229"/>
      <c r="BB50" s="1229"/>
      <c r="BC50" s="1230"/>
      <c r="BD50" s="1237"/>
      <c r="BE50" s="1229"/>
      <c r="BF50" s="1229"/>
      <c r="BG50" s="1230"/>
      <c r="BH50" s="1313"/>
      <c r="BI50" s="1308"/>
      <c r="BJ50" s="1308"/>
      <c r="BK50" s="1395"/>
      <c r="BL50" s="1391"/>
      <c r="BM50" s="362"/>
      <c r="BN50" s="301"/>
      <c r="BO50" s="301"/>
      <c r="BP50" s="301">
        <f t="shared" ref="BP50:BU50" si="287">BP48/BO48-1</f>
        <v>-0.17671079674421464</v>
      </c>
      <c r="BQ50" s="301">
        <f t="shared" si="287"/>
        <v>0.53816962661618306</v>
      </c>
      <c r="BR50" s="301">
        <f t="shared" si="287"/>
        <v>0.36414972339612861</v>
      </c>
      <c r="BS50" s="301">
        <f t="shared" si="287"/>
        <v>-8.1992665048202795E-3</v>
      </c>
      <c r="BT50" s="301">
        <f t="shared" si="287"/>
        <v>3.2392753784220352E-2</v>
      </c>
      <c r="BU50" s="632">
        <f t="shared" si="287"/>
        <v>-0.37567557217828429</v>
      </c>
      <c r="BV50" s="301"/>
      <c r="BW50" s="301"/>
      <c r="BX50" s="301" t="e">
        <f>BX48/BW48-1</f>
        <v>#DIV/0!</v>
      </c>
      <c r="BY50" s="301" t="e">
        <f>BY48/BX48-1</f>
        <v>#DIV/0!</v>
      </c>
      <c r="BZ50" s="301" t="e">
        <f>BZ48/BY48-1</f>
        <v>#DIV/0!</v>
      </c>
      <c r="CA50" s="301" t="e">
        <f>CA48/BZ48-1</f>
        <v>#DIV/0!</v>
      </c>
      <c r="CB50" s="19"/>
      <c r="CC50" s="632"/>
      <c r="CD50" s="301"/>
      <c r="CE50" s="301"/>
      <c r="CF50" s="301"/>
      <c r="CG50" s="301"/>
      <c r="CH50" s="301"/>
      <c r="CI50" s="632"/>
      <c r="CJ50" s="301"/>
      <c r="CK50" s="632"/>
      <c r="CL50" s="301"/>
      <c r="CM50" s="301"/>
      <c r="CN50" s="301"/>
      <c r="CO50" s="301"/>
      <c r="CP50" s="367"/>
    </row>
    <row r="51" spans="1:94" s="7" customFormat="1" ht="14.25" hidden="1" customHeight="1" outlineLevel="1">
      <c r="A51" s="511"/>
      <c r="B51" s="35" t="s">
        <v>203</v>
      </c>
      <c r="C51" s="240"/>
      <c r="D51" s="149"/>
      <c r="E51" s="87"/>
      <c r="F51" s="87"/>
      <c r="G51" s="88"/>
      <c r="H51" s="149"/>
      <c r="I51" s="87"/>
      <c r="J51" s="87"/>
      <c r="K51" s="88"/>
      <c r="L51" s="149"/>
      <c r="M51" s="87">
        <f t="shared" ref="M51:AI51" si="288">M48/M42</f>
        <v>0.42335766423357674</v>
      </c>
      <c r="N51" s="87">
        <f t="shared" si="288"/>
        <v>0.42824601366742587</v>
      </c>
      <c r="O51" s="88">
        <f t="shared" si="288"/>
        <v>0.4116331096196868</v>
      </c>
      <c r="P51" s="149">
        <f t="shared" si="288"/>
        <v>0.44565217391304351</v>
      </c>
      <c r="Q51" s="87">
        <f t="shared" si="288"/>
        <v>0.35384615384615387</v>
      </c>
      <c r="R51" s="87">
        <f t="shared" si="288"/>
        <v>0.43526170798898078</v>
      </c>
      <c r="S51" s="88">
        <f t="shared" si="288"/>
        <v>0.44859813084112149</v>
      </c>
      <c r="T51" s="149">
        <f t="shared" si="288"/>
        <v>0.45833333333333331</v>
      </c>
      <c r="U51" s="87">
        <f t="shared" si="288"/>
        <v>0.48155339805825242</v>
      </c>
      <c r="V51" s="87">
        <f t="shared" si="288"/>
        <v>0.50909090909090904</v>
      </c>
      <c r="W51" s="88">
        <f t="shared" si="288"/>
        <v>0.50874125874125875</v>
      </c>
      <c r="X51" s="361">
        <f t="shared" si="288"/>
        <v>0.52</v>
      </c>
      <c r="Y51" s="362">
        <f t="shared" si="288"/>
        <v>0.51785714285714279</v>
      </c>
      <c r="Z51" s="87">
        <f t="shared" si="288"/>
        <v>0.51741293532338306</v>
      </c>
      <c r="AA51" s="88">
        <f t="shared" si="288"/>
        <v>0.51203852327447841</v>
      </c>
      <c r="AB51" s="361">
        <f t="shared" si="288"/>
        <v>0.50621669626998234</v>
      </c>
      <c r="AC51" s="362">
        <f t="shared" si="288"/>
        <v>0.51126516464471394</v>
      </c>
      <c r="AD51" s="362">
        <f t="shared" si="288"/>
        <v>0.51155115511551152</v>
      </c>
      <c r="AE51" s="88">
        <f t="shared" si="288"/>
        <v>0.51132686084142398</v>
      </c>
      <c r="AF51" s="149">
        <f t="shared" si="288"/>
        <v>0.50694444444444442</v>
      </c>
      <c r="AG51" s="87">
        <f t="shared" si="288"/>
        <v>0.51245551601423489</v>
      </c>
      <c r="AH51" s="87">
        <f t="shared" si="288"/>
        <v>0.50931677018633537</v>
      </c>
      <c r="AI51" s="88">
        <f t="shared" si="288"/>
        <v>0.50542005420054203</v>
      </c>
      <c r="AJ51" s="87">
        <f>AJ48/AJ42</f>
        <v>0.57832696014916418</v>
      </c>
      <c r="AK51" s="87">
        <f>AK48/AK42</f>
        <v>0.54350927246790304</v>
      </c>
      <c r="AL51" s="87" t="e">
        <f>AL48/AL42</f>
        <v>#DIV/0!</v>
      </c>
      <c r="AM51" s="87"/>
      <c r="AN51" s="149"/>
      <c r="AO51" s="87" t="e">
        <f>AO48/AO42</f>
        <v>#DIV/0!</v>
      </c>
      <c r="AP51" s="943" t="e">
        <f>AP48/AP42</f>
        <v>#DIV/0!</v>
      </c>
      <c r="AQ51" s="943"/>
      <c r="AR51" s="945"/>
      <c r="AS51" s="1000" t="e">
        <f>AS48/AS42</f>
        <v>#DIV/0!</v>
      </c>
      <c r="AT51" s="1177" t="e">
        <f>AT48/AT42</f>
        <v>#DIV/0!</v>
      </c>
      <c r="AU51" s="1000"/>
      <c r="AV51" s="1237"/>
      <c r="AW51" s="1229"/>
      <c r="AX51" s="1229"/>
      <c r="AY51" s="1230"/>
      <c r="AZ51" s="1237"/>
      <c r="BA51" s="1229"/>
      <c r="BB51" s="1229"/>
      <c r="BC51" s="1230"/>
      <c r="BD51" s="1237"/>
      <c r="BE51" s="1229"/>
      <c r="BF51" s="1229"/>
      <c r="BG51" s="1230"/>
      <c r="BH51" s="1313"/>
      <c r="BI51" s="1308"/>
      <c r="BJ51" s="1308"/>
      <c r="BK51" s="1395"/>
      <c r="BL51" s="1391"/>
      <c r="BM51" s="301"/>
      <c r="BN51" s="301"/>
      <c r="BO51" s="301">
        <f t="shared" ref="BO51:BT51" si="289">BO48/BO42</f>
        <v>0.42291599613775349</v>
      </c>
      <c r="BP51" s="301">
        <f t="shared" si="289"/>
        <v>0.42257891135863357</v>
      </c>
      <c r="BQ51" s="301">
        <f t="shared" si="289"/>
        <v>0.49037180703211569</v>
      </c>
      <c r="BR51" s="301">
        <f t="shared" si="289"/>
        <v>0.5166779173693129</v>
      </c>
      <c r="BS51" s="301">
        <f t="shared" si="289"/>
        <v>0.51011929481090479</v>
      </c>
      <c r="BT51" s="301">
        <f t="shared" si="289"/>
        <v>0.50845579987126788</v>
      </c>
      <c r="BU51" s="632">
        <f>BU48/BU42</f>
        <v>0.4887902874852959</v>
      </c>
      <c r="BV51" s="301"/>
      <c r="BW51" s="301"/>
      <c r="BX51" s="301" t="e">
        <f>BX48/BX42</f>
        <v>#DIV/0!</v>
      </c>
      <c r="BY51" s="301" t="e">
        <f>BY48/BY42</f>
        <v>#DIV/0!</v>
      </c>
      <c r="BZ51" s="301" t="e">
        <f>BZ48/BZ42</f>
        <v>#DIV/0!</v>
      </c>
      <c r="CA51" s="301" t="e">
        <f>CA48/CA42</f>
        <v>#DIV/0!</v>
      </c>
      <c r="CB51" s="19"/>
      <c r="CC51" s="632"/>
      <c r="CD51" s="301"/>
      <c r="CE51" s="301"/>
      <c r="CF51" s="301"/>
      <c r="CG51" s="301"/>
      <c r="CH51" s="301"/>
      <c r="CI51" s="632"/>
      <c r="CJ51" s="301">
        <f>CJ48/CJ42</f>
        <v>0.52558423130333864</v>
      </c>
      <c r="CK51" s="632">
        <f>CK48/CK42</f>
        <v>0.54350927246790304</v>
      </c>
      <c r="CL51" s="301"/>
      <c r="CM51" s="301"/>
      <c r="CN51" s="301"/>
      <c r="CO51" s="301"/>
      <c r="CP51" s="367"/>
    </row>
    <row r="52" spans="1:94" s="7" customFormat="1" ht="14.25" hidden="1" customHeight="1" outlineLevel="1">
      <c r="A52" s="511"/>
      <c r="B52" s="374"/>
      <c r="C52" s="266"/>
      <c r="D52" s="375"/>
      <c r="E52" s="242"/>
      <c r="F52" s="242"/>
      <c r="G52" s="243"/>
      <c r="H52" s="375"/>
      <c r="I52" s="242"/>
      <c r="J52" s="242"/>
      <c r="K52" s="243"/>
      <c r="L52" s="375"/>
      <c r="M52" s="242"/>
      <c r="N52" s="242"/>
      <c r="O52" s="243"/>
      <c r="P52" s="375"/>
      <c r="Q52" s="242"/>
      <c r="R52" s="242"/>
      <c r="S52" s="243"/>
      <c r="T52" s="375"/>
      <c r="U52" s="242"/>
      <c r="V52" s="242"/>
      <c r="W52" s="243"/>
      <c r="X52" s="744"/>
      <c r="Y52" s="747"/>
      <c r="Z52" s="747"/>
      <c r="AA52" s="746"/>
      <c r="AB52" s="745"/>
      <c r="AC52" s="747"/>
      <c r="AD52" s="747"/>
      <c r="AE52" s="746"/>
      <c r="AF52" s="375"/>
      <c r="AG52" s="242"/>
      <c r="AH52" s="66"/>
      <c r="AI52" s="61"/>
      <c r="AJ52" s="66"/>
      <c r="AK52" s="66"/>
      <c r="AL52" s="66"/>
      <c r="AM52" s="66"/>
      <c r="AN52" s="60"/>
      <c r="AO52" s="66"/>
      <c r="AP52" s="66"/>
      <c r="AQ52" s="66"/>
      <c r="AR52" s="60"/>
      <c r="AS52" s="66"/>
      <c r="AT52" s="66"/>
      <c r="AU52" s="66"/>
      <c r="AV52" s="60"/>
      <c r="AW52" s="66"/>
      <c r="AX52" s="66"/>
      <c r="AY52" s="61"/>
      <c r="AZ52" s="60"/>
      <c r="BA52" s="66"/>
      <c r="BB52" s="66"/>
      <c r="BC52" s="61"/>
      <c r="BD52" s="60"/>
      <c r="BE52" s="66"/>
      <c r="BF52" s="66"/>
      <c r="BG52" s="61"/>
      <c r="BH52" s="60"/>
      <c r="BI52" s="66"/>
      <c r="BJ52" s="66"/>
      <c r="BK52" s="61"/>
      <c r="BL52" s="1391"/>
      <c r="BM52" s="223"/>
      <c r="BN52" s="223"/>
      <c r="BO52" s="223"/>
      <c r="BP52" s="223"/>
      <c r="BQ52" s="223"/>
      <c r="BR52" s="223"/>
      <c r="BS52" s="223"/>
      <c r="BT52" s="223"/>
      <c r="BU52" s="14"/>
      <c r="BV52" s="223"/>
      <c r="BW52" s="223"/>
      <c r="BX52" s="223"/>
      <c r="BY52" s="223"/>
      <c r="BZ52" s="223"/>
      <c r="CA52" s="223"/>
      <c r="CB52" s="19"/>
      <c r="CC52" s="14"/>
      <c r="CD52" s="223"/>
      <c r="CE52" s="223"/>
      <c r="CF52" s="223"/>
      <c r="CG52" s="223"/>
      <c r="CH52" s="223"/>
      <c r="CI52" s="14"/>
      <c r="CJ52" s="223"/>
      <c r="CK52" s="14"/>
      <c r="CL52" s="223"/>
      <c r="CM52" s="223"/>
      <c r="CN52" s="223"/>
      <c r="CO52" s="223"/>
      <c r="CP52" s="15"/>
    </row>
    <row r="53" spans="1:94" s="100" customFormat="1" ht="14.25" hidden="1" customHeight="1" outlineLevel="1">
      <c r="A53" s="510"/>
      <c r="B53" s="346" t="str">
        <f>$B$164&amp;" Revenue"</f>
        <v>CyOptics Revenue</v>
      </c>
      <c r="C53" s="347"/>
      <c r="D53" s="349"/>
      <c r="E53" s="349"/>
      <c r="F53" s="349"/>
      <c r="G53" s="350"/>
      <c r="H53" s="349"/>
      <c r="I53" s="349"/>
      <c r="J53" s="349"/>
      <c r="K53" s="350"/>
      <c r="L53" s="349">
        <f t="shared" ref="L53:AJ53" si="290">L$164</f>
        <v>0</v>
      </c>
      <c r="M53" s="349">
        <f t="shared" si="290"/>
        <v>0</v>
      </c>
      <c r="N53" s="349">
        <f t="shared" si="290"/>
        <v>0</v>
      </c>
      <c r="O53" s="350">
        <f t="shared" si="290"/>
        <v>0</v>
      </c>
      <c r="P53" s="349">
        <f t="shared" si="290"/>
        <v>0</v>
      </c>
      <c r="Q53" s="349">
        <f t="shared" si="290"/>
        <v>0</v>
      </c>
      <c r="R53" s="349">
        <f t="shared" si="290"/>
        <v>0</v>
      </c>
      <c r="S53" s="350">
        <f t="shared" si="290"/>
        <v>0</v>
      </c>
      <c r="T53" s="349">
        <f t="shared" si="290"/>
        <v>0</v>
      </c>
      <c r="U53" s="349">
        <f t="shared" si="290"/>
        <v>0</v>
      </c>
      <c r="V53" s="349">
        <f t="shared" si="290"/>
        <v>0</v>
      </c>
      <c r="W53" s="350">
        <f t="shared" si="290"/>
        <v>0</v>
      </c>
      <c r="X53" s="349">
        <f t="shared" si="290"/>
        <v>0</v>
      </c>
      <c r="Y53" s="349">
        <f t="shared" si="290"/>
        <v>0</v>
      </c>
      <c r="Z53" s="349">
        <f t="shared" si="290"/>
        <v>0</v>
      </c>
      <c r="AA53" s="350">
        <f t="shared" si="290"/>
        <v>0</v>
      </c>
      <c r="AB53" s="349">
        <f t="shared" si="290"/>
        <v>0</v>
      </c>
      <c r="AC53" s="349">
        <f t="shared" si="290"/>
        <v>0</v>
      </c>
      <c r="AD53" s="349">
        <f t="shared" si="290"/>
        <v>0</v>
      </c>
      <c r="AE53" s="350">
        <f t="shared" si="290"/>
        <v>0</v>
      </c>
      <c r="AF53" s="349"/>
      <c r="AG53" s="349"/>
      <c r="AH53" s="349"/>
      <c r="AI53" s="350">
        <f t="shared" si="290"/>
        <v>55.86</v>
      </c>
      <c r="AJ53" s="352">
        <f t="shared" si="290"/>
        <v>55.86</v>
      </c>
      <c r="AK53" s="352"/>
      <c r="AL53" s="352"/>
      <c r="AM53" s="352"/>
      <c r="AN53" s="373"/>
      <c r="AO53" s="352"/>
      <c r="AP53" s="352"/>
      <c r="AQ53" s="352"/>
      <c r="AR53" s="373"/>
      <c r="AS53" s="352"/>
      <c r="AT53" s="352"/>
      <c r="AU53" s="352"/>
      <c r="AV53" s="373"/>
      <c r="AW53" s="352"/>
      <c r="AX53" s="352"/>
      <c r="AY53" s="351"/>
      <c r="AZ53" s="373"/>
      <c r="BA53" s="352"/>
      <c r="BB53" s="352"/>
      <c r="BC53" s="351"/>
      <c r="BD53" s="373"/>
      <c r="BE53" s="352"/>
      <c r="BF53" s="352"/>
      <c r="BG53" s="351"/>
      <c r="BH53" s="373"/>
      <c r="BI53" s="352"/>
      <c r="BJ53" s="352"/>
      <c r="BK53" s="1449"/>
      <c r="BL53" s="1445"/>
      <c r="BM53" s="357"/>
      <c r="BN53" s="357"/>
      <c r="BO53" s="357"/>
      <c r="BP53" s="357"/>
      <c r="BQ53" s="357"/>
      <c r="BR53" s="357"/>
      <c r="BS53" s="357"/>
      <c r="BT53" s="357">
        <f>SUM(AF53:AI53)</f>
        <v>55.86</v>
      </c>
      <c r="BU53" s="360">
        <f>SUM(AJ53:AM53)</f>
        <v>55.86</v>
      </c>
      <c r="BV53" s="357"/>
      <c r="BW53" s="357"/>
      <c r="BX53" s="357">
        <f>SUM(AV53:AY53)</f>
        <v>0</v>
      </c>
      <c r="BY53" s="357">
        <f>SUM(AW53:AZ53)</f>
        <v>0</v>
      </c>
      <c r="BZ53" s="357">
        <f>SUM(AX53:BD53)</f>
        <v>0</v>
      </c>
      <c r="CA53" s="357">
        <f>SUM(AY53:BE53)</f>
        <v>0</v>
      </c>
      <c r="CB53" s="356"/>
      <c r="CC53" s="360"/>
      <c r="CD53" s="357">
        <f>SUM(I53:L53)</f>
        <v>0</v>
      </c>
      <c r="CE53" s="357">
        <f>SUM(M53:P53)</f>
        <v>0</v>
      </c>
      <c r="CF53" s="357">
        <f>SUM(Q53:T53)</f>
        <v>0</v>
      </c>
      <c r="CG53" s="357">
        <f>SUM(U53:X53)</f>
        <v>0</v>
      </c>
      <c r="CH53" s="357">
        <f>SUM(Y53:AB53)</f>
        <v>0</v>
      </c>
      <c r="CI53" s="360">
        <f>SUM(AC53:AF53)</f>
        <v>0</v>
      </c>
      <c r="CJ53" s="357">
        <f>SUM(AG53:AJ53)</f>
        <v>111.72</v>
      </c>
      <c r="CK53" s="360"/>
      <c r="CL53" s="357"/>
      <c r="CM53" s="357"/>
      <c r="CN53" s="357"/>
      <c r="CO53" s="357"/>
      <c r="CP53" s="358"/>
    </row>
    <row r="54" spans="1:94" s="7" customFormat="1" ht="14.25" hidden="1" customHeight="1" outlineLevel="1">
      <c r="A54" s="511"/>
      <c r="B54" s="35" t="s">
        <v>110</v>
      </c>
      <c r="C54" s="240"/>
      <c r="D54" s="149"/>
      <c r="E54" s="87"/>
      <c r="F54" s="87"/>
      <c r="G54" s="88"/>
      <c r="H54" s="149"/>
      <c r="I54" s="87"/>
      <c r="J54" s="87"/>
      <c r="K54" s="88"/>
      <c r="L54" s="149"/>
      <c r="M54" s="87"/>
      <c r="N54" s="87"/>
      <c r="O54" s="88"/>
      <c r="P54" s="149"/>
      <c r="Q54" s="87"/>
      <c r="R54" s="87"/>
      <c r="S54" s="88"/>
      <c r="T54" s="149"/>
      <c r="U54" s="87"/>
      <c r="V54" s="87"/>
      <c r="W54" s="88"/>
      <c r="X54" s="361"/>
      <c r="Y54" s="362"/>
      <c r="Z54" s="87"/>
      <c r="AA54" s="88"/>
      <c r="AB54" s="361"/>
      <c r="AC54" s="362"/>
      <c r="AD54" s="362"/>
      <c r="AE54" s="88"/>
      <c r="AF54" s="361"/>
      <c r="AG54" s="362"/>
      <c r="AH54" s="362"/>
      <c r="AI54" s="88"/>
      <c r="AJ54" s="89">
        <f>AJ53/AI53-1</f>
        <v>0</v>
      </c>
      <c r="AK54" s="89"/>
      <c r="AL54" s="89"/>
      <c r="AM54" s="89"/>
      <c r="AN54" s="91"/>
      <c r="AO54" s="89"/>
      <c r="AP54" s="89"/>
      <c r="AQ54" s="89"/>
      <c r="AR54" s="91"/>
      <c r="AS54" s="89"/>
      <c r="AT54" s="89"/>
      <c r="AU54" s="89"/>
      <c r="AV54" s="1233"/>
      <c r="AW54" s="1231"/>
      <c r="AX54" s="1231"/>
      <c r="AY54" s="1232"/>
      <c r="AZ54" s="1233"/>
      <c r="BA54" s="1231"/>
      <c r="BB54" s="1231"/>
      <c r="BC54" s="1232"/>
      <c r="BD54" s="1233"/>
      <c r="BE54" s="1231"/>
      <c r="BF54" s="1231"/>
      <c r="BG54" s="1232"/>
      <c r="BH54" s="1312"/>
      <c r="BI54" s="1310"/>
      <c r="BJ54" s="1310"/>
      <c r="BK54" s="1396"/>
      <c r="BL54" s="1391"/>
      <c r="BM54" s="241"/>
      <c r="BN54" s="241"/>
      <c r="BO54" s="241"/>
      <c r="BP54" s="241"/>
      <c r="BQ54" s="241"/>
      <c r="BR54" s="241"/>
      <c r="BS54" s="748"/>
      <c r="BT54" s="241"/>
      <c r="BU54" s="629"/>
      <c r="BV54" s="241"/>
      <c r="BW54" s="241"/>
      <c r="BX54" s="241"/>
      <c r="BY54" s="1238"/>
      <c r="BZ54" s="1314"/>
      <c r="CA54" s="1314"/>
      <c r="CB54" s="19"/>
      <c r="CC54" s="629"/>
      <c r="CD54" s="241"/>
      <c r="CE54" s="241"/>
      <c r="CF54" s="241"/>
      <c r="CG54" s="241"/>
      <c r="CH54" s="241"/>
      <c r="CI54" s="629"/>
      <c r="CJ54" s="241"/>
      <c r="CK54" s="1204"/>
      <c r="CL54" s="1199"/>
      <c r="CM54" s="1199"/>
      <c r="CN54" s="1314"/>
      <c r="CO54" s="1314"/>
      <c r="CP54" s="1315"/>
    </row>
    <row r="55" spans="1:94" s="7" customFormat="1" ht="14.25" hidden="1" customHeight="1" outlineLevel="1">
      <c r="A55" s="511"/>
      <c r="B55" s="35" t="s">
        <v>202</v>
      </c>
      <c r="C55" s="240"/>
      <c r="D55" s="149"/>
      <c r="E55" s="87"/>
      <c r="F55" s="87"/>
      <c r="G55" s="88"/>
      <c r="H55" s="149"/>
      <c r="I55" s="87"/>
      <c r="J55" s="87"/>
      <c r="K55" s="88"/>
      <c r="L55" s="149"/>
      <c r="M55" s="87"/>
      <c r="N55" s="87"/>
      <c r="O55" s="88"/>
      <c r="P55" s="149"/>
      <c r="Q55" s="87"/>
      <c r="R55" s="87"/>
      <c r="S55" s="88"/>
      <c r="T55" s="149"/>
      <c r="U55" s="87"/>
      <c r="V55" s="87"/>
      <c r="W55" s="88"/>
      <c r="X55" s="87"/>
      <c r="Y55" s="87"/>
      <c r="Z55" s="87"/>
      <c r="AA55" s="88"/>
      <c r="AB55" s="87"/>
      <c r="AC55" s="87"/>
      <c r="AD55" s="87"/>
      <c r="AE55" s="88"/>
      <c r="AF55" s="87"/>
      <c r="AG55" s="87"/>
      <c r="AH55" s="87"/>
      <c r="AI55" s="88"/>
      <c r="AJ55" s="87"/>
      <c r="AK55" s="87"/>
      <c r="AL55" s="87"/>
      <c r="AM55" s="87"/>
      <c r="AN55" s="149"/>
      <c r="AO55" s="87"/>
      <c r="AP55" s="943"/>
      <c r="AQ55" s="943"/>
      <c r="AR55" s="945"/>
      <c r="AS55" s="1000"/>
      <c r="AT55" s="1177"/>
      <c r="AU55" s="1000"/>
      <c r="AV55" s="1237"/>
      <c r="AW55" s="1229"/>
      <c r="AX55" s="1229"/>
      <c r="AY55" s="1230"/>
      <c r="AZ55" s="1237"/>
      <c r="BA55" s="1229"/>
      <c r="BB55" s="1229"/>
      <c r="BC55" s="1230"/>
      <c r="BD55" s="1237"/>
      <c r="BE55" s="1229"/>
      <c r="BF55" s="1229"/>
      <c r="BG55" s="1230"/>
      <c r="BH55" s="1313"/>
      <c r="BI55" s="1308"/>
      <c r="BJ55" s="1308"/>
      <c r="BK55" s="1395"/>
      <c r="BL55" s="1391"/>
      <c r="BM55" s="241"/>
      <c r="BN55" s="241"/>
      <c r="BO55" s="241"/>
      <c r="BP55" s="241"/>
      <c r="BQ55" s="241"/>
      <c r="BR55" s="241"/>
      <c r="BS55" s="241"/>
      <c r="BT55" s="241"/>
      <c r="BU55" s="629"/>
      <c r="BV55" s="241"/>
      <c r="BW55" s="241"/>
      <c r="BX55" s="241"/>
      <c r="BY55" s="1238"/>
      <c r="BZ55" s="1314"/>
      <c r="CA55" s="1314"/>
      <c r="CB55" s="19"/>
      <c r="CC55" s="629"/>
      <c r="CD55" s="241"/>
      <c r="CE55" s="241"/>
      <c r="CF55" s="241"/>
      <c r="CG55" s="241"/>
      <c r="CH55" s="241"/>
      <c r="CI55" s="629"/>
      <c r="CJ55" s="241"/>
      <c r="CK55" s="1204"/>
      <c r="CL55" s="1199"/>
      <c r="CM55" s="1199"/>
      <c r="CN55" s="1314"/>
      <c r="CO55" s="1314"/>
      <c r="CP55" s="1315"/>
    </row>
    <row r="56" spans="1:94" s="369" customFormat="1" ht="14.25" hidden="1" customHeight="1" outlineLevel="1">
      <c r="A56" s="512"/>
      <c r="B56" s="363" t="s">
        <v>111</v>
      </c>
      <c r="C56" s="364"/>
      <c r="D56" s="361"/>
      <c r="E56" s="362"/>
      <c r="F56" s="362"/>
      <c r="G56" s="365"/>
      <c r="H56" s="361"/>
      <c r="I56" s="362"/>
      <c r="J56" s="362"/>
      <c r="K56" s="365"/>
      <c r="L56" s="361"/>
      <c r="M56" s="362"/>
      <c r="N56" s="362"/>
      <c r="O56" s="365"/>
      <c r="P56" s="361"/>
      <c r="Q56" s="362"/>
      <c r="R56" s="362"/>
      <c r="S56" s="365"/>
      <c r="T56" s="361"/>
      <c r="U56" s="362"/>
      <c r="V56" s="362"/>
      <c r="W56" s="365"/>
      <c r="X56" s="361"/>
      <c r="Y56" s="362"/>
      <c r="Z56" s="362"/>
      <c r="AA56" s="365"/>
      <c r="AB56" s="361"/>
      <c r="AC56" s="362"/>
      <c r="AD56" s="362"/>
      <c r="AE56" s="365"/>
      <c r="AF56" s="361"/>
      <c r="AG56" s="362"/>
      <c r="AH56" s="362"/>
      <c r="AI56" s="365"/>
      <c r="AJ56" s="362"/>
      <c r="AK56" s="362"/>
      <c r="AL56" s="362"/>
      <c r="AM56" s="362"/>
      <c r="AN56" s="361"/>
      <c r="AO56" s="362"/>
      <c r="AP56" s="362"/>
      <c r="AQ56" s="362"/>
      <c r="AR56" s="361"/>
      <c r="AS56" s="362"/>
      <c r="AT56" s="362"/>
      <c r="AU56" s="362"/>
      <c r="AV56" s="361"/>
      <c r="AW56" s="362"/>
      <c r="AX56" s="362"/>
      <c r="AY56" s="365"/>
      <c r="AZ56" s="361"/>
      <c r="BA56" s="362"/>
      <c r="BB56" s="362"/>
      <c r="BC56" s="365"/>
      <c r="BD56" s="361"/>
      <c r="BE56" s="362"/>
      <c r="BF56" s="362"/>
      <c r="BG56" s="365"/>
      <c r="BH56" s="361"/>
      <c r="BI56" s="362"/>
      <c r="BJ56" s="362"/>
      <c r="BK56" s="1441"/>
      <c r="BL56" s="1446"/>
      <c r="BM56" s="362"/>
      <c r="BN56" s="301"/>
      <c r="BO56" s="301"/>
      <c r="BP56" s="301"/>
      <c r="BQ56" s="301"/>
      <c r="BR56" s="301"/>
      <c r="BS56" s="301"/>
      <c r="BT56" s="301"/>
      <c r="BU56" s="632">
        <f>BU53/BT53-1</f>
        <v>0</v>
      </c>
      <c r="BV56" s="301"/>
      <c r="BW56" s="301"/>
      <c r="BX56" s="301" t="e">
        <f>BX53/BW53-1</f>
        <v>#DIV/0!</v>
      </c>
      <c r="BY56" s="301" t="e">
        <f>BY53/BX53-1</f>
        <v>#DIV/0!</v>
      </c>
      <c r="BZ56" s="301" t="e">
        <f>BZ53/BY53-1</f>
        <v>#DIV/0!</v>
      </c>
      <c r="CA56" s="301" t="e">
        <f>CA53/BZ53-1</f>
        <v>#DIV/0!</v>
      </c>
      <c r="CB56" s="366"/>
      <c r="CC56" s="632"/>
      <c r="CD56" s="301"/>
      <c r="CE56" s="301"/>
      <c r="CF56" s="301"/>
      <c r="CG56" s="301"/>
      <c r="CH56" s="301"/>
      <c r="CI56" s="632"/>
      <c r="CJ56" s="301"/>
      <c r="CK56" s="632"/>
      <c r="CL56" s="301"/>
      <c r="CM56" s="301"/>
      <c r="CN56" s="301"/>
      <c r="CO56" s="301"/>
      <c r="CP56" s="367"/>
    </row>
    <row r="57" spans="1:94" s="7" customFormat="1" ht="14.25" hidden="1" customHeight="1" outlineLevel="1">
      <c r="A57" s="511"/>
      <c r="B57" s="35" t="s">
        <v>112</v>
      </c>
      <c r="C57" s="240"/>
      <c r="D57" s="87"/>
      <c r="E57" s="87"/>
      <c r="F57" s="87"/>
      <c r="G57" s="88"/>
      <c r="H57" s="87"/>
      <c r="I57" s="87"/>
      <c r="J57" s="87"/>
      <c r="K57" s="88"/>
      <c r="L57" s="149">
        <f t="shared" ref="L57:AJ57" si="291">L53/L$108</f>
        <v>0</v>
      </c>
      <c r="M57" s="87">
        <f t="shared" si="291"/>
        <v>0</v>
      </c>
      <c r="N57" s="87">
        <f t="shared" si="291"/>
        <v>0</v>
      </c>
      <c r="O57" s="88">
        <f t="shared" si="291"/>
        <v>0</v>
      </c>
      <c r="P57" s="149">
        <f t="shared" si="291"/>
        <v>0</v>
      </c>
      <c r="Q57" s="87">
        <f t="shared" si="291"/>
        <v>0</v>
      </c>
      <c r="R57" s="87">
        <f t="shared" si="291"/>
        <v>0</v>
      </c>
      <c r="S57" s="88">
        <f t="shared" si="291"/>
        <v>0</v>
      </c>
      <c r="T57" s="149">
        <f t="shared" si="291"/>
        <v>0</v>
      </c>
      <c r="U57" s="87">
        <f t="shared" si="291"/>
        <v>0</v>
      </c>
      <c r="V57" s="87">
        <f t="shared" si="291"/>
        <v>0</v>
      </c>
      <c r="W57" s="88">
        <f t="shared" si="291"/>
        <v>0</v>
      </c>
      <c r="X57" s="361">
        <f t="shared" si="291"/>
        <v>0</v>
      </c>
      <c r="Y57" s="362">
        <f t="shared" si="291"/>
        <v>0</v>
      </c>
      <c r="Z57" s="87">
        <f t="shared" si="291"/>
        <v>0</v>
      </c>
      <c r="AA57" s="88">
        <f t="shared" si="291"/>
        <v>0</v>
      </c>
      <c r="AB57" s="361">
        <f t="shared" si="291"/>
        <v>0</v>
      </c>
      <c r="AC57" s="362">
        <f t="shared" si="291"/>
        <v>0</v>
      </c>
      <c r="AD57" s="362">
        <f t="shared" si="291"/>
        <v>0</v>
      </c>
      <c r="AE57" s="88">
        <f t="shared" si="291"/>
        <v>0</v>
      </c>
      <c r="AF57" s="361"/>
      <c r="AG57" s="362"/>
      <c r="AH57" s="87"/>
      <c r="AI57" s="88">
        <f t="shared" si="291"/>
        <v>7.5691056910569099E-2</v>
      </c>
      <c r="AJ57" s="87">
        <f t="shared" si="291"/>
        <v>8.8265967196536357E-2</v>
      </c>
      <c r="AK57" s="87"/>
      <c r="AL57" s="87"/>
      <c r="AM57" s="87"/>
      <c r="AN57" s="149"/>
      <c r="AO57" s="87"/>
      <c r="AP57" s="943"/>
      <c r="AQ57" s="943"/>
      <c r="AR57" s="945"/>
      <c r="AS57" s="1000"/>
      <c r="AT57" s="1177"/>
      <c r="AU57" s="1000"/>
      <c r="AV57" s="1237"/>
      <c r="AW57" s="1229"/>
      <c r="AX57" s="1229"/>
      <c r="AY57" s="1230"/>
      <c r="AZ57" s="1237"/>
      <c r="BA57" s="1229"/>
      <c r="BB57" s="1229"/>
      <c r="BC57" s="1230"/>
      <c r="BD57" s="1237"/>
      <c r="BE57" s="1229"/>
      <c r="BF57" s="1229"/>
      <c r="BG57" s="1230"/>
      <c r="BH57" s="1313"/>
      <c r="BI57" s="1308"/>
      <c r="BJ57" s="1308"/>
      <c r="BK57" s="1395"/>
      <c r="BL57" s="1391"/>
      <c r="BM57" s="301"/>
      <c r="BN57" s="301"/>
      <c r="BO57" s="301"/>
      <c r="BP57" s="301"/>
      <c r="BQ57" s="301"/>
      <c r="BR57" s="301"/>
      <c r="BS57" s="301"/>
      <c r="BT57" s="301">
        <f>BT53/BT$108</f>
        <v>2.2166666666666668E-2</v>
      </c>
      <c r="BU57" s="632">
        <f>BU53/BU$108</f>
        <v>1.3202989463135155E-2</v>
      </c>
      <c r="BV57" s="301"/>
      <c r="BW57" s="301"/>
      <c r="BX57" s="301">
        <f>BX53/BX$108</f>
        <v>0</v>
      </c>
      <c r="BY57" s="301">
        <f>BY53/BY$108</f>
        <v>0</v>
      </c>
      <c r="BZ57" s="301">
        <f>BZ53/BZ$108</f>
        <v>0</v>
      </c>
      <c r="CA57" s="301">
        <f>CA53/CA$108</f>
        <v>0</v>
      </c>
      <c r="CB57" s="19"/>
      <c r="CC57" s="632"/>
      <c r="CD57" s="301"/>
      <c r="CE57" s="301"/>
      <c r="CF57" s="301"/>
      <c r="CG57" s="301"/>
      <c r="CH57" s="301"/>
      <c r="CI57" s="632"/>
      <c r="CJ57" s="301">
        <f>CJ53/CJ$108</f>
        <v>4.3355091079841354E-2</v>
      </c>
      <c r="CK57" s="632"/>
      <c r="CL57" s="301"/>
      <c r="CM57" s="301"/>
      <c r="CN57" s="301"/>
      <c r="CO57" s="301"/>
      <c r="CP57" s="367"/>
    </row>
    <row r="58" spans="1:94" s="7" customFormat="1" ht="14.25" hidden="1" customHeight="1" outlineLevel="1">
      <c r="A58" s="511"/>
      <c r="B58" s="35"/>
      <c r="C58" s="240"/>
      <c r="D58" s="87"/>
      <c r="E58" s="87"/>
      <c r="F58" s="87"/>
      <c r="G58" s="88"/>
      <c r="H58" s="87"/>
      <c r="I58" s="87"/>
      <c r="J58" s="87"/>
      <c r="K58" s="88"/>
      <c r="L58" s="87"/>
      <c r="M58" s="87"/>
      <c r="N58" s="87"/>
      <c r="O58" s="88"/>
      <c r="P58" s="87"/>
      <c r="Q58" s="87"/>
      <c r="R58" s="87"/>
      <c r="S58" s="88"/>
      <c r="T58" s="87"/>
      <c r="U58" s="87"/>
      <c r="V58" s="87"/>
      <c r="W58" s="88"/>
      <c r="X58" s="87"/>
      <c r="Y58" s="87"/>
      <c r="Z58" s="87"/>
      <c r="AA58" s="88"/>
      <c r="AB58" s="87"/>
      <c r="AC58" s="87"/>
      <c r="AD58" s="87"/>
      <c r="AE58" s="88"/>
      <c r="AF58" s="87"/>
      <c r="AG58" s="87"/>
      <c r="AH58" s="89"/>
      <c r="AI58" s="90"/>
      <c r="AJ58" s="89"/>
      <c r="AK58" s="89"/>
      <c r="AL58" s="89"/>
      <c r="AM58" s="89"/>
      <c r="AN58" s="91"/>
      <c r="AO58" s="89"/>
      <c r="AP58" s="89"/>
      <c r="AQ58" s="89"/>
      <c r="AR58" s="91"/>
      <c r="AS58" s="89"/>
      <c r="AT58" s="89"/>
      <c r="AU58" s="89"/>
      <c r="AV58" s="1233"/>
      <c r="AW58" s="1231"/>
      <c r="AX58" s="1231"/>
      <c r="AY58" s="1232"/>
      <c r="AZ58" s="1233"/>
      <c r="BA58" s="1231"/>
      <c r="BB58" s="1231"/>
      <c r="BC58" s="1232"/>
      <c r="BD58" s="1233"/>
      <c r="BE58" s="1231"/>
      <c r="BF58" s="1231"/>
      <c r="BG58" s="1232"/>
      <c r="BH58" s="1312"/>
      <c r="BI58" s="1310"/>
      <c r="BJ58" s="1310"/>
      <c r="BK58" s="1396"/>
      <c r="BL58" s="1391"/>
      <c r="BM58" s="241"/>
      <c r="BN58" s="241"/>
      <c r="BO58" s="241"/>
      <c r="BP58" s="241"/>
      <c r="BQ58" s="241"/>
      <c r="BR58" s="241"/>
      <c r="BS58" s="241"/>
      <c r="BT58" s="241"/>
      <c r="BU58" s="629"/>
      <c r="BV58" s="241"/>
      <c r="BW58" s="241"/>
      <c r="BX58" s="241"/>
      <c r="BY58" s="1238"/>
      <c r="BZ58" s="1314"/>
      <c r="CA58" s="1314"/>
      <c r="CB58" s="19"/>
      <c r="CC58" s="629"/>
      <c r="CD58" s="241"/>
      <c r="CE58" s="241"/>
      <c r="CF58" s="241"/>
      <c r="CG58" s="241"/>
      <c r="CH58" s="241"/>
      <c r="CI58" s="629"/>
      <c r="CJ58" s="241"/>
      <c r="CK58" s="1204"/>
      <c r="CL58" s="1199"/>
      <c r="CM58" s="1199"/>
      <c r="CN58" s="1314"/>
      <c r="CO58" s="1314"/>
      <c r="CP58" s="1315"/>
    </row>
    <row r="59" spans="1:94" s="7" customFormat="1" ht="14.25" hidden="1" customHeight="1" outlineLevel="1">
      <c r="A59" s="511"/>
      <c r="B59" s="43" t="str">
        <f>$B$164&amp;" Gross Margin"</f>
        <v>CyOptics Gross Margin</v>
      </c>
      <c r="C59" s="240"/>
      <c r="D59" s="370"/>
      <c r="E59" s="371"/>
      <c r="F59" s="371"/>
      <c r="G59" s="372"/>
      <c r="H59" s="370"/>
      <c r="I59" s="371"/>
      <c r="J59" s="371"/>
      <c r="K59" s="372"/>
      <c r="L59" s="370"/>
      <c r="M59" s="371"/>
      <c r="N59" s="371"/>
      <c r="O59" s="372"/>
      <c r="P59" s="370"/>
      <c r="Q59" s="371"/>
      <c r="R59" s="371"/>
      <c r="S59" s="372"/>
      <c r="T59" s="370"/>
      <c r="U59" s="371"/>
      <c r="V59" s="371"/>
      <c r="W59" s="372"/>
      <c r="X59" s="373"/>
      <c r="Y59" s="352"/>
      <c r="Z59" s="371"/>
      <c r="AA59" s="372"/>
      <c r="AB59" s="373"/>
      <c r="AC59" s="352"/>
      <c r="AD59" s="352"/>
      <c r="AE59" s="372"/>
      <c r="AF59" s="373"/>
      <c r="AG59" s="352"/>
      <c r="AH59" s="371"/>
      <c r="AI59" s="372">
        <f>AI57*AI$129</f>
        <v>28.232764227642274</v>
      </c>
      <c r="AJ59" s="371">
        <f>AJ57*AJ$129</f>
        <v>32.305343993932304</v>
      </c>
      <c r="AK59" s="371"/>
      <c r="AL59" s="371"/>
      <c r="AM59" s="371"/>
      <c r="AN59" s="370"/>
      <c r="AO59" s="371"/>
      <c r="AP59" s="371"/>
      <c r="AQ59" s="371"/>
      <c r="AR59" s="370"/>
      <c r="AS59" s="371"/>
      <c r="AT59" s="371"/>
      <c r="AU59" s="371"/>
      <c r="AV59" s="370"/>
      <c r="AW59" s="371"/>
      <c r="AX59" s="371"/>
      <c r="AY59" s="372"/>
      <c r="AZ59" s="370"/>
      <c r="BA59" s="371"/>
      <c r="BB59" s="371"/>
      <c r="BC59" s="372"/>
      <c r="BD59" s="370"/>
      <c r="BE59" s="371"/>
      <c r="BF59" s="371"/>
      <c r="BG59" s="372"/>
      <c r="BH59" s="370"/>
      <c r="BI59" s="371"/>
      <c r="BJ59" s="371"/>
      <c r="BK59" s="1397"/>
      <c r="BL59" s="1447"/>
      <c r="BM59" s="357"/>
      <c r="BN59" s="357"/>
      <c r="BO59" s="357"/>
      <c r="BP59" s="357"/>
      <c r="BQ59" s="357"/>
      <c r="BR59" s="357"/>
      <c r="BS59" s="357"/>
      <c r="BT59" s="357">
        <f>SUM(AF59:AI59)</f>
        <v>28.232764227642274</v>
      </c>
      <c r="BU59" s="360">
        <f>SUM(AJ59:AM59)</f>
        <v>32.305343993932304</v>
      </c>
      <c r="BV59" s="357"/>
      <c r="BW59" s="357"/>
      <c r="BX59" s="357">
        <f>SUM(AV59:AY59)</f>
        <v>0</v>
      </c>
      <c r="BY59" s="357">
        <f>SUM(AW59:AZ59)</f>
        <v>0</v>
      </c>
      <c r="BZ59" s="357">
        <f>SUM(AX59:BD59)</f>
        <v>0</v>
      </c>
      <c r="CA59" s="357">
        <f>SUM(AY59:BE59)</f>
        <v>0</v>
      </c>
      <c r="CB59" s="19"/>
      <c r="CC59" s="360"/>
      <c r="CD59" s="357"/>
      <c r="CE59" s="357"/>
      <c r="CF59" s="357"/>
      <c r="CG59" s="357"/>
      <c r="CH59" s="357"/>
      <c r="CI59" s="360"/>
      <c r="CJ59" s="357">
        <f>SUM(AG59:AJ59)</f>
        <v>60.538108221574575</v>
      </c>
      <c r="CK59" s="360"/>
      <c r="CL59" s="357"/>
      <c r="CM59" s="357"/>
      <c r="CN59" s="357"/>
      <c r="CO59" s="357"/>
      <c r="CP59" s="358"/>
    </row>
    <row r="60" spans="1:94" s="7" customFormat="1" ht="14.25" hidden="1" customHeight="1" outlineLevel="1">
      <c r="A60" s="511"/>
      <c r="B60" s="35" t="s">
        <v>110</v>
      </c>
      <c r="C60" s="240"/>
      <c r="D60" s="149"/>
      <c r="E60" s="87"/>
      <c r="F60" s="87"/>
      <c r="G60" s="88"/>
      <c r="H60" s="149"/>
      <c r="I60" s="87"/>
      <c r="J60" s="87"/>
      <c r="K60" s="88"/>
      <c r="L60" s="149"/>
      <c r="M60" s="87"/>
      <c r="N60" s="87"/>
      <c r="O60" s="88"/>
      <c r="P60" s="149"/>
      <c r="Q60" s="87"/>
      <c r="R60" s="87"/>
      <c r="S60" s="88"/>
      <c r="T60" s="149"/>
      <c r="U60" s="87"/>
      <c r="V60" s="87"/>
      <c r="W60" s="88"/>
      <c r="X60" s="361"/>
      <c r="Y60" s="362"/>
      <c r="Z60" s="87"/>
      <c r="AA60" s="88"/>
      <c r="AB60" s="361"/>
      <c r="AC60" s="362"/>
      <c r="AD60" s="362"/>
      <c r="AE60" s="88"/>
      <c r="AF60" s="361"/>
      <c r="AG60" s="362"/>
      <c r="AH60" s="87"/>
      <c r="AI60" s="88"/>
      <c r="AJ60" s="87">
        <f>AJ59/AI59-1</f>
        <v>0.144250124906389</v>
      </c>
      <c r="AK60" s="87"/>
      <c r="AL60" s="87"/>
      <c r="AM60" s="87"/>
      <c r="AN60" s="149"/>
      <c r="AO60" s="87"/>
      <c r="AP60" s="943"/>
      <c r="AQ60" s="943"/>
      <c r="AR60" s="945"/>
      <c r="AS60" s="1000"/>
      <c r="AT60" s="1177"/>
      <c r="AU60" s="1000"/>
      <c r="AV60" s="1237"/>
      <c r="AW60" s="1229"/>
      <c r="AX60" s="1229"/>
      <c r="AY60" s="1230"/>
      <c r="AZ60" s="1237"/>
      <c r="BA60" s="1229"/>
      <c r="BB60" s="1229"/>
      <c r="BC60" s="1230"/>
      <c r="BD60" s="1237"/>
      <c r="BE60" s="1229"/>
      <c r="BF60" s="1229"/>
      <c r="BG60" s="1230"/>
      <c r="BH60" s="1313"/>
      <c r="BI60" s="1308"/>
      <c r="BJ60" s="1308"/>
      <c r="BK60" s="1395"/>
      <c r="BL60" s="1391"/>
      <c r="BM60" s="241"/>
      <c r="BN60" s="241"/>
      <c r="BO60" s="241"/>
      <c r="BP60" s="241"/>
      <c r="BQ60" s="241"/>
      <c r="BR60" s="241"/>
      <c r="BS60" s="241"/>
      <c r="BT60" s="241"/>
      <c r="BU60" s="629"/>
      <c r="BV60" s="241"/>
      <c r="BW60" s="241"/>
      <c r="BX60" s="241"/>
      <c r="BY60" s="1238"/>
      <c r="BZ60" s="1314"/>
      <c r="CA60" s="1314"/>
      <c r="CB60" s="19"/>
      <c r="CC60" s="629"/>
      <c r="CD60" s="241"/>
      <c r="CE60" s="241"/>
      <c r="CF60" s="241"/>
      <c r="CG60" s="241"/>
      <c r="CH60" s="241"/>
      <c r="CI60" s="629"/>
      <c r="CJ60" s="241"/>
      <c r="CK60" s="1204"/>
      <c r="CL60" s="1199"/>
      <c r="CM60" s="1199"/>
      <c r="CN60" s="1314"/>
      <c r="CO60" s="1314"/>
      <c r="CP60" s="1315"/>
    </row>
    <row r="61" spans="1:94" s="7" customFormat="1" ht="14.25" hidden="1" customHeight="1" outlineLevel="1">
      <c r="A61" s="511"/>
      <c r="B61" s="35" t="s">
        <v>111</v>
      </c>
      <c r="C61" s="240"/>
      <c r="D61" s="149"/>
      <c r="E61" s="87"/>
      <c r="F61" s="87"/>
      <c r="G61" s="88"/>
      <c r="H61" s="149"/>
      <c r="I61" s="87"/>
      <c r="J61" s="362"/>
      <c r="K61" s="365"/>
      <c r="L61" s="361"/>
      <c r="M61" s="362"/>
      <c r="N61" s="362"/>
      <c r="O61" s="365"/>
      <c r="P61" s="361"/>
      <c r="Q61" s="362"/>
      <c r="R61" s="362"/>
      <c r="S61" s="365"/>
      <c r="T61" s="361"/>
      <c r="U61" s="362"/>
      <c r="V61" s="362"/>
      <c r="W61" s="365"/>
      <c r="X61" s="361"/>
      <c r="Y61" s="362"/>
      <c r="Z61" s="362"/>
      <c r="AA61" s="365"/>
      <c r="AB61" s="361"/>
      <c r="AC61" s="362"/>
      <c r="AD61" s="362"/>
      <c r="AE61" s="365"/>
      <c r="AF61" s="361"/>
      <c r="AG61" s="362"/>
      <c r="AH61" s="87"/>
      <c r="AI61" s="88"/>
      <c r="AJ61" s="87"/>
      <c r="AK61" s="87"/>
      <c r="AL61" s="87"/>
      <c r="AM61" s="87"/>
      <c r="AN61" s="149"/>
      <c r="AO61" s="87"/>
      <c r="AP61" s="943"/>
      <c r="AQ61" s="943"/>
      <c r="AR61" s="945"/>
      <c r="AS61" s="1000"/>
      <c r="AT61" s="1177"/>
      <c r="AU61" s="1000"/>
      <c r="AV61" s="1237"/>
      <c r="AW61" s="1229"/>
      <c r="AX61" s="1229"/>
      <c r="AY61" s="1230"/>
      <c r="AZ61" s="1237"/>
      <c r="BA61" s="1229"/>
      <c r="BB61" s="1229"/>
      <c r="BC61" s="1230"/>
      <c r="BD61" s="1237"/>
      <c r="BE61" s="1229"/>
      <c r="BF61" s="1229"/>
      <c r="BG61" s="1230"/>
      <c r="BH61" s="1313"/>
      <c r="BI61" s="1308"/>
      <c r="BJ61" s="1308"/>
      <c r="BK61" s="1395"/>
      <c r="BL61" s="1391"/>
      <c r="BM61" s="362"/>
      <c r="BN61" s="301"/>
      <c r="BO61" s="301"/>
      <c r="BP61" s="301"/>
      <c r="BQ61" s="301"/>
      <c r="BR61" s="301"/>
      <c r="BS61" s="301"/>
      <c r="BT61" s="301"/>
      <c r="BU61" s="632">
        <f>BU59/BT59-1</f>
        <v>0.144250124906389</v>
      </c>
      <c r="BV61" s="301"/>
      <c r="BW61" s="301"/>
      <c r="BX61" s="301" t="e">
        <f>BX59/BW59-1</f>
        <v>#DIV/0!</v>
      </c>
      <c r="BY61" s="301" t="e">
        <f>BY59/BX59-1</f>
        <v>#DIV/0!</v>
      </c>
      <c r="BZ61" s="301" t="e">
        <f>BZ59/BY59-1</f>
        <v>#DIV/0!</v>
      </c>
      <c r="CA61" s="301" t="e">
        <f>CA59/BZ59-1</f>
        <v>#DIV/0!</v>
      </c>
      <c r="CB61" s="19"/>
      <c r="CC61" s="632"/>
      <c r="CD61" s="301"/>
      <c r="CE61" s="301"/>
      <c r="CF61" s="301"/>
      <c r="CG61" s="301"/>
      <c r="CH61" s="301"/>
      <c r="CI61" s="632"/>
      <c r="CJ61" s="301"/>
      <c r="CK61" s="632"/>
      <c r="CL61" s="301"/>
      <c r="CM61" s="301"/>
      <c r="CN61" s="301"/>
      <c r="CO61" s="301"/>
      <c r="CP61" s="367"/>
    </row>
    <row r="62" spans="1:94" s="7" customFormat="1" ht="14.25" hidden="1" customHeight="1" outlineLevel="1">
      <c r="A62" s="511"/>
      <c r="B62" s="35" t="s">
        <v>203</v>
      </c>
      <c r="C62" s="240"/>
      <c r="D62" s="149"/>
      <c r="E62" s="87"/>
      <c r="F62" s="87"/>
      <c r="G62" s="88"/>
      <c r="H62" s="149"/>
      <c r="I62" s="87"/>
      <c r="J62" s="87"/>
      <c r="K62" s="88"/>
      <c r="L62" s="149"/>
      <c r="M62" s="87"/>
      <c r="N62" s="87"/>
      <c r="O62" s="88"/>
      <c r="P62" s="149"/>
      <c r="Q62" s="87"/>
      <c r="R62" s="87"/>
      <c r="S62" s="88"/>
      <c r="T62" s="149"/>
      <c r="U62" s="87"/>
      <c r="V62" s="87"/>
      <c r="W62" s="88"/>
      <c r="X62" s="361"/>
      <c r="Y62" s="362"/>
      <c r="Z62" s="87"/>
      <c r="AA62" s="88"/>
      <c r="AB62" s="361"/>
      <c r="AC62" s="362"/>
      <c r="AD62" s="362"/>
      <c r="AE62" s="88"/>
      <c r="AF62" s="361"/>
      <c r="AG62" s="362"/>
      <c r="AH62" s="87"/>
      <c r="AI62" s="88">
        <f>AI59/AI53</f>
        <v>0.50542005420054192</v>
      </c>
      <c r="AJ62" s="89">
        <f>AJ59/AJ53</f>
        <v>0.57832696014916407</v>
      </c>
      <c r="AK62" s="89"/>
      <c r="AL62" s="89"/>
      <c r="AM62" s="89"/>
      <c r="AN62" s="91"/>
      <c r="AO62" s="89"/>
      <c r="AP62" s="89"/>
      <c r="AQ62" s="89"/>
      <c r="AR62" s="91"/>
      <c r="AS62" s="89"/>
      <c r="AT62" s="89"/>
      <c r="AU62" s="89"/>
      <c r="AV62" s="1233"/>
      <c r="AW62" s="1231"/>
      <c r="AX62" s="1231"/>
      <c r="AY62" s="1232"/>
      <c r="AZ62" s="1233"/>
      <c r="BA62" s="1231"/>
      <c r="BB62" s="1231"/>
      <c r="BC62" s="1232"/>
      <c r="BD62" s="1233"/>
      <c r="BE62" s="1231"/>
      <c r="BF62" s="1231"/>
      <c r="BG62" s="1232"/>
      <c r="BH62" s="1312"/>
      <c r="BI62" s="1310"/>
      <c r="BJ62" s="1310"/>
      <c r="BK62" s="1396"/>
      <c r="BL62" s="1391"/>
      <c r="BM62" s="301"/>
      <c r="BN62" s="301"/>
      <c r="BO62" s="301"/>
      <c r="BP62" s="301"/>
      <c r="BQ62" s="301"/>
      <c r="BR62" s="301"/>
      <c r="BS62" s="301"/>
      <c r="BT62" s="301">
        <f>BT59/BT53</f>
        <v>0.50542005420054192</v>
      </c>
      <c r="BU62" s="632">
        <f>BU59/BU53</f>
        <v>0.57832696014916407</v>
      </c>
      <c r="BV62" s="301"/>
      <c r="BW62" s="301"/>
      <c r="BX62" s="301" t="e">
        <f>BX59/BX53</f>
        <v>#DIV/0!</v>
      </c>
      <c r="BY62" s="301" t="e">
        <f>BY59/BY53</f>
        <v>#DIV/0!</v>
      </c>
      <c r="BZ62" s="301" t="e">
        <f>BZ59/BZ53</f>
        <v>#DIV/0!</v>
      </c>
      <c r="CA62" s="301" t="e">
        <f>CA59/CA53</f>
        <v>#DIV/0!</v>
      </c>
      <c r="CB62" s="19"/>
      <c r="CC62" s="632"/>
      <c r="CD62" s="301"/>
      <c r="CE62" s="301"/>
      <c r="CF62" s="301"/>
      <c r="CG62" s="301"/>
      <c r="CH62" s="301"/>
      <c r="CI62" s="632"/>
      <c r="CJ62" s="301">
        <f>CJ59/CJ53</f>
        <v>0.54187350717485294</v>
      </c>
      <c r="CK62" s="632"/>
      <c r="CL62" s="301"/>
      <c r="CM62" s="301"/>
      <c r="CN62" s="301"/>
      <c r="CO62" s="301"/>
      <c r="CP62" s="367"/>
    </row>
    <row r="63" spans="1:94" s="7" customFormat="1" ht="14.25" hidden="1" customHeight="1" outlineLevel="1">
      <c r="A63" s="511"/>
      <c r="B63" s="374"/>
      <c r="C63" s="266"/>
      <c r="D63" s="375"/>
      <c r="E63" s="242"/>
      <c r="F63" s="242"/>
      <c r="G63" s="243"/>
      <c r="H63" s="375"/>
      <c r="I63" s="242"/>
      <c r="J63" s="242"/>
      <c r="K63" s="243"/>
      <c r="L63" s="375"/>
      <c r="M63" s="242"/>
      <c r="N63" s="242"/>
      <c r="O63" s="243"/>
      <c r="P63" s="375"/>
      <c r="Q63" s="242"/>
      <c r="R63" s="242"/>
      <c r="S63" s="243"/>
      <c r="T63" s="375"/>
      <c r="U63" s="242"/>
      <c r="V63" s="242"/>
      <c r="W63" s="243"/>
      <c r="X63" s="744"/>
      <c r="Y63" s="747"/>
      <c r="Z63" s="747"/>
      <c r="AA63" s="746"/>
      <c r="AB63" s="745"/>
      <c r="AC63" s="747"/>
      <c r="AD63" s="747"/>
      <c r="AE63" s="746"/>
      <c r="AF63" s="375"/>
      <c r="AG63" s="242"/>
      <c r="AH63" s="66"/>
      <c r="AI63" s="61"/>
      <c r="AJ63" s="66"/>
      <c r="AK63" s="66"/>
      <c r="AL63" s="66"/>
      <c r="AM63" s="66"/>
      <c r="AN63" s="60"/>
      <c r="AO63" s="66"/>
      <c r="AP63" s="66"/>
      <c r="AQ63" s="66"/>
      <c r="AR63" s="60"/>
      <c r="AS63" s="66"/>
      <c r="AT63" s="66"/>
      <c r="AU63" s="66"/>
      <c r="AV63" s="60"/>
      <c r="AW63" s="66"/>
      <c r="AX63" s="66"/>
      <c r="AY63" s="61"/>
      <c r="AZ63" s="60"/>
      <c r="BA63" s="66"/>
      <c r="BB63" s="66"/>
      <c r="BC63" s="61"/>
      <c r="BD63" s="60"/>
      <c r="BE63" s="66"/>
      <c r="BF63" s="66"/>
      <c r="BG63" s="61"/>
      <c r="BH63" s="60"/>
      <c r="BI63" s="66"/>
      <c r="BJ63" s="66"/>
      <c r="BK63" s="61"/>
      <c r="BL63" s="1391"/>
      <c r="BM63" s="223"/>
      <c r="BN63" s="223"/>
      <c r="BO63" s="223"/>
      <c r="BP63" s="223"/>
      <c r="BQ63" s="223"/>
      <c r="BR63" s="223"/>
      <c r="BS63" s="223"/>
      <c r="BT63" s="223"/>
      <c r="BU63" s="14"/>
      <c r="BV63" s="223"/>
      <c r="BW63" s="223"/>
      <c r="BX63" s="223"/>
      <c r="BY63" s="223"/>
      <c r="BZ63" s="223"/>
      <c r="CA63" s="223"/>
      <c r="CB63" s="19"/>
      <c r="CC63" s="14"/>
      <c r="CD63" s="223"/>
      <c r="CE63" s="223"/>
      <c r="CF63" s="223"/>
      <c r="CG63" s="223"/>
      <c r="CH63" s="223"/>
      <c r="CI63" s="14"/>
      <c r="CJ63" s="223"/>
      <c r="CK63" s="14"/>
      <c r="CL63" s="223"/>
      <c r="CM63" s="223"/>
      <c r="CN63" s="223"/>
      <c r="CO63" s="223"/>
      <c r="CP63" s="15"/>
    </row>
    <row r="64" spans="1:94" s="100" customFormat="1" ht="14.25" hidden="1" customHeight="1" outlineLevel="1">
      <c r="A64" s="510"/>
      <c r="B64" s="346" t="s">
        <v>314</v>
      </c>
      <c r="C64" s="347"/>
      <c r="D64" s="349"/>
      <c r="E64" s="349"/>
      <c r="F64" s="349"/>
      <c r="G64" s="350"/>
      <c r="H64" s="349"/>
      <c r="I64" s="349"/>
      <c r="J64" s="349"/>
      <c r="K64" s="350"/>
      <c r="L64" s="349">
        <v>0</v>
      </c>
      <c r="M64" s="349">
        <v>122.7</v>
      </c>
      <c r="N64" s="349">
        <v>140</v>
      </c>
      <c r="O64" s="350">
        <v>142</v>
      </c>
      <c r="P64" s="349">
        <v>114</v>
      </c>
      <c r="Q64" s="349">
        <v>96</v>
      </c>
      <c r="R64" s="349">
        <v>99</v>
      </c>
      <c r="S64" s="350">
        <v>95</v>
      </c>
      <c r="T64" s="349">
        <v>95</v>
      </c>
      <c r="U64" s="349">
        <v>114</v>
      </c>
      <c r="V64" s="349">
        <v>122</v>
      </c>
      <c r="W64" s="350">
        <v>119</v>
      </c>
      <c r="X64" s="349">
        <v>119</v>
      </c>
      <c r="Y64" s="349">
        <v>112</v>
      </c>
      <c r="Z64" s="349">
        <v>117</v>
      </c>
      <c r="AA64" s="350">
        <v>117</v>
      </c>
      <c r="AB64" s="349">
        <v>107.3</v>
      </c>
      <c r="AC64" s="349">
        <v>107.02200000000001</v>
      </c>
      <c r="AD64" s="349">
        <v>98.935949999999991</v>
      </c>
      <c r="AE64" s="350">
        <v>105.849</v>
      </c>
      <c r="AF64" s="349">
        <v>95.393050000000002</v>
      </c>
      <c r="AG64" s="349">
        <v>93</v>
      </c>
      <c r="AH64" s="349">
        <v>105.18300000000001</v>
      </c>
      <c r="AI64" s="350">
        <v>108.833</v>
      </c>
      <c r="AJ64" s="352">
        <v>93</v>
      </c>
      <c r="AK64" s="352">
        <f>AJ64*(1+AK65)</f>
        <v>90.861000000000004</v>
      </c>
      <c r="AL64" s="352"/>
      <c r="AM64" s="352"/>
      <c r="AN64" s="373"/>
      <c r="AO64" s="352"/>
      <c r="AP64" s="352"/>
      <c r="AQ64" s="355"/>
      <c r="AR64" s="373"/>
      <c r="AS64" s="352"/>
      <c r="AT64" s="352"/>
      <c r="AU64" s="355"/>
      <c r="AV64" s="373"/>
      <c r="AW64" s="352"/>
      <c r="AX64" s="352"/>
      <c r="AY64" s="351"/>
      <c r="AZ64" s="373"/>
      <c r="BA64" s="352"/>
      <c r="BB64" s="352"/>
      <c r="BC64" s="351"/>
      <c r="BD64" s="373"/>
      <c r="BE64" s="352"/>
      <c r="BF64" s="352"/>
      <c r="BG64" s="351"/>
      <c r="BH64" s="373"/>
      <c r="BI64" s="352"/>
      <c r="BJ64" s="352"/>
      <c r="BK64" s="1449"/>
      <c r="BL64" s="1445"/>
      <c r="BM64" s="357"/>
      <c r="BN64" s="357"/>
      <c r="BO64" s="357">
        <f>SUM(L64:O64)</f>
        <v>404.7</v>
      </c>
      <c r="BP64" s="357">
        <f>SUM(P64:S64)</f>
        <v>404</v>
      </c>
      <c r="BQ64" s="357">
        <f>SUM(T64:W64)</f>
        <v>450</v>
      </c>
      <c r="BR64" s="357">
        <f>SUM(X64:AA64)</f>
        <v>465</v>
      </c>
      <c r="BS64" s="357">
        <f>SUM(AB64:AE64)</f>
        <v>419.10694999999998</v>
      </c>
      <c r="BT64" s="357">
        <f>SUM(AF64:AI64)</f>
        <v>402.40904999999998</v>
      </c>
      <c r="BU64" s="360">
        <f>SUM(AJ64:AM64)</f>
        <v>183.86099999999999</v>
      </c>
      <c r="BV64" s="357"/>
      <c r="BW64" s="357"/>
      <c r="BX64" s="357">
        <f>SUM(AV64:AY64)</f>
        <v>0</v>
      </c>
      <c r="BY64" s="357">
        <f>SUM(AW64:AZ64)</f>
        <v>0</v>
      </c>
      <c r="BZ64" s="357">
        <f>SUM(AX64:BD64)</f>
        <v>0</v>
      </c>
      <c r="CA64" s="357">
        <f>SUM(AY64:BE64)</f>
        <v>0</v>
      </c>
      <c r="CB64" s="356"/>
      <c r="CC64" s="360"/>
      <c r="CD64" s="357">
        <f>SUM(I64:L64)</f>
        <v>0</v>
      </c>
      <c r="CE64" s="357">
        <f>SUM(M64:P64)</f>
        <v>518.70000000000005</v>
      </c>
      <c r="CF64" s="357">
        <f>SUM(Q64:T64)</f>
        <v>385</v>
      </c>
      <c r="CG64" s="357">
        <f>SUM(U64:X64)</f>
        <v>474</v>
      </c>
      <c r="CH64" s="357">
        <f>SUM(Y64:AB64)</f>
        <v>453.3</v>
      </c>
      <c r="CI64" s="360">
        <f>SUM(AC64:AF64)</f>
        <v>407.2</v>
      </c>
      <c r="CJ64" s="357">
        <f>SUM(AG64:AJ64)</f>
        <v>400.01599999999996</v>
      </c>
      <c r="CK64" s="360">
        <f>SUM(AK64:AN64)</f>
        <v>90.861000000000004</v>
      </c>
      <c r="CL64" s="357"/>
      <c r="CM64" s="357"/>
      <c r="CN64" s="357"/>
      <c r="CO64" s="357"/>
      <c r="CP64" s="358"/>
    </row>
    <row r="65" spans="1:95" s="7" customFormat="1" ht="14.25" hidden="1" customHeight="1" outlineLevel="1">
      <c r="A65" s="511"/>
      <c r="B65" s="35" t="s">
        <v>110</v>
      </c>
      <c r="C65" s="240"/>
      <c r="D65" s="149"/>
      <c r="E65" s="87"/>
      <c r="F65" s="87"/>
      <c r="G65" s="88"/>
      <c r="H65" s="149"/>
      <c r="I65" s="87"/>
      <c r="J65" s="87"/>
      <c r="K65" s="88"/>
      <c r="L65" s="149"/>
      <c r="M65" s="87" t="e">
        <f t="shared" ref="M65:AJ65" si="292">M64/L64-1</f>
        <v>#DIV/0!</v>
      </c>
      <c r="N65" s="87">
        <f t="shared" si="292"/>
        <v>0.14099429502852479</v>
      </c>
      <c r="O65" s="88">
        <f t="shared" si="292"/>
        <v>1.4285714285714235E-2</v>
      </c>
      <c r="P65" s="149">
        <f t="shared" si="292"/>
        <v>-0.19718309859154926</v>
      </c>
      <c r="Q65" s="87">
        <f t="shared" si="292"/>
        <v>-0.15789473684210531</v>
      </c>
      <c r="R65" s="87">
        <f t="shared" si="292"/>
        <v>3.125E-2</v>
      </c>
      <c r="S65" s="88">
        <f t="shared" si="292"/>
        <v>-4.0404040404040442E-2</v>
      </c>
      <c r="T65" s="149">
        <f t="shared" si="292"/>
        <v>0</v>
      </c>
      <c r="U65" s="87">
        <f t="shared" si="292"/>
        <v>0.19999999999999996</v>
      </c>
      <c r="V65" s="87">
        <f t="shared" si="292"/>
        <v>7.0175438596491224E-2</v>
      </c>
      <c r="W65" s="88">
        <f t="shared" si="292"/>
        <v>-2.4590163934426257E-2</v>
      </c>
      <c r="X65" s="361">
        <f t="shared" si="292"/>
        <v>0</v>
      </c>
      <c r="Y65" s="362">
        <f t="shared" si="292"/>
        <v>-5.8823529411764719E-2</v>
      </c>
      <c r="Z65" s="87">
        <f t="shared" si="292"/>
        <v>4.4642857142857206E-2</v>
      </c>
      <c r="AA65" s="88">
        <f t="shared" si="292"/>
        <v>0</v>
      </c>
      <c r="AB65" s="361">
        <f t="shared" si="292"/>
        <v>-8.2905982905982945E-2</v>
      </c>
      <c r="AC65" s="362">
        <f t="shared" si="292"/>
        <v>-2.5908667287977138E-3</v>
      </c>
      <c r="AD65" s="362">
        <f t="shared" si="292"/>
        <v>-7.555502606940645E-2</v>
      </c>
      <c r="AE65" s="88">
        <f t="shared" si="292"/>
        <v>6.987399423566476E-2</v>
      </c>
      <c r="AF65" s="361">
        <f t="shared" si="292"/>
        <v>-9.8781755141758576E-2</v>
      </c>
      <c r="AG65" s="362">
        <f t="shared" si="292"/>
        <v>-2.508620911062176E-2</v>
      </c>
      <c r="AH65" s="362">
        <f t="shared" si="292"/>
        <v>0.13100000000000001</v>
      </c>
      <c r="AI65" s="88">
        <f t="shared" si="292"/>
        <v>3.4701425135240438E-2</v>
      </c>
      <c r="AJ65" s="89">
        <f t="shared" si="292"/>
        <v>-0.1454797717604035</v>
      </c>
      <c r="AK65" s="89">
        <v>-2.3E-2</v>
      </c>
      <c r="AL65" s="89"/>
      <c r="AM65" s="89"/>
      <c r="AN65" s="91"/>
      <c r="AO65" s="89"/>
      <c r="AP65" s="89"/>
      <c r="AQ65" s="89"/>
      <c r="AR65" s="91"/>
      <c r="AS65" s="89"/>
      <c r="AT65" s="89"/>
      <c r="AU65" s="89"/>
      <c r="AV65" s="1233"/>
      <c r="AW65" s="1231"/>
      <c r="AX65" s="1231"/>
      <c r="AY65" s="1232"/>
      <c r="AZ65" s="1233"/>
      <c r="BA65" s="1231"/>
      <c r="BB65" s="1231"/>
      <c r="BC65" s="1232"/>
      <c r="BD65" s="1233"/>
      <c r="BE65" s="1231"/>
      <c r="BF65" s="1231"/>
      <c r="BG65" s="1232"/>
      <c r="BH65" s="1312"/>
      <c r="BI65" s="1310"/>
      <c r="BJ65" s="1310"/>
      <c r="BK65" s="1396"/>
      <c r="BL65" s="1391"/>
      <c r="BM65" s="241"/>
      <c r="BN65" s="241"/>
      <c r="BO65" s="241"/>
      <c r="BP65" s="241"/>
      <c r="BQ65" s="241"/>
      <c r="BR65" s="241"/>
      <c r="BS65" s="748"/>
      <c r="BT65" s="241"/>
      <c r="BU65" s="629"/>
      <c r="BV65" s="241"/>
      <c r="BW65" s="241"/>
      <c r="BX65" s="241"/>
      <c r="BY65" s="1238"/>
      <c r="BZ65" s="1314"/>
      <c r="CA65" s="1314"/>
      <c r="CB65" s="19"/>
      <c r="CC65" s="629"/>
      <c r="CD65" s="241"/>
      <c r="CE65" s="241"/>
      <c r="CF65" s="241"/>
      <c r="CG65" s="241"/>
      <c r="CH65" s="241"/>
      <c r="CI65" s="629"/>
      <c r="CJ65" s="241"/>
      <c r="CK65" s="1204"/>
      <c r="CL65" s="1199"/>
      <c r="CM65" s="1199"/>
      <c r="CN65" s="1314"/>
      <c r="CO65" s="1314"/>
      <c r="CP65" s="1315"/>
    </row>
    <row r="66" spans="1:95" s="7" customFormat="1" ht="14.25" hidden="1" customHeight="1" outlineLevel="1">
      <c r="A66" s="511"/>
      <c r="B66" s="35" t="s">
        <v>202</v>
      </c>
      <c r="C66" s="240"/>
      <c r="D66" s="149"/>
      <c r="E66" s="87"/>
      <c r="F66" s="87"/>
      <c r="G66" s="88"/>
      <c r="H66" s="149"/>
      <c r="I66" s="87"/>
      <c r="J66" s="87"/>
      <c r="K66" s="88"/>
      <c r="L66" s="149"/>
      <c r="M66" s="87"/>
      <c r="N66" s="87"/>
      <c r="O66" s="88"/>
      <c r="P66" s="149"/>
      <c r="Q66" s="87"/>
      <c r="R66" s="87"/>
      <c r="S66" s="88"/>
      <c r="T66" s="149"/>
      <c r="U66" s="87"/>
      <c r="V66" s="87"/>
      <c r="W66" s="88"/>
      <c r="X66" s="87"/>
      <c r="Y66" s="87"/>
      <c r="Z66" s="87"/>
      <c r="AA66" s="88"/>
      <c r="AB66" s="87"/>
      <c r="AC66" s="87"/>
      <c r="AD66" s="87"/>
      <c r="AE66" s="88"/>
      <c r="AF66" s="87"/>
      <c r="AG66" s="87"/>
      <c r="AH66" s="87"/>
      <c r="AI66" s="88"/>
      <c r="AJ66" s="87"/>
      <c r="AK66" s="87"/>
      <c r="AL66" s="87"/>
      <c r="AM66" s="87"/>
      <c r="AN66" s="149"/>
      <c r="AO66" s="87"/>
      <c r="AP66" s="943"/>
      <c r="AQ66" s="943"/>
      <c r="AR66" s="945"/>
      <c r="AS66" s="1000"/>
      <c r="AT66" s="1177"/>
      <c r="AU66" s="1000"/>
      <c r="AV66" s="1237"/>
      <c r="AW66" s="1229"/>
      <c r="AX66" s="1229"/>
      <c r="AY66" s="1230"/>
      <c r="AZ66" s="1237"/>
      <c r="BA66" s="1229"/>
      <c r="BB66" s="1229"/>
      <c r="BC66" s="1230"/>
      <c r="BD66" s="1237"/>
      <c r="BE66" s="1229"/>
      <c r="BF66" s="1229"/>
      <c r="BG66" s="1230"/>
      <c r="BH66" s="1313"/>
      <c r="BI66" s="1308"/>
      <c r="BJ66" s="1308"/>
      <c r="BK66" s="1395"/>
      <c r="BL66" s="1391"/>
      <c r="BM66" s="241"/>
      <c r="BN66" s="241"/>
      <c r="BO66" s="241"/>
      <c r="BP66" s="241"/>
      <c r="BQ66" s="241"/>
      <c r="BR66" s="241"/>
      <c r="BS66" s="241"/>
      <c r="BT66" s="241"/>
      <c r="BU66" s="629"/>
      <c r="BV66" s="241"/>
      <c r="BW66" s="241"/>
      <c r="BX66" s="241"/>
      <c r="BY66" s="1238"/>
      <c r="BZ66" s="1314"/>
      <c r="CA66" s="1314"/>
      <c r="CB66" s="19"/>
      <c r="CC66" s="629"/>
      <c r="CD66" s="241"/>
      <c r="CE66" s="241"/>
      <c r="CF66" s="241"/>
      <c r="CG66" s="241"/>
      <c r="CH66" s="241"/>
      <c r="CI66" s="629"/>
      <c r="CJ66" s="241"/>
      <c r="CK66" s="1204"/>
      <c r="CL66" s="1199"/>
      <c r="CM66" s="1199"/>
      <c r="CN66" s="1314"/>
      <c r="CO66" s="1314"/>
      <c r="CP66" s="1315"/>
    </row>
    <row r="67" spans="1:95" s="369" customFormat="1" ht="14.25" hidden="1" customHeight="1" outlineLevel="1">
      <c r="A67" s="512"/>
      <c r="B67" s="363" t="s">
        <v>111</v>
      </c>
      <c r="C67" s="364"/>
      <c r="D67" s="361"/>
      <c r="E67" s="362"/>
      <c r="F67" s="362"/>
      <c r="G67" s="365"/>
      <c r="H67" s="361"/>
      <c r="I67" s="362"/>
      <c r="J67" s="362"/>
      <c r="K67" s="365"/>
      <c r="L67" s="361"/>
      <c r="M67" s="362"/>
      <c r="N67" s="362"/>
      <c r="O67" s="365"/>
      <c r="P67" s="361" t="e">
        <f t="shared" ref="P67:AJ67" si="293">P64/L64-1</f>
        <v>#DIV/0!</v>
      </c>
      <c r="Q67" s="362">
        <f t="shared" si="293"/>
        <v>-0.21760391198044016</v>
      </c>
      <c r="R67" s="362">
        <f t="shared" si="293"/>
        <v>-0.29285714285714282</v>
      </c>
      <c r="S67" s="365">
        <f t="shared" si="293"/>
        <v>-0.33098591549295775</v>
      </c>
      <c r="T67" s="361">
        <f t="shared" si="293"/>
        <v>-0.16666666666666663</v>
      </c>
      <c r="U67" s="362">
        <f t="shared" si="293"/>
        <v>0.1875</v>
      </c>
      <c r="V67" s="362">
        <f t="shared" si="293"/>
        <v>0.23232323232323226</v>
      </c>
      <c r="W67" s="365">
        <f t="shared" si="293"/>
        <v>0.25263157894736832</v>
      </c>
      <c r="X67" s="361">
        <f t="shared" si="293"/>
        <v>0.25263157894736832</v>
      </c>
      <c r="Y67" s="362">
        <f t="shared" si="293"/>
        <v>-1.7543859649122862E-2</v>
      </c>
      <c r="Z67" s="362">
        <f t="shared" si="293"/>
        <v>-4.0983606557377095E-2</v>
      </c>
      <c r="AA67" s="365">
        <f t="shared" si="293"/>
        <v>-1.6806722689075682E-2</v>
      </c>
      <c r="AB67" s="361">
        <f t="shared" si="293"/>
        <v>-9.8319327731092421E-2</v>
      </c>
      <c r="AC67" s="362">
        <f t="shared" si="293"/>
        <v>-4.4446428571428553E-2</v>
      </c>
      <c r="AD67" s="362">
        <f t="shared" si="293"/>
        <v>-0.15439358974358985</v>
      </c>
      <c r="AE67" s="365">
        <f t="shared" si="293"/>
        <v>-9.5307692307692315E-2</v>
      </c>
      <c r="AF67" s="361">
        <f t="shared" si="293"/>
        <v>-0.11096877912395153</v>
      </c>
      <c r="AG67" s="362">
        <f t="shared" si="293"/>
        <v>-0.13101979032348499</v>
      </c>
      <c r="AH67" s="362">
        <f t="shared" si="293"/>
        <v>6.3142366349138168E-2</v>
      </c>
      <c r="AI67" s="365">
        <f t="shared" si="293"/>
        <v>2.8191102419484304E-2</v>
      </c>
      <c r="AJ67" s="362">
        <f t="shared" si="293"/>
        <v>-2.508620911062176E-2</v>
      </c>
      <c r="AK67" s="362"/>
      <c r="AL67" s="362"/>
      <c r="AM67" s="362"/>
      <c r="AN67" s="361"/>
      <c r="AO67" s="362"/>
      <c r="AP67" s="362"/>
      <c r="AQ67" s="362"/>
      <c r="AR67" s="361"/>
      <c r="AS67" s="362"/>
      <c r="AT67" s="362"/>
      <c r="AU67" s="362"/>
      <c r="AV67" s="361"/>
      <c r="AW67" s="362"/>
      <c r="AX67" s="362"/>
      <c r="AY67" s="365"/>
      <c r="AZ67" s="361"/>
      <c r="BA67" s="362"/>
      <c r="BB67" s="362"/>
      <c r="BC67" s="365"/>
      <c r="BD67" s="361"/>
      <c r="BE67" s="362"/>
      <c r="BF67" s="362"/>
      <c r="BG67" s="365"/>
      <c r="BH67" s="361"/>
      <c r="BI67" s="362"/>
      <c r="BJ67" s="362"/>
      <c r="BK67" s="1441"/>
      <c r="BL67" s="1446"/>
      <c r="BM67" s="362"/>
      <c r="BN67" s="301"/>
      <c r="BO67" s="301"/>
      <c r="BP67" s="301"/>
      <c r="BQ67" s="301"/>
      <c r="BR67" s="301"/>
      <c r="BS67" s="301"/>
      <c r="BT67" s="301"/>
      <c r="BU67" s="632">
        <f>BU64/BT64-1</f>
        <v>-0.5430992419280829</v>
      </c>
      <c r="BV67" s="301"/>
      <c r="BW67" s="301"/>
      <c r="BX67" s="301" t="e">
        <f>BX64/BW64-1</f>
        <v>#DIV/0!</v>
      </c>
      <c r="BY67" s="301" t="e">
        <f>BY64/BX64-1</f>
        <v>#DIV/0!</v>
      </c>
      <c r="BZ67" s="301" t="e">
        <f>BZ64/BY64-1</f>
        <v>#DIV/0!</v>
      </c>
      <c r="CA67" s="301" t="e">
        <f>CA64/BZ64-1</f>
        <v>#DIV/0!</v>
      </c>
      <c r="CB67" s="366"/>
      <c r="CC67" s="632"/>
      <c r="CD67" s="301"/>
      <c r="CE67" s="301"/>
      <c r="CF67" s="301"/>
      <c r="CG67" s="301"/>
      <c r="CH67" s="301"/>
      <c r="CI67" s="632">
        <f>CI64/CH64-1</f>
        <v>-0.10169865431281722</v>
      </c>
      <c r="CJ67" s="301">
        <f>CJ64/CI64-1</f>
        <v>-1.764243614931249E-2</v>
      </c>
      <c r="CK67" s="632">
        <f>CK64/CJ64-1</f>
        <v>-0.77285658573657057</v>
      </c>
      <c r="CL67" s="301"/>
      <c r="CM67" s="301"/>
      <c r="CN67" s="301"/>
      <c r="CO67" s="301"/>
      <c r="CP67" s="367"/>
    </row>
    <row r="68" spans="1:95" s="7" customFormat="1" ht="14.25" hidden="1" customHeight="1" outlineLevel="1">
      <c r="A68" s="511"/>
      <c r="B68" s="35" t="s">
        <v>112</v>
      </c>
      <c r="C68" s="240"/>
      <c r="D68" s="87"/>
      <c r="E68" s="87"/>
      <c r="F68" s="87"/>
      <c r="G68" s="88"/>
      <c r="H68" s="87"/>
      <c r="I68" s="87"/>
      <c r="J68" s="87"/>
      <c r="K68" s="88"/>
      <c r="L68" s="149">
        <f t="shared" ref="L68:AK68" si="294">L64/L$108</f>
        <v>0</v>
      </c>
      <c r="M68" s="87">
        <f t="shared" si="294"/>
        <v>0.29854014598540152</v>
      </c>
      <c r="N68" s="87">
        <f t="shared" si="294"/>
        <v>0.31890660592255121</v>
      </c>
      <c r="O68" s="88">
        <f t="shared" si="294"/>
        <v>0.31767337807606266</v>
      </c>
      <c r="P68" s="149">
        <f t="shared" si="294"/>
        <v>0.30978260869565216</v>
      </c>
      <c r="Q68" s="87">
        <f t="shared" si="294"/>
        <v>0.29538461538461541</v>
      </c>
      <c r="R68" s="87">
        <f t="shared" si="294"/>
        <v>0.27272727272727271</v>
      </c>
      <c r="S68" s="88">
        <f t="shared" si="294"/>
        <v>0.2219626168224299</v>
      </c>
      <c r="T68" s="149">
        <f t="shared" si="294"/>
        <v>0.20833333333333334</v>
      </c>
      <c r="U68" s="87">
        <f t="shared" si="294"/>
        <v>0.22135922330097088</v>
      </c>
      <c r="V68" s="87">
        <f t="shared" si="294"/>
        <v>0.22181818181818183</v>
      </c>
      <c r="W68" s="88">
        <f t="shared" si="294"/>
        <v>0.20804195804195805</v>
      </c>
      <c r="X68" s="361">
        <f t="shared" si="294"/>
        <v>0.21636363636363637</v>
      </c>
      <c r="Y68" s="362">
        <f t="shared" si="294"/>
        <v>0.2</v>
      </c>
      <c r="Z68" s="87">
        <f t="shared" si="294"/>
        <v>0.19402985074626866</v>
      </c>
      <c r="AA68" s="88">
        <f t="shared" si="294"/>
        <v>0.18780096308186195</v>
      </c>
      <c r="AB68" s="361">
        <f t="shared" si="294"/>
        <v>0.19058614564831261</v>
      </c>
      <c r="AC68" s="362">
        <f t="shared" si="294"/>
        <v>0.18548006932409014</v>
      </c>
      <c r="AD68" s="362">
        <f t="shared" si="294"/>
        <v>0.16326064356435643</v>
      </c>
      <c r="AE68" s="88">
        <f t="shared" si="294"/>
        <v>0.17127669902912621</v>
      </c>
      <c r="AF68" s="361">
        <f t="shared" si="294"/>
        <v>0.16561293402777777</v>
      </c>
      <c r="AG68" s="362">
        <f t="shared" si="294"/>
        <v>0.16548042704626334</v>
      </c>
      <c r="AH68" s="87">
        <f t="shared" si="294"/>
        <v>0.16332763975155282</v>
      </c>
      <c r="AI68" s="88">
        <f t="shared" si="294"/>
        <v>0.14747018970189701</v>
      </c>
      <c r="AJ68" s="87">
        <f t="shared" si="294"/>
        <v>0.14695193249691874</v>
      </c>
      <c r="AK68" s="87">
        <f t="shared" si="294"/>
        <v>0.12961626248216834</v>
      </c>
      <c r="AL68" s="87"/>
      <c r="AM68" s="87"/>
      <c r="AN68" s="149"/>
      <c r="AO68" s="87"/>
      <c r="AP68" s="943"/>
      <c r="AQ68" s="943"/>
      <c r="AR68" s="945"/>
      <c r="AS68" s="1000"/>
      <c r="AT68" s="1177"/>
      <c r="AU68" s="1000"/>
      <c r="AV68" s="1237"/>
      <c r="AW68" s="1229"/>
      <c r="AX68" s="1229"/>
      <c r="AY68" s="1230"/>
      <c r="AZ68" s="1237"/>
      <c r="BA68" s="1229"/>
      <c r="BB68" s="1229"/>
      <c r="BC68" s="1230"/>
      <c r="BD68" s="1237"/>
      <c r="BE68" s="1229"/>
      <c r="BF68" s="1229"/>
      <c r="BG68" s="1230"/>
      <c r="BH68" s="1313"/>
      <c r="BI68" s="1308"/>
      <c r="BJ68" s="1308"/>
      <c r="BK68" s="1395"/>
      <c r="BL68" s="1391"/>
      <c r="BM68" s="301"/>
      <c r="BN68" s="301"/>
      <c r="BO68" s="301">
        <f t="shared" ref="BO68:BX68" si="295">BO64/BO$108</f>
        <v>0.23819894055326662</v>
      </c>
      <c r="BP68" s="301">
        <f t="shared" si="295"/>
        <v>0.27223719676549868</v>
      </c>
      <c r="BQ68" s="301">
        <f t="shared" si="295"/>
        <v>0.21500238891543239</v>
      </c>
      <c r="BR68" s="301">
        <f t="shared" si="295"/>
        <v>0.1990582191780822</v>
      </c>
      <c r="BS68" s="301">
        <f t="shared" si="295"/>
        <v>0.17728720389170896</v>
      </c>
      <c r="BT68" s="301">
        <f t="shared" si="295"/>
        <v>0.15968613095238093</v>
      </c>
      <c r="BU68" s="632">
        <f t="shared" si="295"/>
        <v>4.3457122192651139E-2</v>
      </c>
      <c r="BV68" s="301"/>
      <c r="BW68" s="301"/>
      <c r="BX68" s="301">
        <f t="shared" si="295"/>
        <v>0</v>
      </c>
      <c r="BY68" s="301">
        <f t="shared" ref="BY68:BZ68" si="296">BY64/BY$108</f>
        <v>0</v>
      </c>
      <c r="BZ68" s="301">
        <f t="shared" si="296"/>
        <v>0</v>
      </c>
      <c r="CA68" s="301">
        <f t="shared" ref="CA68" si="297">CA64/CA$108</f>
        <v>0</v>
      </c>
      <c r="CB68" s="19"/>
      <c r="CC68" s="632"/>
      <c r="CD68" s="301"/>
      <c r="CE68" s="301"/>
      <c r="CF68" s="301"/>
      <c r="CG68" s="301"/>
      <c r="CH68" s="301"/>
      <c r="CI68" s="632">
        <f>CI64/CI$108</f>
        <v>0.1713083718973496</v>
      </c>
      <c r="CJ68" s="301">
        <f>CJ64/CJ$108</f>
        <v>0.15523388930714122</v>
      </c>
      <c r="CK68" s="632">
        <f>CK64/CK$108</f>
        <v>1.7290390104662226E-2</v>
      </c>
      <c r="CL68" s="301"/>
      <c r="CM68" s="301"/>
      <c r="CN68" s="301"/>
      <c r="CO68" s="301"/>
      <c r="CP68" s="367"/>
    </row>
    <row r="69" spans="1:95" s="7" customFormat="1" ht="14.25" hidden="1" customHeight="1" outlineLevel="1">
      <c r="A69" s="511"/>
      <c r="B69" s="35"/>
      <c r="C69" s="240"/>
      <c r="D69" s="87"/>
      <c r="E69" s="87"/>
      <c r="F69" s="87"/>
      <c r="G69" s="88"/>
      <c r="H69" s="87"/>
      <c r="I69" s="87"/>
      <c r="J69" s="87"/>
      <c r="K69" s="88"/>
      <c r="L69" s="87"/>
      <c r="M69" s="87"/>
      <c r="N69" s="87"/>
      <c r="O69" s="88"/>
      <c r="P69" s="87"/>
      <c r="Q69" s="87"/>
      <c r="R69" s="87"/>
      <c r="S69" s="88"/>
      <c r="T69" s="87"/>
      <c r="U69" s="87"/>
      <c r="V69" s="87"/>
      <c r="W69" s="88"/>
      <c r="X69" s="87"/>
      <c r="Y69" s="87"/>
      <c r="Z69" s="87"/>
      <c r="AA69" s="88"/>
      <c r="AB69" s="87"/>
      <c r="AC69" s="87"/>
      <c r="AD69" s="87"/>
      <c r="AE69" s="88"/>
      <c r="AF69" s="87"/>
      <c r="AG69" s="87"/>
      <c r="AH69" s="89"/>
      <c r="AI69" s="90"/>
      <c r="AJ69" s="89"/>
      <c r="AK69" s="89"/>
      <c r="AL69" s="89"/>
      <c r="AM69" s="89"/>
      <c r="AN69" s="91"/>
      <c r="AO69" s="89"/>
      <c r="AP69" s="89"/>
      <c r="AQ69" s="89"/>
      <c r="AR69" s="91"/>
      <c r="AS69" s="89"/>
      <c r="AT69" s="89"/>
      <c r="AU69" s="89"/>
      <c r="AV69" s="1233"/>
      <c r="AW69" s="1231"/>
      <c r="AX69" s="1231"/>
      <c r="AY69" s="1232"/>
      <c r="AZ69" s="1233"/>
      <c r="BA69" s="1231"/>
      <c r="BB69" s="1231"/>
      <c r="BC69" s="1232"/>
      <c r="BD69" s="1233"/>
      <c r="BE69" s="1231"/>
      <c r="BF69" s="1231"/>
      <c r="BG69" s="1232"/>
      <c r="BH69" s="1312"/>
      <c r="BI69" s="1310"/>
      <c r="BJ69" s="1310"/>
      <c r="BK69" s="1396"/>
      <c r="BL69" s="1391"/>
      <c r="BM69" s="241"/>
      <c r="BN69" s="241"/>
      <c r="BO69" s="241"/>
      <c r="BP69" s="241"/>
      <c r="BQ69" s="241"/>
      <c r="BR69" s="241"/>
      <c r="BS69" s="241"/>
      <c r="BT69" s="241"/>
      <c r="BU69" s="629"/>
      <c r="BV69" s="241"/>
      <c r="BW69" s="241"/>
      <c r="BX69" s="241"/>
      <c r="BY69" s="1238"/>
      <c r="BZ69" s="1314"/>
      <c r="CA69" s="1314"/>
      <c r="CB69" s="19"/>
      <c r="CC69" s="629"/>
      <c r="CD69" s="241"/>
      <c r="CE69" s="241"/>
      <c r="CF69" s="241"/>
      <c r="CG69" s="241"/>
      <c r="CH69" s="241"/>
      <c r="CI69" s="629"/>
      <c r="CJ69" s="241"/>
      <c r="CK69" s="1204"/>
      <c r="CL69" s="1199"/>
      <c r="CM69" s="1199"/>
      <c r="CN69" s="1314"/>
      <c r="CO69" s="1314"/>
      <c r="CP69" s="1315"/>
    </row>
    <row r="70" spans="1:95" s="7" customFormat="1" ht="14.25" hidden="1" customHeight="1" outlineLevel="1">
      <c r="A70" s="511"/>
      <c r="B70" s="43" t="str">
        <f>"Networking LSI"&amp;" Gross Margin"</f>
        <v>Networking LSI Gross Margin</v>
      </c>
      <c r="C70" s="240"/>
      <c r="D70" s="370"/>
      <c r="E70" s="371"/>
      <c r="F70" s="371"/>
      <c r="G70" s="372"/>
      <c r="H70" s="370"/>
      <c r="I70" s="371"/>
      <c r="J70" s="371"/>
      <c r="K70" s="372"/>
      <c r="L70" s="370">
        <f>L68*L$129</f>
        <v>0</v>
      </c>
      <c r="M70" s="371">
        <f t="shared" ref="M70:AJ70" si="298">M68*M$129</f>
        <v>51.945985401459865</v>
      </c>
      <c r="N70" s="371">
        <f t="shared" si="298"/>
        <v>59.954441913439631</v>
      </c>
      <c r="O70" s="372">
        <f t="shared" si="298"/>
        <v>58.451901565995527</v>
      </c>
      <c r="P70" s="370">
        <f t="shared" si="298"/>
        <v>50.804347826086953</v>
      </c>
      <c r="Q70" s="371">
        <f t="shared" si="298"/>
        <v>33.969230769230769</v>
      </c>
      <c r="R70" s="371">
        <f t="shared" si="298"/>
        <v>43.090909090909086</v>
      </c>
      <c r="S70" s="372">
        <f t="shared" si="298"/>
        <v>42.616822429906541</v>
      </c>
      <c r="T70" s="370">
        <f t="shared" si="298"/>
        <v>43.541666666666671</v>
      </c>
      <c r="U70" s="371">
        <f t="shared" si="298"/>
        <v>54.897087378640776</v>
      </c>
      <c r="V70" s="371">
        <f t="shared" si="298"/>
        <v>62.109090909090909</v>
      </c>
      <c r="W70" s="372">
        <f t="shared" si="298"/>
        <v>60.540209790209794</v>
      </c>
      <c r="X70" s="373">
        <f t="shared" si="298"/>
        <v>61.88</v>
      </c>
      <c r="Y70" s="352">
        <f t="shared" si="298"/>
        <v>58</v>
      </c>
      <c r="Z70" s="371">
        <f t="shared" si="298"/>
        <v>60.537313432835823</v>
      </c>
      <c r="AA70" s="372">
        <f t="shared" si="298"/>
        <v>59.908507223113965</v>
      </c>
      <c r="AB70" s="373">
        <f t="shared" si="298"/>
        <v>54.317051509769094</v>
      </c>
      <c r="AC70" s="352">
        <f t="shared" si="298"/>
        <v>54.716620450606591</v>
      </c>
      <c r="AD70" s="352">
        <f t="shared" si="298"/>
        <v>50.610799504950492</v>
      </c>
      <c r="AE70" s="372">
        <f t="shared" si="298"/>
        <v>54.123436893203881</v>
      </c>
      <c r="AF70" s="371">
        <f t="shared" si="298"/>
        <v>48.35897673611111</v>
      </c>
      <c r="AG70" s="371">
        <f t="shared" si="298"/>
        <v>47.658362989323841</v>
      </c>
      <c r="AH70" s="371">
        <f t="shared" si="298"/>
        <v>53.571465838509326</v>
      </c>
      <c r="AI70" s="372">
        <f t="shared" si="298"/>
        <v>55.006380758807587</v>
      </c>
      <c r="AJ70" s="371">
        <f t="shared" si="298"/>
        <v>53.784407293872256</v>
      </c>
      <c r="AK70" s="371">
        <f>AK73*AK64</f>
        <v>42.70467</v>
      </c>
      <c r="AL70" s="371"/>
      <c r="AM70" s="371"/>
      <c r="AN70" s="370"/>
      <c r="AO70" s="371"/>
      <c r="AP70" s="371"/>
      <c r="AQ70" s="371"/>
      <c r="AR70" s="370"/>
      <c r="AS70" s="371"/>
      <c r="AT70" s="371"/>
      <c r="AU70" s="371"/>
      <c r="AV70" s="370"/>
      <c r="AW70" s="371"/>
      <c r="AX70" s="371"/>
      <c r="AY70" s="372"/>
      <c r="AZ70" s="370"/>
      <c r="BA70" s="371"/>
      <c r="BB70" s="371"/>
      <c r="BC70" s="372"/>
      <c r="BD70" s="370"/>
      <c r="BE70" s="371"/>
      <c r="BF70" s="371"/>
      <c r="BG70" s="372"/>
      <c r="BH70" s="370"/>
      <c r="BI70" s="371"/>
      <c r="BJ70" s="371"/>
      <c r="BK70" s="1397"/>
      <c r="BL70" s="1447"/>
      <c r="BM70" s="357"/>
      <c r="BN70" s="357"/>
      <c r="BO70" s="357">
        <f>SUM(L70:O70)</f>
        <v>170.35232888089502</v>
      </c>
      <c r="BP70" s="357">
        <f>SUM(P70:S70)</f>
        <v>170.48131011613336</v>
      </c>
      <c r="BQ70" s="357">
        <f>SUM(T70:W70)</f>
        <v>221.08805474460814</v>
      </c>
      <c r="BR70" s="357">
        <f>SUM(X70:AA70)</f>
        <v>240.32582065594977</v>
      </c>
      <c r="BS70" s="357">
        <f>SUM(AB70:AE70)</f>
        <v>213.76790835853006</v>
      </c>
      <c r="BT70" s="357">
        <f>SUM(AF70:AI70)</f>
        <v>204.59518632275186</v>
      </c>
      <c r="BU70" s="360">
        <f>SUM(AJ70:AM70)</f>
        <v>96.489077293872256</v>
      </c>
      <c r="BV70" s="357"/>
      <c r="BW70" s="357"/>
      <c r="BX70" s="357">
        <f>SUM(AV70:AY70)</f>
        <v>0</v>
      </c>
      <c r="BY70" s="357">
        <f>SUM(AW70:AZ70)</f>
        <v>0</v>
      </c>
      <c r="BZ70" s="357">
        <f>SUM(AX70:BD70)</f>
        <v>0</v>
      </c>
      <c r="CA70" s="357">
        <f>SUM(AY70:BE70)</f>
        <v>0</v>
      </c>
      <c r="CB70" s="19"/>
      <c r="CC70" s="360"/>
      <c r="CD70" s="357"/>
      <c r="CE70" s="357"/>
      <c r="CF70" s="357"/>
      <c r="CG70" s="357"/>
      <c r="CH70" s="357"/>
      <c r="CI70" s="360"/>
      <c r="CJ70" s="357">
        <f>SUM(AG70:AJ70)</f>
        <v>210.02061688051299</v>
      </c>
      <c r="CK70" s="360">
        <f>SUM(AK70:AN70)</f>
        <v>42.70467</v>
      </c>
      <c r="CL70" s="357"/>
      <c r="CM70" s="357"/>
      <c r="CN70" s="357"/>
      <c r="CO70" s="357"/>
      <c r="CP70" s="358"/>
    </row>
    <row r="71" spans="1:95" s="7" customFormat="1" ht="14.25" hidden="1" customHeight="1" outlineLevel="1">
      <c r="A71" s="511"/>
      <c r="B71" s="35" t="s">
        <v>110</v>
      </c>
      <c r="C71" s="240"/>
      <c r="D71" s="149"/>
      <c r="E71" s="87"/>
      <c r="F71" s="87"/>
      <c r="G71" s="88"/>
      <c r="H71" s="149"/>
      <c r="I71" s="87"/>
      <c r="J71" s="87"/>
      <c r="K71" s="88"/>
      <c r="L71" s="149"/>
      <c r="M71" s="87"/>
      <c r="N71" s="87">
        <f t="shared" ref="N71:AK71" si="299">N70/M70-1</f>
        <v>0.15416892085282696</v>
      </c>
      <c r="O71" s="88">
        <f t="shared" si="299"/>
        <v>-2.5061368257141448E-2</v>
      </c>
      <c r="P71" s="149">
        <f t="shared" si="299"/>
        <v>-0.13083498628823986</v>
      </c>
      <c r="Q71" s="87">
        <f t="shared" si="299"/>
        <v>-0.33137158092228691</v>
      </c>
      <c r="R71" s="87">
        <f t="shared" si="299"/>
        <v>0.26852766798418948</v>
      </c>
      <c r="S71" s="88">
        <f t="shared" si="299"/>
        <v>-1.1002011120312183E-2</v>
      </c>
      <c r="T71" s="149">
        <f t="shared" si="299"/>
        <v>2.1701388888889062E-2</v>
      </c>
      <c r="U71" s="87">
        <f t="shared" si="299"/>
        <v>0.26079435127978812</v>
      </c>
      <c r="V71" s="87">
        <f t="shared" si="299"/>
        <v>0.13137315429335805</v>
      </c>
      <c r="W71" s="88">
        <f t="shared" si="299"/>
        <v>-2.5260088272383352E-2</v>
      </c>
      <c r="X71" s="361">
        <f t="shared" si="299"/>
        <v>2.213058419243974E-2</v>
      </c>
      <c r="Y71" s="362">
        <f t="shared" si="299"/>
        <v>-6.2702003878474466E-2</v>
      </c>
      <c r="Z71" s="87">
        <f t="shared" si="299"/>
        <v>4.3746783324755567E-2</v>
      </c>
      <c r="AA71" s="88">
        <f t="shared" si="299"/>
        <v>-1.0387084825287163E-2</v>
      </c>
      <c r="AB71" s="361">
        <f t="shared" si="299"/>
        <v>-9.333325052685626E-2</v>
      </c>
      <c r="AC71" s="362">
        <f t="shared" si="299"/>
        <v>7.3562339952424338E-3</v>
      </c>
      <c r="AD71" s="362">
        <f t="shared" si="299"/>
        <v>-7.5037911914945021E-2</v>
      </c>
      <c r="AE71" s="88">
        <f t="shared" si="299"/>
        <v>6.9404898215642774E-2</v>
      </c>
      <c r="AF71" s="361">
        <f t="shared" si="299"/>
        <v>-0.10650580391757414</v>
      </c>
      <c r="AG71" s="362">
        <f t="shared" si="299"/>
        <v>-1.4487770297755276E-2</v>
      </c>
      <c r="AH71" s="362">
        <f t="shared" si="299"/>
        <v>0.12407272256728796</v>
      </c>
      <c r="AI71" s="88">
        <f t="shared" si="299"/>
        <v>2.6785059879149031E-2</v>
      </c>
      <c r="AJ71" s="87">
        <f t="shared" si="299"/>
        <v>-2.2215122101805762E-2</v>
      </c>
      <c r="AK71" s="87">
        <f t="shared" si="299"/>
        <v>-0.20600277759562835</v>
      </c>
      <c r="AL71" s="87"/>
      <c r="AM71" s="87"/>
      <c r="AN71" s="149"/>
      <c r="AO71" s="87"/>
      <c r="AP71" s="943"/>
      <c r="AQ71" s="943"/>
      <c r="AR71" s="945"/>
      <c r="AS71" s="1000"/>
      <c r="AT71" s="1177"/>
      <c r="AU71" s="1000"/>
      <c r="AV71" s="1237"/>
      <c r="AW71" s="1229"/>
      <c r="AX71" s="1229"/>
      <c r="AY71" s="1230"/>
      <c r="AZ71" s="1237"/>
      <c r="BA71" s="1229"/>
      <c r="BB71" s="1229"/>
      <c r="BC71" s="1230"/>
      <c r="BD71" s="1237"/>
      <c r="BE71" s="1229"/>
      <c r="BF71" s="1229"/>
      <c r="BG71" s="1230"/>
      <c r="BH71" s="1313"/>
      <c r="BI71" s="1308"/>
      <c r="BJ71" s="1308"/>
      <c r="BK71" s="1395"/>
      <c r="BL71" s="1391"/>
      <c r="BM71" s="241"/>
      <c r="BN71" s="241"/>
      <c r="BO71" s="241"/>
      <c r="BP71" s="241"/>
      <c r="BQ71" s="241"/>
      <c r="BR71" s="241"/>
      <c r="BS71" s="241"/>
      <c r="BT71" s="241"/>
      <c r="BU71" s="629"/>
      <c r="BV71" s="241"/>
      <c r="BW71" s="241"/>
      <c r="BX71" s="241"/>
      <c r="BY71" s="1238"/>
      <c r="BZ71" s="1314"/>
      <c r="CA71" s="1314"/>
      <c r="CB71" s="19"/>
      <c r="CC71" s="629"/>
      <c r="CD71" s="241"/>
      <c r="CE71" s="241"/>
      <c r="CF71" s="241"/>
      <c r="CG71" s="241"/>
      <c r="CH71" s="241"/>
      <c r="CI71" s="629"/>
      <c r="CJ71" s="241"/>
      <c r="CK71" s="1204"/>
      <c r="CL71" s="1199"/>
      <c r="CM71" s="1199"/>
      <c r="CN71" s="1314"/>
      <c r="CO71" s="1314"/>
      <c r="CP71" s="1315"/>
    </row>
    <row r="72" spans="1:95" s="7" customFormat="1" ht="14.25" hidden="1" customHeight="1" outlineLevel="1">
      <c r="A72" s="511"/>
      <c r="B72" s="35" t="s">
        <v>111</v>
      </c>
      <c r="C72" s="240"/>
      <c r="D72" s="149"/>
      <c r="E72" s="87"/>
      <c r="F72" s="87"/>
      <c r="G72" s="88"/>
      <c r="H72" s="149"/>
      <c r="I72" s="87"/>
      <c r="J72" s="362"/>
      <c r="K72" s="365"/>
      <c r="L72" s="361"/>
      <c r="M72" s="362"/>
      <c r="N72" s="362"/>
      <c r="O72" s="365"/>
      <c r="P72" s="361"/>
      <c r="Q72" s="362">
        <f t="shared" ref="Q72:AJ72" si="300">Q70/M70-1</f>
        <v>-0.34606629354121143</v>
      </c>
      <c r="R72" s="362">
        <f t="shared" si="300"/>
        <v>-0.281272450953302</v>
      </c>
      <c r="S72" s="365">
        <f t="shared" si="300"/>
        <v>-0.2709078526420613</v>
      </c>
      <c r="T72" s="361">
        <f t="shared" si="300"/>
        <v>-0.1429539295392952</v>
      </c>
      <c r="U72" s="362">
        <f t="shared" si="300"/>
        <v>0.61608273533136337</v>
      </c>
      <c r="V72" s="362">
        <f t="shared" si="300"/>
        <v>0.44135021097046434</v>
      </c>
      <c r="W72" s="365">
        <f t="shared" si="300"/>
        <v>0.42057071218255437</v>
      </c>
      <c r="X72" s="361">
        <f t="shared" si="300"/>
        <v>0.42116746411483241</v>
      </c>
      <c r="Y72" s="362">
        <f t="shared" si="300"/>
        <v>5.652235427277863E-2</v>
      </c>
      <c r="Z72" s="362">
        <f t="shared" si="300"/>
        <v>-2.5306721661015774E-2</v>
      </c>
      <c r="AA72" s="365">
        <f t="shared" si="300"/>
        <v>-1.0434429766346565E-2</v>
      </c>
      <c r="AB72" s="361">
        <f t="shared" si="300"/>
        <v>-0.1222195942183405</v>
      </c>
      <c r="AC72" s="362">
        <f t="shared" si="300"/>
        <v>-5.6609992230920891E-2</v>
      </c>
      <c r="AD72" s="362">
        <f t="shared" si="300"/>
        <v>-0.16397347957798747</v>
      </c>
      <c r="AE72" s="365">
        <f t="shared" si="300"/>
        <v>-9.6565088967499491E-2</v>
      </c>
      <c r="AF72" s="361">
        <f t="shared" si="300"/>
        <v>-0.10969068843117169</v>
      </c>
      <c r="AG72" s="362">
        <f t="shared" si="300"/>
        <v>-0.12899659012482922</v>
      </c>
      <c r="AH72" s="362">
        <f t="shared" si="300"/>
        <v>5.8498707045108844E-2</v>
      </c>
      <c r="AI72" s="88">
        <f t="shared" si="300"/>
        <v>1.6313521762225225E-2</v>
      </c>
      <c r="AJ72" s="87">
        <f t="shared" si="300"/>
        <v>0.11219076423736274</v>
      </c>
      <c r="AK72" s="87"/>
      <c r="AL72" s="87"/>
      <c r="AM72" s="87"/>
      <c r="AN72" s="149"/>
      <c r="AO72" s="87"/>
      <c r="AP72" s="943"/>
      <c r="AQ72" s="943"/>
      <c r="AR72" s="945"/>
      <c r="AS72" s="1000"/>
      <c r="AT72" s="1177"/>
      <c r="AU72" s="1000"/>
      <c r="AV72" s="1237"/>
      <c r="AW72" s="1229"/>
      <c r="AX72" s="1229"/>
      <c r="AY72" s="1230"/>
      <c r="AZ72" s="1237"/>
      <c r="BA72" s="1229"/>
      <c r="BB72" s="1229"/>
      <c r="BC72" s="1230"/>
      <c r="BD72" s="1237"/>
      <c r="BE72" s="1229"/>
      <c r="BF72" s="1229"/>
      <c r="BG72" s="1230"/>
      <c r="BH72" s="1313"/>
      <c r="BI72" s="1308"/>
      <c r="BJ72" s="1308"/>
      <c r="BK72" s="1395"/>
      <c r="BL72" s="1391"/>
      <c r="BM72" s="362"/>
      <c r="BN72" s="301"/>
      <c r="BO72" s="301"/>
      <c r="BP72" s="301">
        <f t="shared" ref="BP72:CA72" si="301">BP70/BO70-1</f>
        <v>7.5714395033910087E-4</v>
      </c>
      <c r="BQ72" s="301">
        <f t="shared" si="301"/>
        <v>0.29684629120928885</v>
      </c>
      <c r="BR72" s="301">
        <f t="shared" si="301"/>
        <v>8.7014044849977656E-2</v>
      </c>
      <c r="BS72" s="301">
        <f t="shared" si="301"/>
        <v>-0.11050794386109675</v>
      </c>
      <c r="BT72" s="301">
        <f t="shared" si="301"/>
        <v>-4.2909724411925199E-2</v>
      </c>
      <c r="BU72" s="632">
        <f t="shared" si="301"/>
        <v>-0.52839028606636251</v>
      </c>
      <c r="BV72" s="301"/>
      <c r="BW72" s="301"/>
      <c r="BX72" s="301" t="e">
        <f t="shared" si="301"/>
        <v>#DIV/0!</v>
      </c>
      <c r="BY72" s="301" t="e">
        <f t="shared" si="301"/>
        <v>#DIV/0!</v>
      </c>
      <c r="BZ72" s="301" t="e">
        <f t="shared" si="301"/>
        <v>#DIV/0!</v>
      </c>
      <c r="CA72" s="301" t="e">
        <f t="shared" si="301"/>
        <v>#DIV/0!</v>
      </c>
      <c r="CB72" s="19"/>
      <c r="CC72" s="632"/>
      <c r="CD72" s="301"/>
      <c r="CE72" s="301"/>
      <c r="CF72" s="301"/>
      <c r="CG72" s="301"/>
      <c r="CH72" s="301"/>
      <c r="CI72" s="632"/>
      <c r="CJ72" s="301"/>
      <c r="CK72" s="632"/>
      <c r="CL72" s="301"/>
      <c r="CM72" s="301"/>
      <c r="CN72" s="301"/>
      <c r="CO72" s="301"/>
      <c r="CP72" s="367"/>
    </row>
    <row r="73" spans="1:95" s="7" customFormat="1" ht="14.25" hidden="1" customHeight="1" outlineLevel="1">
      <c r="A73" s="511"/>
      <c r="B73" s="35" t="s">
        <v>203</v>
      </c>
      <c r="C73" s="240"/>
      <c r="D73" s="149"/>
      <c r="E73" s="87"/>
      <c r="F73" s="87"/>
      <c r="G73" s="88"/>
      <c r="H73" s="149"/>
      <c r="I73" s="87"/>
      <c r="J73" s="87"/>
      <c r="K73" s="88"/>
      <c r="L73" s="149"/>
      <c r="M73" s="87">
        <f t="shared" ref="M73:AI73" si="302">M70/M64</f>
        <v>0.42335766423357674</v>
      </c>
      <c r="N73" s="87">
        <f t="shared" si="302"/>
        <v>0.42824601366742593</v>
      </c>
      <c r="O73" s="88">
        <f t="shared" si="302"/>
        <v>0.4116331096196868</v>
      </c>
      <c r="P73" s="149">
        <f t="shared" si="302"/>
        <v>0.44565217391304346</v>
      </c>
      <c r="Q73" s="87">
        <f t="shared" si="302"/>
        <v>0.35384615384615387</v>
      </c>
      <c r="R73" s="87">
        <f t="shared" si="302"/>
        <v>0.43526170798898067</v>
      </c>
      <c r="S73" s="88">
        <f t="shared" si="302"/>
        <v>0.44859813084112149</v>
      </c>
      <c r="T73" s="149">
        <f t="shared" si="302"/>
        <v>0.45833333333333337</v>
      </c>
      <c r="U73" s="87">
        <f t="shared" si="302"/>
        <v>0.48155339805825242</v>
      </c>
      <c r="V73" s="87">
        <f t="shared" si="302"/>
        <v>0.50909090909090904</v>
      </c>
      <c r="W73" s="88">
        <f t="shared" si="302"/>
        <v>0.50874125874125875</v>
      </c>
      <c r="X73" s="361">
        <f t="shared" si="302"/>
        <v>0.52</v>
      </c>
      <c r="Y73" s="362">
        <f t="shared" si="302"/>
        <v>0.5178571428571429</v>
      </c>
      <c r="Z73" s="87">
        <f t="shared" si="302"/>
        <v>0.51741293532338306</v>
      </c>
      <c r="AA73" s="88">
        <f t="shared" si="302"/>
        <v>0.5120385232744783</v>
      </c>
      <c r="AB73" s="361">
        <f t="shared" si="302"/>
        <v>0.50621669626998222</v>
      </c>
      <c r="AC73" s="362">
        <f t="shared" si="302"/>
        <v>0.51126516464471405</v>
      </c>
      <c r="AD73" s="362">
        <f t="shared" si="302"/>
        <v>0.51155115511551152</v>
      </c>
      <c r="AE73" s="88">
        <f t="shared" si="302"/>
        <v>0.51132686084142387</v>
      </c>
      <c r="AF73" s="149">
        <f t="shared" si="302"/>
        <v>0.50694444444444442</v>
      </c>
      <c r="AG73" s="87">
        <f t="shared" si="302"/>
        <v>0.51245551601423489</v>
      </c>
      <c r="AH73" s="87">
        <f t="shared" si="302"/>
        <v>0.50931677018633548</v>
      </c>
      <c r="AI73" s="88">
        <f t="shared" si="302"/>
        <v>0.50542005420054203</v>
      </c>
      <c r="AJ73" s="89">
        <f>AJ70/AJ64</f>
        <v>0.57832696014916407</v>
      </c>
      <c r="AK73" s="89">
        <v>0.47</v>
      </c>
      <c r="AL73" s="89"/>
      <c r="AM73" s="89"/>
      <c r="AN73" s="91"/>
      <c r="AO73" s="89"/>
      <c r="AP73" s="89"/>
      <c r="AQ73" s="89"/>
      <c r="AR73" s="91"/>
      <c r="AS73" s="89"/>
      <c r="AT73" s="89"/>
      <c r="AU73" s="89"/>
      <c r="AV73" s="1233"/>
      <c r="AW73" s="1231"/>
      <c r="AX73" s="1231"/>
      <c r="AY73" s="1232"/>
      <c r="AZ73" s="1233"/>
      <c r="BA73" s="1231"/>
      <c r="BB73" s="1231"/>
      <c r="BC73" s="1232"/>
      <c r="BD73" s="1233"/>
      <c r="BE73" s="1231"/>
      <c r="BF73" s="1231"/>
      <c r="BG73" s="1232"/>
      <c r="BH73" s="1312"/>
      <c r="BI73" s="1310"/>
      <c r="BJ73" s="1310"/>
      <c r="BK73" s="1396"/>
      <c r="BL73" s="1391"/>
      <c r="BM73" s="301"/>
      <c r="BN73" s="301"/>
      <c r="BO73" s="301">
        <f t="shared" ref="BO73:BT73" si="303">BO70/BO64</f>
        <v>0.42093483785741292</v>
      </c>
      <c r="BP73" s="301">
        <f t="shared" si="303"/>
        <v>0.42198344088151823</v>
      </c>
      <c r="BQ73" s="301">
        <f t="shared" si="303"/>
        <v>0.49130678832135144</v>
      </c>
      <c r="BR73" s="301">
        <f t="shared" si="303"/>
        <v>0.51682972184075215</v>
      </c>
      <c r="BS73" s="301">
        <f t="shared" si="303"/>
        <v>0.51005574676948229</v>
      </c>
      <c r="BT73" s="301">
        <f t="shared" si="303"/>
        <v>0.50842590722736447</v>
      </c>
      <c r="BU73" s="632">
        <f>BU70/BU64</f>
        <v>0.52479360654990592</v>
      </c>
      <c r="BV73" s="301"/>
      <c r="BW73" s="301"/>
      <c r="BX73" s="301" t="e">
        <f>BX70/BX64</f>
        <v>#DIV/0!</v>
      </c>
      <c r="BY73" s="301" t="e">
        <f>BY70/BY64</f>
        <v>#DIV/0!</v>
      </c>
      <c r="BZ73" s="301" t="e">
        <f>BZ70/BZ64</f>
        <v>#DIV/0!</v>
      </c>
      <c r="CA73" s="301" t="e">
        <f>CA70/CA64</f>
        <v>#DIV/0!</v>
      </c>
      <c r="CB73" s="19"/>
      <c r="CC73" s="632"/>
      <c r="CD73" s="301"/>
      <c r="CE73" s="301"/>
      <c r="CF73" s="301"/>
      <c r="CG73" s="301"/>
      <c r="CH73" s="301"/>
      <c r="CI73" s="632"/>
      <c r="CJ73" s="301">
        <f>CJ70/CJ64</f>
        <v>0.5250305409796433</v>
      </c>
      <c r="CK73" s="632">
        <f>CK70/CK64</f>
        <v>0.47</v>
      </c>
      <c r="CL73" s="301"/>
      <c r="CM73" s="301"/>
      <c r="CN73" s="301"/>
      <c r="CO73" s="301"/>
      <c r="CP73" s="367"/>
    </row>
    <row r="74" spans="1:95" s="7" customFormat="1" ht="14.25" hidden="1" customHeight="1" outlineLevel="1">
      <c r="A74" s="511"/>
      <c r="B74" s="374"/>
      <c r="C74" s="266"/>
      <c r="D74" s="375"/>
      <c r="E74" s="242"/>
      <c r="F74" s="242"/>
      <c r="G74" s="243"/>
      <c r="H74" s="375"/>
      <c r="I74" s="242"/>
      <c r="J74" s="242"/>
      <c r="K74" s="243"/>
      <c r="L74" s="375"/>
      <c r="M74" s="242"/>
      <c r="N74" s="242"/>
      <c r="O74" s="243"/>
      <c r="P74" s="375"/>
      <c r="Q74" s="242"/>
      <c r="R74" s="242"/>
      <c r="S74" s="243"/>
      <c r="T74" s="375"/>
      <c r="U74" s="242"/>
      <c r="V74" s="242"/>
      <c r="W74" s="243"/>
      <c r="X74" s="744"/>
      <c r="Y74" s="747"/>
      <c r="Z74" s="747"/>
      <c r="AA74" s="746"/>
      <c r="AB74" s="745"/>
      <c r="AC74" s="747"/>
      <c r="AD74" s="747"/>
      <c r="AE74" s="746"/>
      <c r="AF74" s="375"/>
      <c r="AG74" s="242"/>
      <c r="AH74" s="66"/>
      <c r="AI74" s="61"/>
      <c r="AJ74" s="66"/>
      <c r="AK74" s="66"/>
      <c r="AL74" s="66"/>
      <c r="AM74" s="66"/>
      <c r="AN74" s="60"/>
      <c r="AO74" s="66"/>
      <c r="AP74" s="66"/>
      <c r="AQ74" s="66"/>
      <c r="AR74" s="60"/>
      <c r="AS74" s="66"/>
      <c r="AT74" s="66"/>
      <c r="AU74" s="66"/>
      <c r="AV74" s="60"/>
      <c r="AW74" s="66"/>
      <c r="AX74" s="66"/>
      <c r="AY74" s="61"/>
      <c r="AZ74" s="60"/>
      <c r="BA74" s="66"/>
      <c r="BB74" s="66"/>
      <c r="BC74" s="61"/>
      <c r="BD74" s="60"/>
      <c r="BE74" s="66"/>
      <c r="BF74" s="66"/>
      <c r="BG74" s="61"/>
      <c r="BH74" s="60"/>
      <c r="BI74" s="66"/>
      <c r="BJ74" s="66"/>
      <c r="BK74" s="61"/>
      <c r="BL74" s="1391"/>
      <c r="BM74" s="223"/>
      <c r="BN74" s="223"/>
      <c r="BO74" s="223"/>
      <c r="BP74" s="223"/>
      <c r="BQ74" s="223"/>
      <c r="BR74" s="223"/>
      <c r="BS74" s="223"/>
      <c r="BT74" s="223"/>
      <c r="BU74" s="14"/>
      <c r="BV74" s="223"/>
      <c r="BW74" s="223"/>
      <c r="BX74" s="223"/>
      <c r="BY74" s="223"/>
      <c r="BZ74" s="223"/>
      <c r="CA74" s="223"/>
      <c r="CB74" s="19"/>
      <c r="CC74" s="14"/>
      <c r="CD74" s="223"/>
      <c r="CE74" s="223"/>
      <c r="CF74" s="223"/>
      <c r="CG74" s="223"/>
      <c r="CH74" s="223"/>
      <c r="CI74" s="14"/>
      <c r="CJ74" s="223"/>
      <c r="CK74" s="14"/>
      <c r="CL74" s="223"/>
      <c r="CM74" s="223"/>
      <c r="CN74" s="223"/>
      <c r="CO74" s="223"/>
      <c r="CP74" s="15"/>
    </row>
    <row r="75" spans="1:95" s="100" customFormat="1" ht="14.25" customHeight="1" collapsed="1">
      <c r="A75" s="510"/>
      <c r="B75" s="43" t="str">
        <f>B176</f>
        <v>Industrial &amp; Other</v>
      </c>
      <c r="C75" s="347"/>
      <c r="D75" s="349"/>
      <c r="E75" s="349"/>
      <c r="F75" s="349"/>
      <c r="G75" s="350"/>
      <c r="H75" s="349"/>
      <c r="I75" s="349"/>
      <c r="J75" s="349"/>
      <c r="K75" s="350"/>
      <c r="L75" s="349">
        <f t="shared" ref="L75:AK75" si="304">L$156</f>
        <v>120.6</v>
      </c>
      <c r="M75" s="349">
        <f t="shared" si="304"/>
        <v>127.41</v>
      </c>
      <c r="N75" s="349">
        <f t="shared" si="304"/>
        <v>136.09</v>
      </c>
      <c r="O75" s="350">
        <f t="shared" si="304"/>
        <v>129.63</v>
      </c>
      <c r="P75" s="349">
        <f t="shared" si="304"/>
        <v>104</v>
      </c>
      <c r="Q75" s="349">
        <f t="shared" si="304"/>
        <v>66</v>
      </c>
      <c r="R75" s="349">
        <f t="shared" si="304"/>
        <v>70</v>
      </c>
      <c r="S75" s="350">
        <f t="shared" si="304"/>
        <v>92</v>
      </c>
      <c r="T75" s="349">
        <f t="shared" si="304"/>
        <v>117</v>
      </c>
      <c r="U75" s="349">
        <f t="shared" si="304"/>
        <v>147</v>
      </c>
      <c r="V75" s="349">
        <f t="shared" si="304"/>
        <v>170</v>
      </c>
      <c r="W75" s="350">
        <f t="shared" si="304"/>
        <v>171</v>
      </c>
      <c r="X75" s="349">
        <f t="shared" si="304"/>
        <v>166</v>
      </c>
      <c r="Y75" s="349">
        <f t="shared" si="304"/>
        <v>167</v>
      </c>
      <c r="Z75" s="349">
        <f t="shared" si="304"/>
        <v>178</v>
      </c>
      <c r="AA75" s="350">
        <f t="shared" si="304"/>
        <v>161</v>
      </c>
      <c r="AB75" s="349">
        <f t="shared" si="304"/>
        <v>114</v>
      </c>
      <c r="AC75" s="349">
        <f t="shared" si="304"/>
        <v>124</v>
      </c>
      <c r="AD75" s="349">
        <f t="shared" si="304"/>
        <v>148</v>
      </c>
      <c r="AE75" s="350">
        <f t="shared" si="304"/>
        <v>132</v>
      </c>
      <c r="AF75" s="349">
        <f t="shared" si="304"/>
        <v>125</v>
      </c>
      <c r="AG75" s="349">
        <f t="shared" si="304"/>
        <v>130</v>
      </c>
      <c r="AH75" s="349">
        <f t="shared" si="304"/>
        <v>154</v>
      </c>
      <c r="AI75" s="350">
        <f t="shared" si="304"/>
        <v>147.6</v>
      </c>
      <c r="AJ75" s="955">
        <f t="shared" si="304"/>
        <v>55.86</v>
      </c>
      <c r="AK75" s="955">
        <f t="shared" si="304"/>
        <v>133.19</v>
      </c>
      <c r="AL75" s="955">
        <v>170</v>
      </c>
      <c r="AM75" s="955">
        <v>167</v>
      </c>
      <c r="AN75" s="956">
        <v>160</v>
      </c>
      <c r="AO75" s="955">
        <v>220</v>
      </c>
      <c r="AP75" s="955">
        <v>174</v>
      </c>
      <c r="AQ75" s="955">
        <v>156</v>
      </c>
      <c r="AR75" s="956">
        <v>140</v>
      </c>
      <c r="AS75" s="955">
        <v>182</v>
      </c>
      <c r="AT75" s="955">
        <v>202</v>
      </c>
      <c r="AU75" s="955">
        <v>162</v>
      </c>
      <c r="AV75" s="956">
        <v>180</v>
      </c>
      <c r="AW75" s="955">
        <v>224</v>
      </c>
      <c r="AX75" s="955">
        <v>238</v>
      </c>
      <c r="AY75" s="955">
        <v>257</v>
      </c>
      <c r="AZ75" s="956">
        <v>251</v>
      </c>
      <c r="BA75" s="352">
        <f t="shared" ref="BA75" si="305">AZ75*(1+BA76)</f>
        <v>276.10000000000002</v>
      </c>
      <c r="BB75" s="352">
        <f t="shared" ref="BB75" si="306">BA75*(1+BB76)</f>
        <v>256.77300000000002</v>
      </c>
      <c r="BC75" s="351">
        <f t="shared" ref="BC75" si="307">BB75*(1+BC76)</f>
        <v>238.79889</v>
      </c>
      <c r="BD75" s="373">
        <f t="shared" ref="BD75" si="308">BC75*(1+BD76)</f>
        <v>236.41090109999999</v>
      </c>
      <c r="BE75" s="352">
        <f t="shared" ref="BE75" si="309">BD75*(1+BE76)</f>
        <v>250.595555166</v>
      </c>
      <c r="BF75" s="352">
        <f t="shared" ref="BF75" si="310">BE75*(1+BF76)</f>
        <v>265.63128847595999</v>
      </c>
      <c r="BG75" s="351">
        <f t="shared" ref="BG75" si="311">BF75*(1+BG76)</f>
        <v>265.63128847595999</v>
      </c>
      <c r="BH75" s="373">
        <f t="shared" ref="BH75" si="312">BG75*(1+BH76)</f>
        <v>255.00603693692159</v>
      </c>
      <c r="BI75" s="352">
        <f t="shared" ref="BI75" si="313">BH75*(1+BI76)</f>
        <v>257.55609730629078</v>
      </c>
      <c r="BJ75" s="352">
        <f t="shared" ref="BJ75" si="314">BI75*(1+BJ76)</f>
        <v>260.1316582793537</v>
      </c>
      <c r="BK75" s="1449">
        <f t="shared" ref="BK75" si="315">BJ75*(1+BK76)</f>
        <v>260.1316582793537</v>
      </c>
      <c r="BL75" s="1445"/>
      <c r="BM75" s="357"/>
      <c r="BN75" s="357"/>
      <c r="BO75" s="357">
        <f>SUM(L75:O75)</f>
        <v>513.73</v>
      </c>
      <c r="BP75" s="357">
        <f>SUM(P75:S75)</f>
        <v>332</v>
      </c>
      <c r="BQ75" s="357">
        <f>SUM(T75:W75)</f>
        <v>605</v>
      </c>
      <c r="BR75" s="357">
        <f>SUM(X75:AA75)</f>
        <v>672</v>
      </c>
      <c r="BS75" s="357">
        <f>SUM(AB75:AE75)</f>
        <v>518</v>
      </c>
      <c r="BT75" s="357">
        <f>SUM(AF75:AI75)</f>
        <v>556.6</v>
      </c>
      <c r="BU75" s="360">
        <f>SUM(AJ75:AM75)</f>
        <v>526.04999999999995</v>
      </c>
      <c r="BV75" s="357">
        <f>SUM(AN75:AQ75)</f>
        <v>710</v>
      </c>
      <c r="BW75" s="357">
        <f>SUM(AR75:AU75)</f>
        <v>686</v>
      </c>
      <c r="BX75" s="357">
        <f>SUM(AV75:AY75)</f>
        <v>899</v>
      </c>
      <c r="BY75" s="357">
        <f>SUM(AZ75:BC75)</f>
        <v>1022.6718900000001</v>
      </c>
      <c r="BZ75" s="357">
        <f>SUM(BD75:BG75)</f>
        <v>1018.26903321792</v>
      </c>
      <c r="CA75" s="357">
        <f>SUM(BH75:BK75)</f>
        <v>1032.8254508019197</v>
      </c>
      <c r="CB75" s="1438"/>
      <c r="CC75" s="360"/>
      <c r="CD75" s="357">
        <f>SUM(I75:L75)</f>
        <v>120.6</v>
      </c>
      <c r="CE75" s="357">
        <f>SUM(M75:P75)</f>
        <v>497.13</v>
      </c>
      <c r="CF75" s="357">
        <f>SUM(Q75:T75)</f>
        <v>345</v>
      </c>
      <c r="CG75" s="357">
        <f>SUM(U75:X75)</f>
        <v>654</v>
      </c>
      <c r="CH75" s="357">
        <f>SUM(Y75:AB75)</f>
        <v>620</v>
      </c>
      <c r="CI75" s="360">
        <f>SUM(AC75:AF75)</f>
        <v>529</v>
      </c>
      <c r="CJ75" s="357">
        <f>SUM(AG75:AJ75)</f>
        <v>487.46000000000004</v>
      </c>
      <c r="CK75" s="360">
        <f>SUM(AK75:AN75)</f>
        <v>630.19000000000005</v>
      </c>
      <c r="CL75" s="357">
        <f>SUM(AO75:AR75)</f>
        <v>690</v>
      </c>
      <c r="CM75" s="357">
        <f>SUM(AS75:AV75)</f>
        <v>726</v>
      </c>
      <c r="CN75" s="357">
        <f>SUM(AW75:AZ75)</f>
        <v>970</v>
      </c>
      <c r="CO75" s="357">
        <f>SUM(BA75:BD75)</f>
        <v>1008.0827911000001</v>
      </c>
      <c r="CP75" s="358">
        <f>SUM(BE75:BH75)</f>
        <v>1036.8641690548416</v>
      </c>
      <c r="CQ75" s="1287">
        <f>(CO75/CM75)^(1/2)-1</f>
        <v>0.17836487956572245</v>
      </c>
    </row>
    <row r="76" spans="1:95" s="7" customFormat="1" ht="14.25" customHeight="1">
      <c r="A76" s="511"/>
      <c r="B76" s="35" t="s">
        <v>110</v>
      </c>
      <c r="C76" s="240"/>
      <c r="D76" s="149"/>
      <c r="E76" s="87"/>
      <c r="F76" s="87"/>
      <c r="G76" s="88"/>
      <c r="H76" s="149"/>
      <c r="I76" s="87"/>
      <c r="J76" s="87"/>
      <c r="K76" s="88"/>
      <c r="L76" s="149"/>
      <c r="M76" s="87">
        <f t="shared" ref="M76:AZ76" si="316">M75/L75-1</f>
        <v>5.646766169154227E-2</v>
      </c>
      <c r="N76" s="87">
        <f t="shared" si="316"/>
        <v>6.8126520681265346E-2</v>
      </c>
      <c r="O76" s="88">
        <f t="shared" si="316"/>
        <v>-4.7468586964508841E-2</v>
      </c>
      <c r="P76" s="149">
        <f t="shared" si="316"/>
        <v>-0.19771657795263442</v>
      </c>
      <c r="Q76" s="87">
        <f t="shared" si="316"/>
        <v>-0.36538461538461542</v>
      </c>
      <c r="R76" s="87">
        <f t="shared" si="316"/>
        <v>6.0606060606060552E-2</v>
      </c>
      <c r="S76" s="88">
        <f t="shared" si="316"/>
        <v>0.31428571428571428</v>
      </c>
      <c r="T76" s="149">
        <f t="shared" si="316"/>
        <v>0.27173913043478271</v>
      </c>
      <c r="U76" s="87">
        <f t="shared" si="316"/>
        <v>0.25641025641025639</v>
      </c>
      <c r="V76" s="87">
        <f t="shared" si="316"/>
        <v>0.15646258503401356</v>
      </c>
      <c r="W76" s="88">
        <f t="shared" si="316"/>
        <v>5.8823529411764497E-3</v>
      </c>
      <c r="X76" s="361">
        <f t="shared" si="316"/>
        <v>-2.9239766081871399E-2</v>
      </c>
      <c r="Y76" s="362">
        <f t="shared" si="316"/>
        <v>6.0240963855422436E-3</v>
      </c>
      <c r="Z76" s="87">
        <f t="shared" si="316"/>
        <v>6.5868263473053856E-2</v>
      </c>
      <c r="AA76" s="88">
        <f t="shared" si="316"/>
        <v>-9.5505617977528101E-2</v>
      </c>
      <c r="AB76" s="361">
        <f t="shared" si="316"/>
        <v>-0.29192546583850931</v>
      </c>
      <c r="AC76" s="362">
        <f t="shared" si="316"/>
        <v>8.7719298245614086E-2</v>
      </c>
      <c r="AD76" s="362">
        <f t="shared" si="316"/>
        <v>0.19354838709677424</v>
      </c>
      <c r="AE76" s="88">
        <f t="shared" si="316"/>
        <v>-0.10810810810810811</v>
      </c>
      <c r="AF76" s="361">
        <f t="shared" si="316"/>
        <v>-5.3030303030302983E-2</v>
      </c>
      <c r="AG76" s="362">
        <f t="shared" si="316"/>
        <v>4.0000000000000036E-2</v>
      </c>
      <c r="AH76" s="362">
        <f t="shared" si="316"/>
        <v>0.18461538461538463</v>
      </c>
      <c r="AI76" s="88">
        <f t="shared" si="316"/>
        <v>-4.1558441558441572E-2</v>
      </c>
      <c r="AJ76" s="362">
        <f t="shared" si="316"/>
        <v>-0.62154471544715451</v>
      </c>
      <c r="AK76" s="362">
        <f t="shared" si="316"/>
        <v>1.3843537414965987</v>
      </c>
      <c r="AL76" s="362">
        <f t="shared" si="316"/>
        <v>0.27637210000750811</v>
      </c>
      <c r="AM76" s="362">
        <f t="shared" si="316"/>
        <v>-1.764705882352946E-2</v>
      </c>
      <c r="AN76" s="361">
        <f t="shared" si="316"/>
        <v>-4.1916167664670656E-2</v>
      </c>
      <c r="AO76" s="362">
        <f t="shared" si="316"/>
        <v>0.375</v>
      </c>
      <c r="AP76" s="362">
        <f t="shared" si="316"/>
        <v>-0.20909090909090911</v>
      </c>
      <c r="AQ76" s="362">
        <f t="shared" si="316"/>
        <v>-0.10344827586206895</v>
      </c>
      <c r="AR76" s="361">
        <f t="shared" si="316"/>
        <v>-0.10256410256410253</v>
      </c>
      <c r="AS76" s="362">
        <f t="shared" si="316"/>
        <v>0.30000000000000004</v>
      </c>
      <c r="AT76" s="362">
        <f t="shared" si="316"/>
        <v>0.10989010989010994</v>
      </c>
      <c r="AU76" s="362">
        <f t="shared" si="316"/>
        <v>-0.19801980198019797</v>
      </c>
      <c r="AV76" s="361">
        <f t="shared" si="316"/>
        <v>0.11111111111111116</v>
      </c>
      <c r="AW76" s="362">
        <f t="shared" si="316"/>
        <v>0.24444444444444446</v>
      </c>
      <c r="AX76" s="362">
        <f t="shared" si="316"/>
        <v>6.25E-2</v>
      </c>
      <c r="AY76" s="362">
        <f t="shared" si="316"/>
        <v>7.9831932773109182E-2</v>
      </c>
      <c r="AZ76" s="361">
        <f t="shared" si="316"/>
        <v>-2.3346303501945553E-2</v>
      </c>
      <c r="BA76" s="362">
        <v>0.1</v>
      </c>
      <c r="BB76" s="1229">
        <v>-7.0000000000000007E-2</v>
      </c>
      <c r="BC76" s="1230">
        <v>-7.0000000000000007E-2</v>
      </c>
      <c r="BD76" s="1237">
        <v>-0.01</v>
      </c>
      <c r="BE76" s="1229">
        <v>0.06</v>
      </c>
      <c r="BF76" s="1229">
        <v>0.06</v>
      </c>
      <c r="BG76" s="1230">
        <v>0</v>
      </c>
      <c r="BH76" s="1313">
        <v>-0.04</v>
      </c>
      <c r="BI76" s="1308">
        <v>0.01</v>
      </c>
      <c r="BJ76" s="1308">
        <v>0.01</v>
      </c>
      <c r="BK76" s="1395">
        <v>0</v>
      </c>
      <c r="BL76" s="1391"/>
      <c r="BM76" s="241"/>
      <c r="BN76" s="241"/>
      <c r="BO76" s="241"/>
      <c r="BP76" s="241"/>
      <c r="BQ76" s="377"/>
      <c r="BR76" s="241"/>
      <c r="BS76" s="241"/>
      <c r="BT76" s="241"/>
      <c r="BU76" s="629"/>
      <c r="BV76" s="241"/>
      <c r="BW76" s="241"/>
      <c r="BX76" s="241"/>
      <c r="BY76" s="1238"/>
      <c r="BZ76" s="1314"/>
      <c r="CA76" s="1314"/>
      <c r="CB76" s="19"/>
      <c r="CC76" s="629"/>
      <c r="CD76" s="241"/>
      <c r="CE76" s="241"/>
      <c r="CF76" s="377"/>
      <c r="CG76" s="241"/>
      <c r="CH76" s="241"/>
      <c r="CI76" s="629"/>
      <c r="CJ76" s="241"/>
      <c r="CK76" s="1204"/>
      <c r="CL76" s="1199"/>
      <c r="CM76" s="1199"/>
      <c r="CN76" s="1314"/>
      <c r="CO76" s="1314"/>
      <c r="CP76" s="1315"/>
    </row>
    <row r="77" spans="1:95" s="7" customFormat="1" ht="12" customHeight="1">
      <c r="A77" s="511"/>
      <c r="B77" s="35" t="s">
        <v>202</v>
      </c>
      <c r="C77" s="240"/>
      <c r="D77" s="149"/>
      <c r="E77" s="87"/>
      <c r="F77" s="87"/>
      <c r="G77" s="88"/>
      <c r="H77" s="149"/>
      <c r="I77" s="87"/>
      <c r="J77" s="87"/>
      <c r="K77" s="88"/>
      <c r="L77" s="149"/>
      <c r="M77" s="87"/>
      <c r="N77" s="87"/>
      <c r="O77" s="88"/>
      <c r="P77" s="149"/>
      <c r="Q77" s="87"/>
      <c r="R77" s="87"/>
      <c r="S77" s="88"/>
      <c r="T77" s="149"/>
      <c r="U77" s="87"/>
      <c r="V77" s="87"/>
      <c r="W77" s="88"/>
      <c r="X77" s="87"/>
      <c r="Y77" s="87"/>
      <c r="Z77" s="87"/>
      <c r="AA77" s="88"/>
      <c r="AB77" s="87">
        <f t="shared" ref="AB77:AZ77" si="317">AVERAGE(X76,T76,P76,L76,H76)</f>
        <v>1.4927595466758961E-2</v>
      </c>
      <c r="AC77" s="87">
        <f t="shared" si="317"/>
        <v>-1.1620650224318629E-2</v>
      </c>
      <c r="AD77" s="87">
        <f t="shared" si="317"/>
        <v>8.7765857448598328E-2</v>
      </c>
      <c r="AE77" s="88">
        <f t="shared" si="317"/>
        <v>4.4298465571213447E-2</v>
      </c>
      <c r="AF77" s="87">
        <f t="shared" si="317"/>
        <v>-6.1785669859558107E-2</v>
      </c>
      <c r="AG77" s="87">
        <f t="shared" si="317"/>
        <v>8.2473394696679133E-3</v>
      </c>
      <c r="AH77" s="241">
        <f t="shared" si="317"/>
        <v>0.10892236337823351</v>
      </c>
      <c r="AI77" s="88">
        <f t="shared" si="317"/>
        <v>1.3817150835349134E-2</v>
      </c>
      <c r="AJ77" s="87">
        <f t="shared" si="317"/>
        <v>-6.0034596493707085E-2</v>
      </c>
      <c r="AK77" s="87">
        <f t="shared" si="317"/>
        <v>4.9538071313594669E-3</v>
      </c>
      <c r="AL77" s="87">
        <f t="shared" si="317"/>
        <v>0.13222013616505737</v>
      </c>
      <c r="AM77" s="87">
        <f t="shared" si="317"/>
        <v>1.4999179916562588E-2</v>
      </c>
      <c r="AN77" s="149">
        <f t="shared" si="317"/>
        <v>-0.14480022399261111</v>
      </c>
      <c r="AO77" s="87">
        <f t="shared" si="317"/>
        <v>0.35490147850760229</v>
      </c>
      <c r="AP77" s="943">
        <f t="shared" si="317"/>
        <v>0.17537334404534688</v>
      </c>
      <c r="AQ77" s="943">
        <f t="shared" si="317"/>
        <v>-5.1387374705286162E-2</v>
      </c>
      <c r="AR77" s="945">
        <f t="shared" si="317"/>
        <v>-0.20753128361250175</v>
      </c>
      <c r="AS77" s="1000">
        <f t="shared" si="317"/>
        <v>0.37861942722555103</v>
      </c>
      <c r="AT77" s="1177">
        <f t="shared" si="317"/>
        <v>0.10226264522036235</v>
      </c>
      <c r="AU77" s="1220">
        <f t="shared" si="317"/>
        <v>-7.3253500465935234E-2</v>
      </c>
      <c r="AV77" s="1237">
        <f t="shared" si="317"/>
        <v>-0.22219615090894801</v>
      </c>
      <c r="AW77" s="1229">
        <f t="shared" si="317"/>
        <v>0.43741460794844256</v>
      </c>
      <c r="AX77" s="1308">
        <f t="shared" si="317"/>
        <v>0.11106701450377357</v>
      </c>
      <c r="AY77" s="1308">
        <f t="shared" si="317"/>
        <v>-9.3756337266469217E-2</v>
      </c>
      <c r="AZ77" s="1313">
        <f t="shared" si="317"/>
        <v>-0.1415888355190239</v>
      </c>
      <c r="BA77" s="1229">
        <f t="shared" ref="BA77:BC77" si="318">AVERAGE(AW76,AS76,AO76,AK76,AG76)</f>
        <v>0.46875963718820868</v>
      </c>
      <c r="BB77" s="1229">
        <f t="shared" si="318"/>
        <v>8.4857337084418713E-2</v>
      </c>
      <c r="BC77" s="1230">
        <f t="shared" si="318"/>
        <v>-5.6168329090225753E-2</v>
      </c>
      <c r="BD77" s="1237">
        <f t="shared" ref="BD77" si="319">AVERAGE(AZ76,AV76,AR76,AN76,AJ76)</f>
        <v>-0.13565203561335243</v>
      </c>
      <c r="BE77" s="1229">
        <f t="shared" ref="BE77" si="320">AVERAGE(BA76,AW76,AS76,AO76,AK76)</f>
        <v>0.48075963718820863</v>
      </c>
      <c r="BF77" s="1229">
        <f t="shared" ref="BF77" si="321">AVERAGE(BB76,AX76,AT76,AP76,AL76)</f>
        <v>3.3934260161341788E-2</v>
      </c>
      <c r="BG77" s="1230">
        <f t="shared" ref="BG77" si="322">AVERAGE(BC76,AY76,AU76,AQ76,AM76)</f>
        <v>-6.185664077853744E-2</v>
      </c>
      <c r="BH77" s="1313">
        <f t="shared" ref="BH77" si="323">AVERAGE(BD76,AZ76,AV76,AR76,AN76)</f>
        <v>-1.3343092523921518E-2</v>
      </c>
      <c r="BI77" s="1308">
        <f t="shared" ref="BI77" si="324">AVERAGE(BE76,BA76,AW76,AS76,AO76)</f>
        <v>0.21588888888888888</v>
      </c>
      <c r="BJ77" s="1308">
        <f t="shared" ref="BJ77" si="325">AVERAGE(BF76,BB76,AX76,AT76,AP76)</f>
        <v>-9.3401598401598347E-3</v>
      </c>
      <c r="BK77" s="1395">
        <f t="shared" ref="BK77" si="326">AVERAGE(BG76,BC76,AY76,AU76,AQ76)</f>
        <v>-5.8327229013831548E-2</v>
      </c>
      <c r="BL77" s="1391"/>
      <c r="BM77" s="241"/>
      <c r="BN77" s="241"/>
      <c r="BO77" s="241"/>
      <c r="BP77" s="241"/>
      <c r="BQ77" s="241"/>
      <c r="BR77" s="241"/>
      <c r="BS77" s="241"/>
      <c r="BT77" s="241"/>
      <c r="BU77" s="629"/>
      <c r="BV77" s="241"/>
      <c r="BW77" s="241"/>
      <c r="BX77" s="241"/>
      <c r="BY77" s="1238"/>
      <c r="BZ77" s="1314"/>
      <c r="CA77" s="1314"/>
      <c r="CB77" s="19"/>
      <c r="CC77" s="629"/>
      <c r="CD77" s="241"/>
      <c r="CE77" s="241"/>
      <c r="CF77" s="241"/>
      <c r="CG77" s="241"/>
      <c r="CH77" s="241"/>
      <c r="CI77" s="629"/>
      <c r="CJ77" s="241"/>
      <c r="CK77" s="1204"/>
      <c r="CL77" s="1199"/>
      <c r="CM77" s="1199"/>
      <c r="CN77" s="1314"/>
      <c r="CO77" s="1314"/>
      <c r="CP77" s="1315"/>
    </row>
    <row r="78" spans="1:95" s="369" customFormat="1" ht="14.25" customHeight="1">
      <c r="A78" s="512"/>
      <c r="B78" s="363" t="s">
        <v>111</v>
      </c>
      <c r="C78" s="364"/>
      <c r="D78" s="361"/>
      <c r="E78" s="362"/>
      <c r="F78" s="362"/>
      <c r="G78" s="365"/>
      <c r="H78" s="361"/>
      <c r="I78" s="362"/>
      <c r="J78" s="362"/>
      <c r="K78" s="365"/>
      <c r="L78" s="361"/>
      <c r="M78" s="362"/>
      <c r="N78" s="362"/>
      <c r="O78" s="365"/>
      <c r="P78" s="361">
        <f t="shared" ref="P78:AZ78" si="327">P75/L75-1</f>
        <v>-0.13764510779436145</v>
      </c>
      <c r="Q78" s="362">
        <f t="shared" si="327"/>
        <v>-0.48198728514245348</v>
      </c>
      <c r="R78" s="362">
        <f t="shared" si="327"/>
        <v>-0.48563450657653029</v>
      </c>
      <c r="S78" s="365">
        <f t="shared" si="327"/>
        <v>-0.29028774203502272</v>
      </c>
      <c r="T78" s="361">
        <f t="shared" si="327"/>
        <v>0.125</v>
      </c>
      <c r="U78" s="362">
        <f t="shared" si="327"/>
        <v>1.2272727272727271</v>
      </c>
      <c r="V78" s="362">
        <f t="shared" si="327"/>
        <v>1.4285714285714284</v>
      </c>
      <c r="W78" s="365">
        <f t="shared" si="327"/>
        <v>0.85869565217391308</v>
      </c>
      <c r="X78" s="361">
        <f t="shared" si="327"/>
        <v>0.41880341880341887</v>
      </c>
      <c r="Y78" s="362">
        <f t="shared" si="327"/>
        <v>0.13605442176870741</v>
      </c>
      <c r="Z78" s="362">
        <f t="shared" si="327"/>
        <v>4.705882352941182E-2</v>
      </c>
      <c r="AA78" s="365">
        <f t="shared" si="327"/>
        <v>-5.8479532163742687E-2</v>
      </c>
      <c r="AB78" s="361">
        <f t="shared" si="327"/>
        <v>-0.31325301204819278</v>
      </c>
      <c r="AC78" s="362">
        <f t="shared" si="327"/>
        <v>-0.25748502994011979</v>
      </c>
      <c r="AD78" s="362">
        <f t="shared" si="327"/>
        <v>-0.1685393258426966</v>
      </c>
      <c r="AE78" s="365">
        <f t="shared" si="327"/>
        <v>-0.18012422360248448</v>
      </c>
      <c r="AF78" s="361">
        <f t="shared" si="327"/>
        <v>9.6491228070175517E-2</v>
      </c>
      <c r="AG78" s="362">
        <f t="shared" si="327"/>
        <v>4.8387096774193505E-2</v>
      </c>
      <c r="AH78" s="362">
        <f t="shared" si="327"/>
        <v>4.0540540540540571E-2</v>
      </c>
      <c r="AI78" s="365">
        <f t="shared" si="327"/>
        <v>0.11818181818181817</v>
      </c>
      <c r="AJ78" s="362">
        <f t="shared" si="327"/>
        <v>-0.55312000000000006</v>
      </c>
      <c r="AK78" s="362">
        <f t="shared" si="327"/>
        <v>2.453846153846162E-2</v>
      </c>
      <c r="AL78" s="362">
        <f t="shared" si="327"/>
        <v>0.10389610389610393</v>
      </c>
      <c r="AM78" s="362">
        <f t="shared" si="327"/>
        <v>0.13143631436314362</v>
      </c>
      <c r="AN78" s="361">
        <f t="shared" si="327"/>
        <v>1.8643036161833155</v>
      </c>
      <c r="AO78" s="362">
        <f t="shared" si="327"/>
        <v>0.65177565883324573</v>
      </c>
      <c r="AP78" s="362">
        <f t="shared" si="327"/>
        <v>2.3529411764705799E-2</v>
      </c>
      <c r="AQ78" s="362">
        <f t="shared" si="327"/>
        <v>-6.5868263473053856E-2</v>
      </c>
      <c r="AR78" s="361">
        <f t="shared" si="327"/>
        <v>-0.125</v>
      </c>
      <c r="AS78" s="362">
        <f t="shared" si="327"/>
        <v>-0.17272727272727273</v>
      </c>
      <c r="AT78" s="362">
        <f t="shared" si="327"/>
        <v>0.16091954022988508</v>
      </c>
      <c r="AU78" s="362">
        <f t="shared" si="327"/>
        <v>3.8461538461538547E-2</v>
      </c>
      <c r="AV78" s="361">
        <f t="shared" si="327"/>
        <v>0.28571428571428581</v>
      </c>
      <c r="AW78" s="362">
        <f t="shared" si="327"/>
        <v>0.23076923076923084</v>
      </c>
      <c r="AX78" s="362">
        <f t="shared" si="327"/>
        <v>0.17821782178217815</v>
      </c>
      <c r="AY78" s="362">
        <f t="shared" si="327"/>
        <v>0.58641975308641969</v>
      </c>
      <c r="AZ78" s="361">
        <f t="shared" si="327"/>
        <v>0.39444444444444438</v>
      </c>
      <c r="BA78" s="362">
        <f t="shared" ref="BA78" si="328">BA75/AW75-1</f>
        <v>0.23258928571428572</v>
      </c>
      <c r="BB78" s="362">
        <f t="shared" ref="BB78" si="329">BB75/AX75-1</f>
        <v>7.8878151260504348E-2</v>
      </c>
      <c r="BC78" s="365">
        <f t="shared" ref="BC78" si="330">BC75/AY75-1</f>
        <v>-7.0821439688715904E-2</v>
      </c>
      <c r="BD78" s="361">
        <f t="shared" ref="BD78" si="331">BD75/AZ75-1</f>
        <v>-5.8123900000000006E-2</v>
      </c>
      <c r="BE78" s="362">
        <f t="shared" ref="BE78" si="332">BE75/BA75-1</f>
        <v>-9.2373940000000099E-2</v>
      </c>
      <c r="BF78" s="362">
        <f t="shared" ref="BF78" si="333">BF75/BB75-1</f>
        <v>3.4498519999999866E-2</v>
      </c>
      <c r="BG78" s="365">
        <f t="shared" ref="BG78" si="334">BG75/BC75-1</f>
        <v>0.11236399999999991</v>
      </c>
      <c r="BH78" s="361">
        <f t="shared" ref="BH78" si="335">BH75/BD75-1</f>
        <v>7.8656000000000059E-2</v>
      </c>
      <c r="BI78" s="362">
        <f t="shared" ref="BI78" si="336">BI75/BE75-1</f>
        <v>2.7775999999999801E-2</v>
      </c>
      <c r="BJ78" s="362">
        <f t="shared" ref="BJ78" si="337">BJ75/BF75-1</f>
        <v>-2.0704000000000056E-2</v>
      </c>
      <c r="BK78" s="1441">
        <f t="shared" ref="BK78" si="338">BK75/BG75-1</f>
        <v>-2.0704000000000056E-2</v>
      </c>
      <c r="BL78" s="1446"/>
      <c r="BM78" s="362"/>
      <c r="BN78" s="301"/>
      <c r="BO78" s="301"/>
      <c r="BP78" s="301">
        <f t="shared" ref="BP78:CA78" si="339">BP75/BO75-1</f>
        <v>-0.35374613123625254</v>
      </c>
      <c r="BQ78" s="301">
        <f t="shared" si="339"/>
        <v>0.82228915662650603</v>
      </c>
      <c r="BR78" s="301">
        <f t="shared" si="339"/>
        <v>0.11074380165289255</v>
      </c>
      <c r="BS78" s="301">
        <f t="shared" si="339"/>
        <v>-0.22916666666666663</v>
      </c>
      <c r="BT78" s="301">
        <f t="shared" si="339"/>
        <v>7.4517374517374613E-2</v>
      </c>
      <c r="BU78" s="632">
        <f t="shared" si="339"/>
        <v>-5.4886812791951289E-2</v>
      </c>
      <c r="BV78" s="301">
        <f t="shared" si="339"/>
        <v>0.34968158920254733</v>
      </c>
      <c r="BW78" s="301">
        <f t="shared" si="339"/>
        <v>-3.3802816901408406E-2</v>
      </c>
      <c r="BX78" s="301">
        <f t="shared" si="339"/>
        <v>0.31049562682215748</v>
      </c>
      <c r="BY78" s="301">
        <f t="shared" si="339"/>
        <v>0.13756606229143498</v>
      </c>
      <c r="BZ78" s="301">
        <f t="shared" si="339"/>
        <v>-4.305248658081462E-3</v>
      </c>
      <c r="CA78" s="301">
        <f t="shared" si="339"/>
        <v>1.4295257057949318E-2</v>
      </c>
      <c r="CB78" s="366"/>
      <c r="CC78" s="632"/>
      <c r="CD78" s="301"/>
      <c r="CE78" s="301">
        <f t="shared" ref="CE78:CP78" si="340">CE75/CD75-1</f>
        <v>3.1221393034825873</v>
      </c>
      <c r="CF78" s="301">
        <f t="shared" si="340"/>
        <v>-0.30601653491038561</v>
      </c>
      <c r="CG78" s="301">
        <f t="shared" si="340"/>
        <v>0.89565217391304341</v>
      </c>
      <c r="CH78" s="301">
        <f t="shared" si="340"/>
        <v>-5.1987767584097844E-2</v>
      </c>
      <c r="CI78" s="632">
        <f t="shared" si="340"/>
        <v>-0.14677419354838706</v>
      </c>
      <c r="CJ78" s="301">
        <f t="shared" si="340"/>
        <v>-7.8525519848771208E-2</v>
      </c>
      <c r="CK78" s="632">
        <f t="shared" si="340"/>
        <v>0.29280351208304278</v>
      </c>
      <c r="CL78" s="301">
        <f t="shared" si="340"/>
        <v>9.4907884923594477E-2</v>
      </c>
      <c r="CM78" s="301">
        <f t="shared" si="340"/>
        <v>5.2173913043478182E-2</v>
      </c>
      <c r="CN78" s="301">
        <f t="shared" si="340"/>
        <v>0.33608815426997252</v>
      </c>
      <c r="CO78" s="301">
        <f t="shared" si="340"/>
        <v>3.9260609381443379E-2</v>
      </c>
      <c r="CP78" s="367">
        <f t="shared" si="340"/>
        <v>2.8550609343738209E-2</v>
      </c>
    </row>
    <row r="79" spans="1:95" s="7" customFormat="1" ht="14.25" customHeight="1">
      <c r="A79" s="511"/>
      <c r="B79" s="35" t="s">
        <v>112</v>
      </c>
      <c r="C79" s="240"/>
      <c r="D79" s="87"/>
      <c r="E79" s="87"/>
      <c r="F79" s="87"/>
      <c r="G79" s="88"/>
      <c r="H79" s="87"/>
      <c r="I79" s="87"/>
      <c r="J79" s="87"/>
      <c r="K79" s="88"/>
      <c r="L79" s="149">
        <f>L75/L$108</f>
        <v>0.3</v>
      </c>
      <c r="M79" s="87">
        <f>M75/M$108</f>
        <v>0.31000000000000005</v>
      </c>
      <c r="N79" s="87">
        <f>N75/N$108</f>
        <v>0.30999999999999994</v>
      </c>
      <c r="O79" s="88">
        <f t="shared" ref="O79:AF79" si="341">O75/O$108</f>
        <v>0.28999999999999998</v>
      </c>
      <c r="P79" s="149">
        <f t="shared" si="341"/>
        <v>0.28260869565217389</v>
      </c>
      <c r="Q79" s="87">
        <f t="shared" si="341"/>
        <v>0.20307692307692307</v>
      </c>
      <c r="R79" s="87">
        <f t="shared" si="341"/>
        <v>0.1928374655647383</v>
      </c>
      <c r="S79" s="88">
        <f t="shared" si="341"/>
        <v>0.21495327102803738</v>
      </c>
      <c r="T79" s="149">
        <f t="shared" si="341"/>
        <v>0.25657894736842107</v>
      </c>
      <c r="U79" s="87">
        <f t="shared" si="341"/>
        <v>0.28543689320388349</v>
      </c>
      <c r="V79" s="87">
        <f t="shared" si="341"/>
        <v>0.30909090909090908</v>
      </c>
      <c r="W79" s="88">
        <f t="shared" si="341"/>
        <v>0.29895104895104896</v>
      </c>
      <c r="X79" s="361">
        <f t="shared" si="341"/>
        <v>0.30181818181818182</v>
      </c>
      <c r="Y79" s="362">
        <f t="shared" si="341"/>
        <v>0.29821428571428571</v>
      </c>
      <c r="Z79" s="87">
        <f t="shared" si="341"/>
        <v>0.29519071310116085</v>
      </c>
      <c r="AA79" s="88">
        <f t="shared" si="341"/>
        <v>0.25842696629213485</v>
      </c>
      <c r="AB79" s="361">
        <f t="shared" si="341"/>
        <v>0.2024866785079929</v>
      </c>
      <c r="AC79" s="362">
        <f t="shared" si="341"/>
        <v>0.21490467937608318</v>
      </c>
      <c r="AD79" s="362">
        <f t="shared" si="341"/>
        <v>0.24422442244224424</v>
      </c>
      <c r="AE79" s="88">
        <f t="shared" si="341"/>
        <v>0.21359223300970873</v>
      </c>
      <c r="AF79" s="361">
        <f t="shared" si="341"/>
        <v>0.2170138888888889</v>
      </c>
      <c r="AG79" s="362">
        <f t="shared" ref="AG79:AL79" si="342">AG75/AG$108</f>
        <v>0.23131672597864769</v>
      </c>
      <c r="AH79" s="362">
        <f t="shared" si="342"/>
        <v>0.2391304347826087</v>
      </c>
      <c r="AI79" s="88">
        <f t="shared" si="342"/>
        <v>0.19999999999999998</v>
      </c>
      <c r="AJ79" s="362">
        <f t="shared" si="342"/>
        <v>8.8265967196536357E-2</v>
      </c>
      <c r="AK79" s="362">
        <f t="shared" si="342"/>
        <v>0.19</v>
      </c>
      <c r="AL79" s="362">
        <f t="shared" si="342"/>
        <v>0.1320901320901321</v>
      </c>
      <c r="AM79" s="362">
        <f>AM75/AM$108</f>
        <v>0.10372670807453416</v>
      </c>
      <c r="AN79" s="361">
        <f>AN75/AN$108</f>
        <v>9.6560048280024138E-2</v>
      </c>
      <c r="AO79" s="362">
        <f t="shared" ref="AO79:AP79" si="343">AO75/AO$108</f>
        <v>0.1337386018237082</v>
      </c>
      <c r="AP79" s="362">
        <f t="shared" si="343"/>
        <v>9.9428571428571422E-2</v>
      </c>
      <c r="AQ79" s="362">
        <f>AQ75/AQ$108</f>
        <v>8.4187803561791688E-2</v>
      </c>
      <c r="AR79" s="361">
        <f>AR75/AR$108</f>
        <v>7.8563411896745233E-2</v>
      </c>
      <c r="AS79" s="362">
        <f t="shared" ref="AS79:AT79" si="344">AS75/AS$108</f>
        <v>5.1094890510948905E-2</v>
      </c>
      <c r="AT79" s="362">
        <f t="shared" si="344"/>
        <v>5.3129931614939507E-2</v>
      </c>
      <c r="AU79" s="362">
        <f>AU75/AU$108</f>
        <v>3.9073806078147609E-2</v>
      </c>
      <c r="AV79" s="361">
        <f>AV75/AV$108</f>
        <v>4.3383947939262472E-2</v>
      </c>
      <c r="AW79" s="362">
        <f>AW75/AW$108</f>
        <v>5.3320637943346821E-2</v>
      </c>
      <c r="AX79" s="362">
        <f t="shared" ref="AX79" si="345">AX75/AX$108</f>
        <v>5.3279605999552275E-2</v>
      </c>
      <c r="AY79" s="362">
        <f>AY75/AY$108</f>
        <v>5.3011551155115515E-2</v>
      </c>
      <c r="AZ79" s="361">
        <f>AZ75/AZ$108</f>
        <v>4.7083098855749392E-2</v>
      </c>
      <c r="BA79" s="1229">
        <f t="shared" ref="BA79:BC79" si="346">BA75/(BA108)</f>
        <v>5.5098342858967392E-2</v>
      </c>
      <c r="BB79" s="1229">
        <f t="shared" si="346"/>
        <v>4.9263196984698589E-2</v>
      </c>
      <c r="BC79" s="1230">
        <f t="shared" si="346"/>
        <v>4.2774313763575364E-2</v>
      </c>
      <c r="BD79" s="1237">
        <f t="shared" ref="BD79:BG79" si="347">BD75/(BD108)</f>
        <v>4.4344531052397253E-2</v>
      </c>
      <c r="BE79" s="1229">
        <f t="shared" si="347"/>
        <v>4.8394075678314497E-2</v>
      </c>
      <c r="BF79" s="1229">
        <f t="shared" si="347"/>
        <v>4.788543368600346E-2</v>
      </c>
      <c r="BG79" s="1230">
        <f t="shared" si="347"/>
        <v>4.2998783509510488E-2</v>
      </c>
      <c r="BH79" s="1313">
        <f t="shared" ref="BH79:BK79" si="348">BH75/(BH108)</f>
        <v>4.320432897546625E-2</v>
      </c>
      <c r="BI79" s="1308">
        <f t="shared" si="348"/>
        <v>4.6103489328367726E-2</v>
      </c>
      <c r="BJ79" s="1308">
        <f t="shared" si="348"/>
        <v>4.47479046511488E-2</v>
      </c>
      <c r="BK79" s="1395">
        <f t="shared" si="348"/>
        <v>4.2076738913144417E-2</v>
      </c>
      <c r="BL79" s="1391"/>
      <c r="BM79" s="301"/>
      <c r="BN79" s="301"/>
      <c r="BO79" s="301">
        <f t="shared" ref="BO79:BU79" si="349">BO75/(BO108)</f>
        <v>0.3023719835197175</v>
      </c>
      <c r="BP79" s="301">
        <f t="shared" si="349"/>
        <v>0.22371967654986524</v>
      </c>
      <c r="BQ79" s="301">
        <f t="shared" si="349"/>
        <v>0.28905876731963687</v>
      </c>
      <c r="BR79" s="301">
        <f t="shared" si="349"/>
        <v>0.28767123287671231</v>
      </c>
      <c r="BS79" s="301">
        <f t="shared" si="349"/>
        <v>0.21912013536379019</v>
      </c>
      <c r="BT79" s="301">
        <f t="shared" si="349"/>
        <v>0.22087301587301589</v>
      </c>
      <c r="BU79" s="632">
        <f t="shared" si="349"/>
        <v>0.12433642332764497</v>
      </c>
      <c r="BV79" s="301">
        <f t="shared" ref="BV79:CA79" si="350">BV75/(BV108)</f>
        <v>0.10282404055032585</v>
      </c>
      <c r="BW79" s="301">
        <f t="shared" si="350"/>
        <v>5.1609990972013242E-2</v>
      </c>
      <c r="BX79" s="301">
        <f t="shared" si="350"/>
        <v>5.0891593546560997E-2</v>
      </c>
      <c r="BY79" s="301">
        <f t="shared" si="350"/>
        <v>4.8382854809300671E-2</v>
      </c>
      <c r="BZ79" s="301">
        <f t="shared" si="350"/>
        <v>4.5797153959412779E-2</v>
      </c>
      <c r="CA79" s="301">
        <f t="shared" si="350"/>
        <v>4.3979235197881612E-2</v>
      </c>
      <c r="CB79" s="19"/>
      <c r="CC79" s="632"/>
      <c r="CD79" s="301">
        <f>CD75/(CD108)</f>
        <v>0.34482758620689652</v>
      </c>
      <c r="CE79" s="301">
        <f>CE75/(CE108)</f>
        <v>0.23974710160304019</v>
      </c>
      <c r="CF79" s="301">
        <f>CF75/(CF108)</f>
        <v>0.18548387096774194</v>
      </c>
      <c r="CG79" s="301">
        <f>CG75/(CG108)</f>
        <v>0.25270479134466772</v>
      </c>
      <c r="CH79" s="301">
        <f>CH75/(CH108)</f>
        <v>0.22270230933314844</v>
      </c>
      <c r="CI79" s="632">
        <f t="shared" ref="CI79:CN79" si="351">CI75/CI$108</f>
        <v>0.22254943205721497</v>
      </c>
      <c r="CJ79" s="301">
        <f t="shared" si="351"/>
        <v>0.18916821247564866</v>
      </c>
      <c r="CK79" s="632">
        <f t="shared" si="351"/>
        <v>0.11992197906755472</v>
      </c>
      <c r="CL79" s="301">
        <f t="shared" si="351"/>
        <v>9.8150782361308683E-2</v>
      </c>
      <c r="CM79" s="301">
        <f t="shared" si="351"/>
        <v>4.6363113864231434E-2</v>
      </c>
      <c r="CN79" s="301">
        <f t="shared" si="351"/>
        <v>5.1467076988380114E-2</v>
      </c>
      <c r="CO79" s="301">
        <f t="shared" ref="CO79" si="352">CO75/CO$108</f>
        <v>4.7692121705001346E-2</v>
      </c>
      <c r="CP79" s="367">
        <f t="shared" ref="CP79" si="353">CP75/CP$108</f>
        <v>4.5465678832734391E-2</v>
      </c>
    </row>
    <row r="80" spans="1:95" s="7" customFormat="1" ht="14.25" customHeight="1">
      <c r="A80" s="511"/>
      <c r="B80" s="35"/>
      <c r="C80" s="240"/>
      <c r="D80" s="87"/>
      <c r="E80" s="87"/>
      <c r="F80" s="87"/>
      <c r="G80" s="88"/>
      <c r="H80" s="87"/>
      <c r="I80" s="87"/>
      <c r="J80" s="87"/>
      <c r="K80" s="88"/>
      <c r="L80" s="87"/>
      <c r="M80" s="87"/>
      <c r="N80" s="87"/>
      <c r="O80" s="88"/>
      <c r="P80" s="87"/>
      <c r="Q80" s="87"/>
      <c r="R80" s="87"/>
      <c r="S80" s="88"/>
      <c r="T80" s="87"/>
      <c r="U80" s="87"/>
      <c r="V80" s="87"/>
      <c r="W80" s="88"/>
      <c r="X80" s="87"/>
      <c r="Y80" s="87"/>
      <c r="Z80" s="87"/>
      <c r="AA80" s="88"/>
      <c r="AB80" s="87"/>
      <c r="AC80" s="87"/>
      <c r="AD80" s="87"/>
      <c r="AE80" s="88"/>
      <c r="AF80" s="87"/>
      <c r="AG80" s="87"/>
      <c r="AH80" s="87"/>
      <c r="AI80" s="22"/>
      <c r="AJ80" s="87"/>
      <c r="AK80" s="87"/>
      <c r="AL80" s="87"/>
      <c r="AM80" s="87"/>
      <c r="AN80" s="149"/>
      <c r="AO80" s="87"/>
      <c r="AP80" s="943"/>
      <c r="AQ80" s="943"/>
      <c r="AR80" s="945"/>
      <c r="AS80" s="1000"/>
      <c r="AT80" s="1177"/>
      <c r="AU80" s="1220"/>
      <c r="AV80" s="1237"/>
      <c r="AW80" s="1229"/>
      <c r="AX80" s="1308"/>
      <c r="AY80" s="1308"/>
      <c r="AZ80" s="1313"/>
      <c r="BA80" s="63"/>
      <c r="BB80" s="63"/>
      <c r="BC80" s="22"/>
      <c r="BD80" s="21"/>
      <c r="BE80" s="63"/>
      <c r="BF80" s="63"/>
      <c r="BG80" s="22"/>
      <c r="BH80" s="21"/>
      <c r="BI80" s="63"/>
      <c r="BJ80" s="63"/>
      <c r="BK80" s="1450"/>
      <c r="BL80" s="1391"/>
      <c r="BM80" s="13"/>
      <c r="BN80" s="13"/>
      <c r="BO80" s="13"/>
      <c r="BP80" s="13"/>
      <c r="BQ80" s="13"/>
      <c r="BR80" s="13"/>
      <c r="BS80" s="13"/>
      <c r="BT80" s="13"/>
      <c r="BU80" s="20"/>
      <c r="BV80" s="13"/>
      <c r="BW80" s="13"/>
      <c r="BX80" s="13"/>
      <c r="BY80" s="13"/>
      <c r="BZ80" s="13"/>
      <c r="CA80" s="13"/>
      <c r="CB80" s="19"/>
      <c r="CC80" s="20"/>
      <c r="CD80" s="13"/>
      <c r="CE80" s="13"/>
      <c r="CF80" s="13"/>
      <c r="CG80" s="13"/>
      <c r="CH80" s="13"/>
      <c r="CI80" s="20"/>
      <c r="CJ80" s="13"/>
      <c r="CK80" s="20"/>
      <c r="CL80" s="13"/>
      <c r="CM80" s="13"/>
      <c r="CN80" s="13"/>
      <c r="CO80" s="13"/>
      <c r="CP80" s="232"/>
    </row>
    <row r="81" spans="1:94" s="7" customFormat="1" ht="14.25" customHeight="1">
      <c r="A81" s="511"/>
      <c r="B81" s="43" t="str">
        <f>$B$75&amp;" Gross Margin"</f>
        <v>Industrial &amp; Other Gross Margin</v>
      </c>
      <c r="C81" s="240"/>
      <c r="D81" s="370"/>
      <c r="E81" s="371"/>
      <c r="F81" s="371"/>
      <c r="G81" s="372"/>
      <c r="H81" s="370"/>
      <c r="I81" s="371"/>
      <c r="J81" s="371"/>
      <c r="K81" s="372"/>
      <c r="L81" s="370">
        <f>L79*L$129</f>
        <v>51.6</v>
      </c>
      <c r="M81" s="371">
        <f t="shared" ref="M81:AJ81" si="354">M79*M$129</f>
        <v>53.940000000000012</v>
      </c>
      <c r="N81" s="371">
        <f t="shared" si="354"/>
        <v>58.279999999999987</v>
      </c>
      <c r="O81" s="372">
        <f t="shared" si="354"/>
        <v>53.36</v>
      </c>
      <c r="P81" s="370">
        <f t="shared" si="354"/>
        <v>46.347826086956516</v>
      </c>
      <c r="Q81" s="371">
        <f t="shared" si="354"/>
        <v>23.353846153846153</v>
      </c>
      <c r="R81" s="371">
        <f t="shared" si="354"/>
        <v>30.46831955922865</v>
      </c>
      <c r="S81" s="372">
        <f t="shared" si="354"/>
        <v>41.271028037383175</v>
      </c>
      <c r="T81" s="370">
        <f t="shared" si="354"/>
        <v>53.625000000000007</v>
      </c>
      <c r="U81" s="371">
        <f t="shared" si="354"/>
        <v>70.788349514563109</v>
      </c>
      <c r="V81" s="371">
        <f t="shared" si="354"/>
        <v>86.545454545454547</v>
      </c>
      <c r="W81" s="372">
        <f t="shared" si="354"/>
        <v>86.994755244755254</v>
      </c>
      <c r="X81" s="373">
        <f t="shared" si="354"/>
        <v>86.32</v>
      </c>
      <c r="Y81" s="352">
        <f t="shared" si="354"/>
        <v>86.482142857142861</v>
      </c>
      <c r="Z81" s="371">
        <f t="shared" si="354"/>
        <v>92.099502487562191</v>
      </c>
      <c r="AA81" s="372">
        <f t="shared" si="354"/>
        <v>82.438202247191015</v>
      </c>
      <c r="AB81" s="373">
        <f t="shared" si="354"/>
        <v>57.708703374777976</v>
      </c>
      <c r="AC81" s="352">
        <f t="shared" si="354"/>
        <v>63.396880415944537</v>
      </c>
      <c r="AD81" s="352">
        <f t="shared" si="354"/>
        <v>75.709570957095707</v>
      </c>
      <c r="AE81" s="372">
        <f t="shared" si="354"/>
        <v>67.495145631067956</v>
      </c>
      <c r="AF81" s="371">
        <f t="shared" si="354"/>
        <v>63.368055555555557</v>
      </c>
      <c r="AG81" s="371">
        <f t="shared" si="354"/>
        <v>66.619217081850536</v>
      </c>
      <c r="AH81" s="371">
        <f t="shared" si="354"/>
        <v>78.434782608695656</v>
      </c>
      <c r="AI81" s="372">
        <f t="shared" si="354"/>
        <v>74.599999999999994</v>
      </c>
      <c r="AJ81" s="371">
        <f t="shared" si="354"/>
        <v>32.305343993932304</v>
      </c>
      <c r="AK81" s="371">
        <f t="shared" ref="AK81:AP81" si="355">AK79*AK$129</f>
        <v>72.39</v>
      </c>
      <c r="AL81" s="371">
        <f t="shared" si="355"/>
        <v>97.086247086247084</v>
      </c>
      <c r="AM81" s="371">
        <f t="shared" si="355"/>
        <v>97.399378881987573</v>
      </c>
      <c r="AN81" s="370">
        <f t="shared" si="355"/>
        <v>94.049487024743513</v>
      </c>
      <c r="AO81" s="371">
        <f t="shared" si="355"/>
        <v>133.47112462006078</v>
      </c>
      <c r="AP81" s="371">
        <f t="shared" si="355"/>
        <v>105.69257142857143</v>
      </c>
      <c r="AQ81" s="371">
        <f t="shared" ref="AQ81:AT81" si="356">AQ79*AQ$129</f>
        <v>96.731786292498654</v>
      </c>
      <c r="AR81" s="370">
        <f t="shared" si="356"/>
        <v>85.555555555555557</v>
      </c>
      <c r="AS81" s="371">
        <f t="shared" si="356"/>
        <v>109.24087591240875</v>
      </c>
      <c r="AT81" s="371">
        <f t="shared" si="356"/>
        <v>122.03945291951605</v>
      </c>
      <c r="AU81" s="371">
        <f t="shared" ref="AU81:AV81" si="357">AU79*AU$129</f>
        <v>98.544138929088277</v>
      </c>
      <c r="AV81" s="370">
        <f t="shared" si="357"/>
        <v>112.3644251626898</v>
      </c>
      <c r="AW81" s="371">
        <f t="shared" ref="AW81:AZ81" si="358">AW79*AW$129</f>
        <v>141.40633182575576</v>
      </c>
      <c r="AX81" s="371">
        <f t="shared" si="358"/>
        <v>150.62144616073428</v>
      </c>
      <c r="AY81" s="371">
        <f t="shared" si="358"/>
        <v>162.63943894389439</v>
      </c>
      <c r="AZ81" s="370">
        <f t="shared" si="358"/>
        <v>162.62502344775839</v>
      </c>
      <c r="BA81" s="371">
        <f t="shared" ref="BA81:BC81" si="359">BA84*BA75</f>
        <v>182.22600000000003</v>
      </c>
      <c r="BB81" s="371">
        <f t="shared" si="359"/>
        <v>169.47018000000003</v>
      </c>
      <c r="BC81" s="372">
        <f t="shared" si="359"/>
        <v>157.60726740000001</v>
      </c>
      <c r="BD81" s="370">
        <f t="shared" ref="BD81:BG81" si="360">BD84*BD75</f>
        <v>155.67657837435002</v>
      </c>
      <c r="BE81" s="371">
        <f t="shared" si="360"/>
        <v>165.64366196472599</v>
      </c>
      <c r="BF81" s="371">
        <f t="shared" si="360"/>
        <v>175.58228168260956</v>
      </c>
      <c r="BG81" s="372">
        <f t="shared" si="360"/>
        <v>175.58228168260956</v>
      </c>
      <c r="BH81" s="370">
        <f t="shared" ref="BH81:BK81" si="361">BH84*BH75</f>
        <v>168.17648135989981</v>
      </c>
      <c r="BI81" s="371">
        <f t="shared" si="361"/>
        <v>170.5021364167645</v>
      </c>
      <c r="BJ81" s="371">
        <f t="shared" si="361"/>
        <v>172.20715778093216</v>
      </c>
      <c r="BK81" s="1397">
        <f t="shared" si="361"/>
        <v>172.20715778093216</v>
      </c>
      <c r="BL81" s="1447"/>
      <c r="BM81" s="357"/>
      <c r="BN81" s="357"/>
      <c r="BO81" s="357">
        <f>SUM(L81:O81)</f>
        <v>217.18</v>
      </c>
      <c r="BP81" s="357">
        <f>SUM(P81:S81)</f>
        <v>141.4410198374145</v>
      </c>
      <c r="BQ81" s="357">
        <f>SUM(T81:W81)</f>
        <v>297.95355930477291</v>
      </c>
      <c r="BR81" s="357">
        <f>SUM(X81:AA81)</f>
        <v>347.33984759189605</v>
      </c>
      <c r="BS81" s="357">
        <f>SUM(AB81:AE81)</f>
        <v>264.31030037888615</v>
      </c>
      <c r="BT81" s="357">
        <f>SUM(AF81:AI81)</f>
        <v>283.02205524610173</v>
      </c>
      <c r="BU81" s="360">
        <f>SUM(AJ81:AM81)</f>
        <v>299.18096996216696</v>
      </c>
      <c r="BV81" s="357">
        <f>SUM(AN81:AQ81)</f>
        <v>429.94496936587439</v>
      </c>
      <c r="BW81" s="357">
        <f>SUM(AR81:AU81)</f>
        <v>415.38002331656861</v>
      </c>
      <c r="BX81" s="357">
        <f>SUM(AV81:AY81)</f>
        <v>567.0316420930742</v>
      </c>
      <c r="BY81" s="357">
        <f>SUM(AZ81:BC81)</f>
        <v>671.92847084775849</v>
      </c>
      <c r="BZ81" s="357">
        <f>SUM(BD81:BG81)</f>
        <v>672.48480370429513</v>
      </c>
      <c r="CA81" s="357">
        <f>SUM(BH81:BK81)</f>
        <v>683.09293333852861</v>
      </c>
      <c r="CB81" s="19"/>
      <c r="CC81" s="360"/>
      <c r="CD81" s="357"/>
      <c r="CE81" s="357"/>
      <c r="CF81" s="357"/>
      <c r="CG81" s="357"/>
      <c r="CH81" s="357"/>
      <c r="CI81" s="360"/>
      <c r="CJ81" s="357">
        <f>SUM(AG81:AJ81)</f>
        <v>251.95934368447848</v>
      </c>
      <c r="CK81" s="360">
        <f>SUM(AK81:AN81)</f>
        <v>360.92511299297814</v>
      </c>
      <c r="CL81" s="357">
        <f>SUM(AO81:AR81)</f>
        <v>421.45103789668639</v>
      </c>
      <c r="CM81" s="357">
        <f>SUM(AS81:AV81)</f>
        <v>442.18889292370284</v>
      </c>
      <c r="CN81" s="357">
        <f>SUM(AW81:AZ81)</f>
        <v>617.29224037814288</v>
      </c>
      <c r="CO81" s="357">
        <f>SUM(BA81:BD81)</f>
        <v>664.98002577435</v>
      </c>
      <c r="CP81" s="358">
        <f>SUM(BE81:BH81)</f>
        <v>684.98470668984487</v>
      </c>
    </row>
    <row r="82" spans="1:94" s="7" customFormat="1" ht="14.25" customHeight="1">
      <c r="A82" s="511"/>
      <c r="B82" s="35" t="s">
        <v>110</v>
      </c>
      <c r="C82" s="240"/>
      <c r="D82" s="149"/>
      <c r="E82" s="87"/>
      <c r="F82" s="87"/>
      <c r="G82" s="88"/>
      <c r="H82" s="149"/>
      <c r="I82" s="87"/>
      <c r="J82" s="87"/>
      <c r="K82" s="88"/>
      <c r="L82" s="149"/>
      <c r="M82" s="87"/>
      <c r="N82" s="87">
        <f t="shared" ref="N82:AZ82" si="362">N81/M81-1</f>
        <v>8.0459770114942097E-2</v>
      </c>
      <c r="O82" s="88">
        <f t="shared" si="362"/>
        <v>-8.4420041180507721E-2</v>
      </c>
      <c r="P82" s="149">
        <f t="shared" si="362"/>
        <v>-0.13141255459226919</v>
      </c>
      <c r="Q82" s="87">
        <f t="shared" si="362"/>
        <v>-0.4961177659113869</v>
      </c>
      <c r="R82" s="87">
        <f t="shared" si="362"/>
        <v>0.3046381892950345</v>
      </c>
      <c r="S82" s="88">
        <f t="shared" si="362"/>
        <v>0.35455544100995406</v>
      </c>
      <c r="T82" s="149">
        <f t="shared" si="362"/>
        <v>0.29933763586956541</v>
      </c>
      <c r="U82" s="87">
        <f t="shared" si="362"/>
        <v>0.3200624618100345</v>
      </c>
      <c r="V82" s="87">
        <f t="shared" si="362"/>
        <v>0.22259460969138378</v>
      </c>
      <c r="W82" s="88">
        <f t="shared" si="362"/>
        <v>5.191499676793887E-3</v>
      </c>
      <c r="X82" s="361">
        <f t="shared" si="362"/>
        <v>-7.756274994473733E-3</v>
      </c>
      <c r="Y82" s="362">
        <f t="shared" si="362"/>
        <v>1.8783926916459137E-3</v>
      </c>
      <c r="Z82" s="87">
        <f t="shared" si="362"/>
        <v>6.4953982924526699E-2</v>
      </c>
      <c r="AA82" s="88">
        <f t="shared" si="362"/>
        <v>-0.10490067784759105</v>
      </c>
      <c r="AB82" s="361">
        <f t="shared" si="362"/>
        <v>-0.29997620275926951</v>
      </c>
      <c r="AC82" s="362">
        <f t="shared" si="362"/>
        <v>9.8567056761365679E-2</v>
      </c>
      <c r="AD82" s="362">
        <f t="shared" si="362"/>
        <v>0.19421603177266888</v>
      </c>
      <c r="AE82" s="88">
        <f t="shared" si="362"/>
        <v>-0.10849916625049727</v>
      </c>
      <c r="AF82" s="361">
        <f t="shared" si="362"/>
        <v>-6.1146472637770066E-2</v>
      </c>
      <c r="AG82" s="362">
        <f t="shared" si="362"/>
        <v>5.1306001072490615E-2</v>
      </c>
      <c r="AH82" s="362">
        <f t="shared" si="362"/>
        <v>0.17735971757710889</v>
      </c>
      <c r="AI82" s="88">
        <f t="shared" si="362"/>
        <v>-4.88913525498893E-2</v>
      </c>
      <c r="AJ82" s="362">
        <f t="shared" si="362"/>
        <v>-0.56695249337892351</v>
      </c>
      <c r="AK82" s="362">
        <f t="shared" si="362"/>
        <v>1.2408057321289174</v>
      </c>
      <c r="AL82" s="362">
        <f t="shared" si="362"/>
        <v>0.34115550609541478</v>
      </c>
      <c r="AM82" s="362">
        <f t="shared" si="362"/>
        <v>3.2252950869788855E-3</v>
      </c>
      <c r="AN82" s="361">
        <f t="shared" si="362"/>
        <v>-3.4393359543934077E-2</v>
      </c>
      <c r="AO82" s="362">
        <f t="shared" si="362"/>
        <v>0.41915845415452191</v>
      </c>
      <c r="AP82" s="362">
        <f t="shared" si="362"/>
        <v>-0.20812406631444702</v>
      </c>
      <c r="AQ82" s="362">
        <f t="shared" si="362"/>
        <v>-8.4781598318180773E-2</v>
      </c>
      <c r="AR82" s="361">
        <f t="shared" si="362"/>
        <v>-0.11553834747916558</v>
      </c>
      <c r="AS82" s="362">
        <f t="shared" si="362"/>
        <v>0.27684140676841396</v>
      </c>
      <c r="AT82" s="362">
        <f t="shared" si="362"/>
        <v>0.11715923092166913</v>
      </c>
      <c r="AU82" s="362">
        <f t="shared" si="362"/>
        <v>-0.19252228216659351</v>
      </c>
      <c r="AV82" s="361">
        <f t="shared" si="362"/>
        <v>0.14024462929800929</v>
      </c>
      <c r="AW82" s="362">
        <f t="shared" si="362"/>
        <v>0.25846175620991141</v>
      </c>
      <c r="AX82" s="362">
        <f t="shared" si="362"/>
        <v>6.5167621675764842E-2</v>
      </c>
      <c r="AY82" s="362">
        <f t="shared" si="362"/>
        <v>7.9789386501675441E-2</v>
      </c>
      <c r="AZ82" s="361">
        <f t="shared" si="362"/>
        <v>-8.8634689283217938E-5</v>
      </c>
      <c r="BA82" s="1229">
        <f t="shared" ref="BA82:BC82" si="363">BA81/AZ81-1</f>
        <v>0.12052866242038229</v>
      </c>
      <c r="BB82" s="1229">
        <f t="shared" si="363"/>
        <v>-6.9999999999999951E-2</v>
      </c>
      <c r="BC82" s="1230">
        <f t="shared" si="363"/>
        <v>-7.0000000000000062E-2</v>
      </c>
      <c r="BD82" s="1237">
        <f t="shared" ref="BD82" si="364">BD81/BC81-1</f>
        <v>-1.2249999999999983E-2</v>
      </c>
      <c r="BE82" s="1229">
        <f t="shared" ref="BE82" si="365">BE81/BD81-1</f>
        <v>6.4024297646165351E-2</v>
      </c>
      <c r="BF82" s="1229">
        <f t="shared" ref="BF82" si="366">BF81/BE81-1</f>
        <v>6.0000000000000053E-2</v>
      </c>
      <c r="BG82" s="1230">
        <f t="shared" ref="BG82" si="367">BG81/BF81-1</f>
        <v>0</v>
      </c>
      <c r="BH82" s="1313">
        <f t="shared" ref="BH82" si="368">BH81/BG81-1</f>
        <v>-4.2178517397881921E-2</v>
      </c>
      <c r="BI82" s="1308">
        <f t="shared" ref="BI82" si="369">BI81/BH81-1</f>
        <v>1.3828658074298561E-2</v>
      </c>
      <c r="BJ82" s="1308">
        <f t="shared" ref="BJ82" si="370">BJ81/BI81-1</f>
        <v>1.0000000000000009E-2</v>
      </c>
      <c r="BK82" s="1395">
        <f t="shared" ref="BK82" si="371">BK81/BJ81-1</f>
        <v>0</v>
      </c>
      <c r="BL82" s="1391"/>
      <c r="BM82" s="241"/>
      <c r="BN82" s="241"/>
      <c r="BO82" s="241"/>
      <c r="BP82" s="241"/>
      <c r="BQ82" s="241"/>
      <c r="BR82" s="241"/>
      <c r="BS82" s="241"/>
      <c r="BT82" s="241"/>
      <c r="BU82" s="629"/>
      <c r="BV82" s="241"/>
      <c r="BW82" s="241"/>
      <c r="BX82" s="241"/>
      <c r="BY82" s="1238"/>
      <c r="BZ82" s="1314"/>
      <c r="CA82" s="1314"/>
      <c r="CB82" s="19"/>
      <c r="CC82" s="629"/>
      <c r="CD82" s="241"/>
      <c r="CE82" s="241"/>
      <c r="CF82" s="241"/>
      <c r="CG82" s="241"/>
      <c r="CH82" s="241"/>
      <c r="CI82" s="629"/>
      <c r="CJ82" s="241"/>
      <c r="CK82" s="1204"/>
      <c r="CL82" s="1199"/>
      <c r="CM82" s="1199"/>
      <c r="CN82" s="1314"/>
      <c r="CO82" s="1314"/>
      <c r="CP82" s="1315"/>
    </row>
    <row r="83" spans="1:94" s="7" customFormat="1" ht="14.25" customHeight="1">
      <c r="A83" s="511"/>
      <c r="B83" s="35" t="s">
        <v>111</v>
      </c>
      <c r="C83" s="240"/>
      <c r="D83" s="149"/>
      <c r="E83" s="87"/>
      <c r="F83" s="87"/>
      <c r="G83" s="88"/>
      <c r="H83" s="149"/>
      <c r="I83" s="87"/>
      <c r="J83" s="362"/>
      <c r="K83" s="365"/>
      <c r="L83" s="361"/>
      <c r="M83" s="362"/>
      <c r="N83" s="362"/>
      <c r="O83" s="365"/>
      <c r="P83" s="361"/>
      <c r="Q83" s="362">
        <f t="shared" ref="Q83:AZ83" si="372">Q81/M81-1</f>
        <v>-0.56704030118935589</v>
      </c>
      <c r="R83" s="362">
        <f t="shared" si="372"/>
        <v>-0.47720796912785424</v>
      </c>
      <c r="S83" s="365">
        <f t="shared" si="372"/>
        <v>-0.22655494682565258</v>
      </c>
      <c r="T83" s="361">
        <f t="shared" si="372"/>
        <v>0.15701219512195141</v>
      </c>
      <c r="U83" s="362">
        <f t="shared" si="372"/>
        <v>2.0311216854061938</v>
      </c>
      <c r="V83" s="362">
        <f t="shared" si="372"/>
        <v>1.8405063291139241</v>
      </c>
      <c r="W83" s="365">
        <f t="shared" si="372"/>
        <v>1.1078892235481912</v>
      </c>
      <c r="X83" s="361">
        <f t="shared" si="372"/>
        <v>0.6096969696969694</v>
      </c>
      <c r="Y83" s="362">
        <f t="shared" si="372"/>
        <v>0.22170022963102287</v>
      </c>
      <c r="Z83" s="362">
        <f t="shared" si="372"/>
        <v>6.4174923700823561E-2</v>
      </c>
      <c r="AA83" s="365">
        <f t="shared" si="372"/>
        <v>-5.2377329929196415E-2</v>
      </c>
      <c r="AB83" s="361">
        <f t="shared" si="372"/>
        <v>-0.33145617035706698</v>
      </c>
      <c r="AC83" s="362">
        <f t="shared" si="372"/>
        <v>-0.26693675339812228</v>
      </c>
      <c r="AD83" s="362">
        <f t="shared" si="372"/>
        <v>-0.17795895838503473</v>
      </c>
      <c r="AE83" s="365">
        <f t="shared" si="372"/>
        <v>-0.18126373706350718</v>
      </c>
      <c r="AF83" s="361">
        <f t="shared" si="372"/>
        <v>9.8067567798638899E-2</v>
      </c>
      <c r="AG83" s="362">
        <f t="shared" si="372"/>
        <v>5.08280004436239E-2</v>
      </c>
      <c r="AH83" s="362">
        <f t="shared" si="372"/>
        <v>3.5995602896023771E-2</v>
      </c>
      <c r="AI83" s="88">
        <f t="shared" si="372"/>
        <v>0.10526467203682399</v>
      </c>
      <c r="AJ83" s="362">
        <f t="shared" si="372"/>
        <v>-0.49019511943821903</v>
      </c>
      <c r="AK83" s="362">
        <f t="shared" si="372"/>
        <v>8.662339743589742E-2</v>
      </c>
      <c r="AL83" s="362">
        <f t="shared" si="372"/>
        <v>0.2377958331395138</v>
      </c>
      <c r="AM83" s="362">
        <f t="shared" si="372"/>
        <v>0.30562170083093276</v>
      </c>
      <c r="AN83" s="361">
        <f t="shared" si="372"/>
        <v>1.9112671588455519</v>
      </c>
      <c r="AO83" s="362">
        <f t="shared" si="372"/>
        <v>0.84377848625584706</v>
      </c>
      <c r="AP83" s="362">
        <f t="shared" si="372"/>
        <v>8.8646173898130787E-2</v>
      </c>
      <c r="AQ83" s="362">
        <f t="shared" si="372"/>
        <v>-6.8541770712706729E-3</v>
      </c>
      <c r="AR83" s="361">
        <f t="shared" si="372"/>
        <v>-9.0313426876568514E-2</v>
      </c>
      <c r="AS83" s="362">
        <f t="shared" si="372"/>
        <v>-0.18153925634946066</v>
      </c>
      <c r="AT83" s="362">
        <f t="shared" si="372"/>
        <v>0.15466443166246635</v>
      </c>
      <c r="AU83" s="362">
        <f t="shared" si="372"/>
        <v>1.8735854118411499E-2</v>
      </c>
      <c r="AV83" s="361">
        <f t="shared" si="372"/>
        <v>0.31335042397949109</v>
      </c>
      <c r="AW83" s="362">
        <f t="shared" si="372"/>
        <v>0.29444523988564342</v>
      </c>
      <c r="AX83" s="362">
        <f t="shared" si="372"/>
        <v>0.23420289551828621</v>
      </c>
      <c r="AY83" s="362">
        <f t="shared" si="372"/>
        <v>0.6504222444008434</v>
      </c>
      <c r="AZ83" s="361">
        <f t="shared" si="372"/>
        <v>0.44729991910070699</v>
      </c>
      <c r="BA83" s="1229">
        <f t="shared" ref="BA83:BC83" si="373">BA81/AW81-1</f>
        <v>0.28866930955074377</v>
      </c>
      <c r="BB83" s="1229">
        <f t="shared" si="373"/>
        <v>0.12513977471144111</v>
      </c>
      <c r="BC83" s="1230">
        <f t="shared" si="373"/>
        <v>-3.0940659759840394E-2</v>
      </c>
      <c r="BD83" s="1237">
        <f t="shared" ref="BD83" si="374">BD81/AZ81-1</f>
        <v>-4.2726789064171933E-2</v>
      </c>
      <c r="BE83" s="1229">
        <f t="shared" ref="BE83" si="375">BE81/BA81-1</f>
        <v>-9.0998749000000156E-2</v>
      </c>
      <c r="BF83" s="1229">
        <f t="shared" ref="BF83" si="376">BF81/BB81-1</f>
        <v>3.6065941999999795E-2</v>
      </c>
      <c r="BG83" s="1230">
        <f t="shared" ref="BG83" si="377">BG81/BC81-1</f>
        <v>0.11404939999999986</v>
      </c>
      <c r="BH83" s="1313">
        <f t="shared" ref="BH83" si="378">BH81/BD81-1</f>
        <v>8.0294050113895121E-2</v>
      </c>
      <c r="BI83" s="1308">
        <f t="shared" ref="BI83" si="379">BI81/BE81-1</f>
        <v>2.9330880484114807E-2</v>
      </c>
      <c r="BJ83" s="1308">
        <f t="shared" ref="BJ83" si="380">BJ81/BF81-1</f>
        <v>-1.9222462934947115E-2</v>
      </c>
      <c r="BK83" s="1395">
        <f t="shared" ref="BK83" si="381">BK81/BG81-1</f>
        <v>-1.9222462934947115E-2</v>
      </c>
      <c r="BL83" s="1391"/>
      <c r="BM83" s="362"/>
      <c r="BN83" s="301"/>
      <c r="BO83" s="301"/>
      <c r="BP83" s="301">
        <f t="shared" ref="BP83:CA83" si="382">BP81/BO81-1</f>
        <v>-0.34873828235834559</v>
      </c>
      <c r="BQ83" s="301">
        <f t="shared" si="382"/>
        <v>1.1065569213744961</v>
      </c>
      <c r="BR83" s="301">
        <f t="shared" si="382"/>
        <v>0.16575163056403208</v>
      </c>
      <c r="BS83" s="301">
        <f t="shared" si="382"/>
        <v>-0.23904411713384732</v>
      </c>
      <c r="BT83" s="301">
        <f t="shared" si="382"/>
        <v>7.0794648715515329E-2</v>
      </c>
      <c r="BU83" s="632">
        <f t="shared" si="382"/>
        <v>5.709418900945451E-2</v>
      </c>
      <c r="BV83" s="301">
        <f t="shared" si="382"/>
        <v>0.43707325175208589</v>
      </c>
      <c r="BW83" s="301">
        <f t="shared" si="382"/>
        <v>-3.3876302985443973E-2</v>
      </c>
      <c r="BX83" s="301">
        <f t="shared" si="382"/>
        <v>0.36509126646403289</v>
      </c>
      <c r="BY83" s="301">
        <f t="shared" si="382"/>
        <v>0.18499290157332382</v>
      </c>
      <c r="BZ83" s="301">
        <f t="shared" si="382"/>
        <v>8.2796440495336299E-4</v>
      </c>
      <c r="CA83" s="301">
        <f t="shared" si="382"/>
        <v>1.5774526912429865E-2</v>
      </c>
      <c r="CB83" s="19"/>
      <c r="CC83" s="632"/>
      <c r="CD83" s="301"/>
      <c r="CE83" s="301"/>
      <c r="CF83" s="301"/>
      <c r="CG83" s="301"/>
      <c r="CH83" s="301"/>
      <c r="CI83" s="632"/>
      <c r="CJ83" s="301"/>
      <c r="CK83" s="632"/>
      <c r="CL83" s="301"/>
      <c r="CM83" s="301"/>
      <c r="CN83" s="301"/>
      <c r="CO83" s="301"/>
      <c r="CP83" s="367"/>
    </row>
    <row r="84" spans="1:94" s="7" customFormat="1" ht="14.25" customHeight="1">
      <c r="A84" s="511"/>
      <c r="B84" s="35" t="s">
        <v>203</v>
      </c>
      <c r="C84" s="240"/>
      <c r="D84" s="149"/>
      <c r="E84" s="87"/>
      <c r="F84" s="87"/>
      <c r="G84" s="88"/>
      <c r="H84" s="149"/>
      <c r="I84" s="87"/>
      <c r="J84" s="87"/>
      <c r="K84" s="88"/>
      <c r="L84" s="149"/>
      <c r="M84" s="87">
        <f t="shared" ref="M84:AI84" si="383">M81/M75</f>
        <v>0.42335766423357674</v>
      </c>
      <c r="N84" s="87">
        <f t="shared" si="383"/>
        <v>0.42824601366742587</v>
      </c>
      <c r="O84" s="88">
        <f t="shared" si="383"/>
        <v>0.4116331096196868</v>
      </c>
      <c r="P84" s="149">
        <f t="shared" si="383"/>
        <v>0.4456521739130434</v>
      </c>
      <c r="Q84" s="87">
        <f t="shared" si="383"/>
        <v>0.35384615384615381</v>
      </c>
      <c r="R84" s="87">
        <f t="shared" si="383"/>
        <v>0.43526170798898073</v>
      </c>
      <c r="S84" s="88">
        <f t="shared" si="383"/>
        <v>0.44859813084112149</v>
      </c>
      <c r="T84" s="149">
        <f t="shared" si="383"/>
        <v>0.45833333333333337</v>
      </c>
      <c r="U84" s="87">
        <f t="shared" si="383"/>
        <v>0.48155339805825242</v>
      </c>
      <c r="V84" s="87">
        <f t="shared" si="383"/>
        <v>0.50909090909090915</v>
      </c>
      <c r="W84" s="88">
        <f t="shared" si="383"/>
        <v>0.50874125874125875</v>
      </c>
      <c r="X84" s="361">
        <f t="shared" si="383"/>
        <v>0.51999999999999991</v>
      </c>
      <c r="Y84" s="362">
        <f t="shared" si="383"/>
        <v>0.5178571428571429</v>
      </c>
      <c r="Z84" s="87">
        <f t="shared" si="383"/>
        <v>0.51741293532338306</v>
      </c>
      <c r="AA84" s="88">
        <f t="shared" si="383"/>
        <v>0.51203852327447841</v>
      </c>
      <c r="AB84" s="361">
        <f t="shared" si="383"/>
        <v>0.50621669626998222</v>
      </c>
      <c r="AC84" s="362">
        <f t="shared" si="383"/>
        <v>0.51126516464471405</v>
      </c>
      <c r="AD84" s="362">
        <f t="shared" si="383"/>
        <v>0.51155115511551152</v>
      </c>
      <c r="AE84" s="88">
        <f t="shared" si="383"/>
        <v>0.51132686084142387</v>
      </c>
      <c r="AF84" s="149">
        <f t="shared" si="383"/>
        <v>0.50694444444444442</v>
      </c>
      <c r="AG84" s="87">
        <f t="shared" si="383"/>
        <v>0.51245551601423489</v>
      </c>
      <c r="AH84" s="87">
        <f t="shared" si="383"/>
        <v>0.50931677018633548</v>
      </c>
      <c r="AI84" s="88">
        <f t="shared" si="383"/>
        <v>0.50542005420054203</v>
      </c>
      <c r="AJ84" s="87">
        <f t="shared" ref="AJ84:AO84" si="384">AJ81/AJ75</f>
        <v>0.57832696014916407</v>
      </c>
      <c r="AK84" s="87">
        <f t="shared" si="384"/>
        <v>0.54350927246790304</v>
      </c>
      <c r="AL84" s="87">
        <f t="shared" si="384"/>
        <v>0.57109557109557108</v>
      </c>
      <c r="AM84" s="87">
        <f t="shared" si="384"/>
        <v>0.58322981366459625</v>
      </c>
      <c r="AN84" s="149">
        <f t="shared" si="384"/>
        <v>0.58780929390464698</v>
      </c>
      <c r="AO84" s="87">
        <f t="shared" si="384"/>
        <v>0.60668693009118535</v>
      </c>
      <c r="AP84" s="943">
        <f t="shared" ref="AP84:AS84" si="385">AP81/AP75</f>
        <v>0.60742857142857143</v>
      </c>
      <c r="AQ84" s="943">
        <f t="shared" si="385"/>
        <v>0.62007555315704266</v>
      </c>
      <c r="AR84" s="945">
        <f t="shared" si="385"/>
        <v>0.61111111111111116</v>
      </c>
      <c r="AS84" s="1000">
        <f t="shared" si="385"/>
        <v>0.60022459292532282</v>
      </c>
      <c r="AT84" s="1177">
        <f t="shared" ref="AT84:AV84" si="386">AT81/AT75</f>
        <v>0.6041557075223567</v>
      </c>
      <c r="AU84" s="1220">
        <f t="shared" si="386"/>
        <v>0.608297153883261</v>
      </c>
      <c r="AV84" s="1237">
        <f t="shared" si="386"/>
        <v>0.62424680645938779</v>
      </c>
      <c r="AW84" s="1229">
        <f t="shared" ref="AW84:AZ84" si="387">AW81/AW75</f>
        <v>0.63127826707926682</v>
      </c>
      <c r="AX84" s="1308">
        <f t="shared" si="387"/>
        <v>0.63286321916274912</v>
      </c>
      <c r="AY84" s="1308">
        <f t="shared" si="387"/>
        <v>0.63283828382838281</v>
      </c>
      <c r="AZ84" s="1313">
        <f t="shared" si="387"/>
        <v>0.6479084599512287</v>
      </c>
      <c r="BA84" s="800">
        <v>0.66</v>
      </c>
      <c r="BB84" s="800">
        <f>BA84</f>
        <v>0.66</v>
      </c>
      <c r="BC84" s="779">
        <f>BB84</f>
        <v>0.66</v>
      </c>
      <c r="BD84" s="1480">
        <f>BC84-0.15%</f>
        <v>0.65850000000000009</v>
      </c>
      <c r="BE84" s="800">
        <f>BD84+0.25%</f>
        <v>0.66100000000000003</v>
      </c>
      <c r="BF84" s="800">
        <f>BE84</f>
        <v>0.66100000000000003</v>
      </c>
      <c r="BG84" s="779">
        <f>BF84</f>
        <v>0.66100000000000003</v>
      </c>
      <c r="BH84" s="1480">
        <f>BG84-0.15%</f>
        <v>0.65950000000000009</v>
      </c>
      <c r="BI84" s="800">
        <f>BH84+0.25%</f>
        <v>0.66200000000000003</v>
      </c>
      <c r="BJ84" s="800">
        <f>BI84</f>
        <v>0.66200000000000003</v>
      </c>
      <c r="BK84" s="1448">
        <f>BJ84</f>
        <v>0.66200000000000003</v>
      </c>
      <c r="BL84" s="1391"/>
      <c r="BM84" s="301"/>
      <c r="BN84" s="301"/>
      <c r="BO84" s="301">
        <f t="shared" ref="BO84:BT84" si="388">BO81/BO75</f>
        <v>0.4227512506569599</v>
      </c>
      <c r="BP84" s="301">
        <f t="shared" si="388"/>
        <v>0.42602716818498343</v>
      </c>
      <c r="BQ84" s="301">
        <f t="shared" si="388"/>
        <v>0.49248522199136019</v>
      </c>
      <c r="BR84" s="301">
        <f t="shared" si="388"/>
        <v>0.5168747732022263</v>
      </c>
      <c r="BS84" s="301">
        <f t="shared" si="388"/>
        <v>0.51025154513298487</v>
      </c>
      <c r="BT84" s="301">
        <f t="shared" si="388"/>
        <v>0.50848374999299628</v>
      </c>
      <c r="BU84" s="632">
        <f t="shared" ref="BU84:BZ84" si="389">BU81/BU75</f>
        <v>0.56873105210943253</v>
      </c>
      <c r="BV84" s="301">
        <f t="shared" si="389"/>
        <v>0.60555629488151319</v>
      </c>
      <c r="BW84" s="301">
        <f t="shared" si="389"/>
        <v>0.60551023807079973</v>
      </c>
      <c r="BX84" s="301">
        <f t="shared" si="389"/>
        <v>0.63073597563189565</v>
      </c>
      <c r="BY84" s="301">
        <f t="shared" si="389"/>
        <v>0.6570323066646121</v>
      </c>
      <c r="BZ84" s="301">
        <f t="shared" si="389"/>
        <v>0.66041957652303118</v>
      </c>
      <c r="CA84" s="301">
        <f t="shared" ref="CA84" si="390">CA81/CA75</f>
        <v>0.66138274653103557</v>
      </c>
      <c r="CB84" s="19"/>
      <c r="CC84" s="632"/>
      <c r="CD84" s="301"/>
      <c r="CE84" s="301"/>
      <c r="CF84" s="301"/>
      <c r="CG84" s="301"/>
      <c r="CH84" s="301"/>
      <c r="CI84" s="632"/>
      <c r="CJ84" s="301">
        <f t="shared" ref="CJ84:CO84" si="391">CJ81/CJ75</f>
        <v>0.51688209019094589</v>
      </c>
      <c r="CK84" s="632">
        <f t="shared" si="391"/>
        <v>0.57272427838108841</v>
      </c>
      <c r="CL84" s="301">
        <f t="shared" si="391"/>
        <v>0.61079860564737154</v>
      </c>
      <c r="CM84" s="301">
        <f t="shared" si="391"/>
        <v>0.60907561008774491</v>
      </c>
      <c r="CN84" s="301">
        <f t="shared" si="391"/>
        <v>0.63638375296715766</v>
      </c>
      <c r="CO84" s="301">
        <f t="shared" si="391"/>
        <v>0.65964822695637615</v>
      </c>
      <c r="CP84" s="367">
        <f t="shared" ref="CP84" si="392">CP81/CP75</f>
        <v>0.660631090487239</v>
      </c>
    </row>
    <row r="85" spans="1:94" s="7" customFormat="1" ht="14.25" customHeight="1">
      <c r="A85" s="511"/>
      <c r="B85" s="374"/>
      <c r="C85" s="266"/>
      <c r="D85" s="242"/>
      <c r="E85" s="242"/>
      <c r="F85" s="242"/>
      <c r="G85" s="243"/>
      <c r="H85" s="242"/>
      <c r="I85" s="242"/>
      <c r="J85" s="242"/>
      <c r="K85" s="243"/>
      <c r="L85" s="242"/>
      <c r="M85" s="242"/>
      <c r="N85" s="242"/>
      <c r="O85" s="243"/>
      <c r="P85" s="242"/>
      <c r="Q85" s="242"/>
      <c r="R85" s="242"/>
      <c r="S85" s="243"/>
      <c r="T85" s="242"/>
      <c r="U85" s="242"/>
      <c r="V85" s="242"/>
      <c r="W85" s="243"/>
      <c r="X85" s="242"/>
      <c r="Y85" s="242"/>
      <c r="Z85" s="242"/>
      <c r="AA85" s="243"/>
      <c r="AB85" s="242"/>
      <c r="AC85" s="242"/>
      <c r="AD85" s="242"/>
      <c r="AE85" s="243"/>
      <c r="AF85" s="242"/>
      <c r="AG85" s="242"/>
      <c r="AH85" s="242"/>
      <c r="AI85" s="376"/>
      <c r="AJ85" s="378"/>
      <c r="AK85" s="378"/>
      <c r="AL85" s="378"/>
      <c r="AM85" s="378"/>
      <c r="AN85" s="379"/>
      <c r="AO85" s="378"/>
      <c r="AP85" s="378"/>
      <c r="AQ85" s="378"/>
      <c r="AR85" s="1037"/>
      <c r="AS85" s="1036"/>
      <c r="AT85" s="1036"/>
      <c r="AU85" s="1036"/>
      <c r="AV85" s="1251"/>
      <c r="AW85" s="1250"/>
      <c r="AX85" s="1250"/>
      <c r="AY85" s="1249"/>
      <c r="AZ85" s="1251"/>
      <c r="BA85" s="1250"/>
      <c r="BB85" s="1250"/>
      <c r="BC85" s="1249"/>
      <c r="BD85" s="1251"/>
      <c r="BE85" s="1250"/>
      <c r="BF85" s="1250"/>
      <c r="BG85" s="1249"/>
      <c r="BH85" s="1251"/>
      <c r="BI85" s="1250"/>
      <c r="BJ85" s="1250"/>
      <c r="BK85" s="1249"/>
      <c r="BL85" s="1391"/>
      <c r="BM85" s="267"/>
      <c r="BN85" s="267"/>
      <c r="BO85" s="267"/>
      <c r="BP85" s="267"/>
      <c r="BQ85" s="267"/>
      <c r="BR85" s="267"/>
      <c r="BS85" s="267"/>
      <c r="BT85" s="267"/>
      <c r="BU85" s="269"/>
      <c r="BV85" s="267"/>
      <c r="BW85" s="267"/>
      <c r="BX85" s="267"/>
      <c r="BY85" s="1239"/>
      <c r="BZ85" s="1239"/>
      <c r="CA85" s="1239"/>
      <c r="CB85" s="19"/>
      <c r="CC85" s="269"/>
      <c r="CD85" s="267"/>
      <c r="CE85" s="267"/>
      <c r="CF85" s="267"/>
      <c r="CG85" s="267"/>
      <c r="CH85" s="267"/>
      <c r="CI85" s="269"/>
      <c r="CJ85" s="267"/>
      <c r="CK85" s="1201"/>
      <c r="CL85" s="1200"/>
      <c r="CM85" s="1200"/>
      <c r="CN85" s="1239"/>
      <c r="CO85" s="1239"/>
      <c r="CP85" s="1240"/>
    </row>
    <row r="86" spans="1:94" s="100" customFormat="1" ht="14.25" hidden="1" customHeight="1" outlineLevel="1">
      <c r="A86" s="510"/>
      <c r="B86" s="346" t="str">
        <f>$B$166&amp;" Revenue"</f>
        <v>Consumer and Computing Peripherals Revenue</v>
      </c>
      <c r="C86" s="347"/>
      <c r="D86" s="349"/>
      <c r="E86" s="349"/>
      <c r="F86" s="349"/>
      <c r="G86" s="350"/>
      <c r="H86" s="349"/>
      <c r="I86" s="349"/>
      <c r="J86" s="349"/>
      <c r="K86" s="350"/>
      <c r="L86" s="349">
        <f t="shared" ref="L86:AE86" si="393">L$166</f>
        <v>52.260000000000005</v>
      </c>
      <c r="M86" s="349">
        <f t="shared" si="393"/>
        <v>45.21</v>
      </c>
      <c r="N86" s="349">
        <f t="shared" si="393"/>
        <v>48.29</v>
      </c>
      <c r="O86" s="350">
        <f t="shared" si="393"/>
        <v>53.64</v>
      </c>
      <c r="P86" s="349">
        <f t="shared" si="393"/>
        <v>37</v>
      </c>
      <c r="Q86" s="349">
        <f t="shared" si="393"/>
        <v>28</v>
      </c>
      <c r="R86" s="349">
        <f t="shared" si="393"/>
        <v>38</v>
      </c>
      <c r="S86" s="350">
        <f t="shared" si="393"/>
        <v>43</v>
      </c>
      <c r="T86" s="349">
        <f t="shared" si="393"/>
        <v>46</v>
      </c>
      <c r="U86" s="349">
        <f t="shared" si="393"/>
        <v>48</v>
      </c>
      <c r="V86" s="349">
        <f t="shared" si="393"/>
        <v>50</v>
      </c>
      <c r="W86" s="350">
        <f t="shared" si="393"/>
        <v>39</v>
      </c>
      <c r="X86" s="349">
        <f t="shared" si="393"/>
        <v>29</v>
      </c>
      <c r="Y86" s="349">
        <f t="shared" si="393"/>
        <v>30</v>
      </c>
      <c r="Z86" s="349">
        <f t="shared" si="393"/>
        <v>33</v>
      </c>
      <c r="AA86" s="350">
        <f t="shared" si="393"/>
        <v>26</v>
      </c>
      <c r="AB86" s="349">
        <f t="shared" si="393"/>
        <v>33</v>
      </c>
      <c r="AC86" s="349">
        <f t="shared" si="393"/>
        <v>30</v>
      </c>
      <c r="AD86" s="349">
        <f t="shared" si="393"/>
        <v>44</v>
      </c>
      <c r="AE86" s="350">
        <f t="shared" si="393"/>
        <v>13</v>
      </c>
      <c r="AF86" s="349"/>
      <c r="AG86" s="349"/>
      <c r="AH86" s="349"/>
      <c r="AI86" s="350"/>
      <c r="AJ86" s="352"/>
      <c r="AK86" s="352"/>
      <c r="AL86" s="352"/>
      <c r="AM86" s="352"/>
      <c r="AN86" s="373"/>
      <c r="AO86" s="352"/>
      <c r="AP86" s="352"/>
      <c r="AQ86" s="352"/>
      <c r="AR86" s="373"/>
      <c r="AS86" s="352"/>
      <c r="AT86" s="352"/>
      <c r="AU86" s="352"/>
      <c r="AV86" s="373"/>
      <c r="AW86" s="352"/>
      <c r="AX86" s="352"/>
      <c r="AY86" s="351"/>
      <c r="AZ86" s="373"/>
      <c r="BA86" s="352"/>
      <c r="BB86" s="352"/>
      <c r="BC86" s="351"/>
      <c r="BD86" s="373"/>
      <c r="BE86" s="352"/>
      <c r="BF86" s="352"/>
      <c r="BG86" s="351"/>
      <c r="BH86" s="373"/>
      <c r="BI86" s="352"/>
      <c r="BJ86" s="352"/>
      <c r="BK86" s="1449"/>
      <c r="BL86" s="1445"/>
      <c r="BM86" s="357"/>
      <c r="BN86" s="357"/>
      <c r="BO86" s="357">
        <f>SUM(L86:O86)</f>
        <v>199.39999999999998</v>
      </c>
      <c r="BP86" s="357">
        <f>SUM(P86:S86)</f>
        <v>146</v>
      </c>
      <c r="BQ86" s="357">
        <f>SUM(T86:W86)</f>
        <v>183</v>
      </c>
      <c r="BR86" s="357">
        <f>SUM(X86:AA86)</f>
        <v>118</v>
      </c>
      <c r="BS86" s="357">
        <f>SUM(AB86:AE86)</f>
        <v>120</v>
      </c>
      <c r="BT86" s="357"/>
      <c r="BU86" s="360"/>
      <c r="BV86" s="357"/>
      <c r="BW86" s="357"/>
      <c r="BX86" s="357"/>
      <c r="BY86" s="357"/>
      <c r="BZ86" s="357"/>
      <c r="CA86" s="357"/>
      <c r="CB86" s="356"/>
      <c r="CC86" s="360"/>
      <c r="CD86" s="357">
        <f>SUM(I86:L86)</f>
        <v>52.260000000000005</v>
      </c>
      <c r="CE86" s="357">
        <f>SUM(M86:P86)</f>
        <v>184.14</v>
      </c>
      <c r="CF86" s="357">
        <f>SUM(Q86:T86)</f>
        <v>155</v>
      </c>
      <c r="CG86" s="357">
        <f>SUM(U86:X86)</f>
        <v>166</v>
      </c>
      <c r="CH86" s="357">
        <f>SUM(Y86:AB86)</f>
        <v>122</v>
      </c>
      <c r="CI86" s="360">
        <f>SUM(AC86:AF86)</f>
        <v>87</v>
      </c>
      <c r="CJ86" s="357"/>
      <c r="CK86" s="360"/>
      <c r="CL86" s="357"/>
      <c r="CM86" s="357"/>
      <c r="CN86" s="357"/>
      <c r="CO86" s="357"/>
      <c r="CP86" s="358"/>
    </row>
    <row r="87" spans="1:94" s="7" customFormat="1" ht="14.25" hidden="1" customHeight="1" outlineLevel="1">
      <c r="A87" s="511"/>
      <c r="B87" s="35" t="s">
        <v>110</v>
      </c>
      <c r="C87" s="240"/>
      <c r="D87" s="149"/>
      <c r="E87" s="87"/>
      <c r="F87" s="87"/>
      <c r="G87" s="88"/>
      <c r="H87" s="149"/>
      <c r="I87" s="87"/>
      <c r="J87" s="87"/>
      <c r="K87" s="88"/>
      <c r="L87" s="149"/>
      <c r="M87" s="87">
        <f t="shared" ref="M87:AE87" si="394">M86/L86-1</f>
        <v>-0.13490241102181411</v>
      </c>
      <c r="N87" s="87">
        <f t="shared" si="394"/>
        <v>6.8126520681265124E-2</v>
      </c>
      <c r="O87" s="88">
        <f t="shared" si="394"/>
        <v>0.1107889832263409</v>
      </c>
      <c r="P87" s="149">
        <f t="shared" si="394"/>
        <v>-0.31021625652498142</v>
      </c>
      <c r="Q87" s="87">
        <f t="shared" si="394"/>
        <v>-0.2432432432432432</v>
      </c>
      <c r="R87" s="87">
        <f t="shared" si="394"/>
        <v>0.35714285714285721</v>
      </c>
      <c r="S87" s="88">
        <f t="shared" si="394"/>
        <v>0.13157894736842102</v>
      </c>
      <c r="T87" s="149">
        <f t="shared" si="394"/>
        <v>6.9767441860465018E-2</v>
      </c>
      <c r="U87" s="87">
        <f t="shared" si="394"/>
        <v>4.3478260869565188E-2</v>
      </c>
      <c r="V87" s="87">
        <f t="shared" si="394"/>
        <v>4.1666666666666741E-2</v>
      </c>
      <c r="W87" s="88">
        <f t="shared" si="394"/>
        <v>-0.21999999999999997</v>
      </c>
      <c r="X87" s="361">
        <f t="shared" si="394"/>
        <v>-0.25641025641025639</v>
      </c>
      <c r="Y87" s="362">
        <f t="shared" si="394"/>
        <v>3.4482758620689724E-2</v>
      </c>
      <c r="Z87" s="87">
        <f t="shared" si="394"/>
        <v>0.10000000000000009</v>
      </c>
      <c r="AA87" s="88">
        <f t="shared" si="394"/>
        <v>-0.21212121212121215</v>
      </c>
      <c r="AB87" s="361">
        <f t="shared" si="394"/>
        <v>0.26923076923076916</v>
      </c>
      <c r="AC87" s="362">
        <f t="shared" si="394"/>
        <v>-9.0909090909090939E-2</v>
      </c>
      <c r="AD87" s="362">
        <f t="shared" si="394"/>
        <v>0.46666666666666656</v>
      </c>
      <c r="AE87" s="88">
        <f t="shared" si="394"/>
        <v>-0.70454545454545459</v>
      </c>
      <c r="AF87" s="361"/>
      <c r="AG87" s="362"/>
      <c r="AH87" s="362"/>
      <c r="AI87" s="88"/>
      <c r="AJ87" s="89"/>
      <c r="AK87" s="89"/>
      <c r="AL87" s="89"/>
      <c r="AM87" s="89"/>
      <c r="AN87" s="91"/>
      <c r="AO87" s="89"/>
      <c r="AP87" s="89"/>
      <c r="AQ87" s="89"/>
      <c r="AR87" s="91"/>
      <c r="AS87" s="89"/>
      <c r="AT87" s="89"/>
      <c r="AU87" s="89"/>
      <c r="AV87" s="1233"/>
      <c r="AW87" s="1231"/>
      <c r="AX87" s="1231"/>
      <c r="AY87" s="1232"/>
      <c r="AZ87" s="1233"/>
      <c r="BA87" s="1231"/>
      <c r="BB87" s="1231"/>
      <c r="BC87" s="1232"/>
      <c r="BD87" s="1233"/>
      <c r="BE87" s="1231"/>
      <c r="BF87" s="1231"/>
      <c r="BG87" s="1232"/>
      <c r="BH87" s="1312"/>
      <c r="BI87" s="1310"/>
      <c r="BJ87" s="1310"/>
      <c r="BK87" s="1396"/>
      <c r="BL87" s="1391"/>
      <c r="BM87" s="241"/>
      <c r="BN87" s="241"/>
      <c r="BO87" s="241"/>
      <c r="BP87" s="241"/>
      <c r="BQ87" s="377"/>
      <c r="BR87" s="241"/>
      <c r="BS87" s="241"/>
      <c r="BT87" s="241"/>
      <c r="BU87" s="629"/>
      <c r="BV87" s="241"/>
      <c r="BW87" s="241"/>
      <c r="BX87" s="241"/>
      <c r="BY87" s="1238"/>
      <c r="BZ87" s="1314"/>
      <c r="CA87" s="1314"/>
      <c r="CB87" s="19"/>
      <c r="CC87" s="629"/>
      <c r="CD87" s="241"/>
      <c r="CE87" s="241"/>
      <c r="CF87" s="377"/>
      <c r="CG87" s="241"/>
      <c r="CH87" s="241"/>
      <c r="CI87" s="629"/>
      <c r="CJ87" s="241"/>
      <c r="CK87" s="1204"/>
      <c r="CL87" s="1199"/>
      <c r="CM87" s="1199"/>
      <c r="CN87" s="1314"/>
      <c r="CO87" s="1314"/>
      <c r="CP87" s="1315"/>
    </row>
    <row r="88" spans="1:94" s="7" customFormat="1" ht="14.25" hidden="1" customHeight="1" outlineLevel="1">
      <c r="A88" s="511"/>
      <c r="B88" s="35" t="s">
        <v>202</v>
      </c>
      <c r="C88" s="240"/>
      <c r="D88" s="149"/>
      <c r="E88" s="87"/>
      <c r="F88" s="87"/>
      <c r="G88" s="88"/>
      <c r="H88" s="149"/>
      <c r="I88" s="87"/>
      <c r="J88" s="87"/>
      <c r="K88" s="88"/>
      <c r="L88" s="149"/>
      <c r="M88" s="87"/>
      <c r="N88" s="87"/>
      <c r="O88" s="88"/>
      <c r="P88" s="149"/>
      <c r="Q88" s="87"/>
      <c r="R88" s="87"/>
      <c r="S88" s="88"/>
      <c r="T88" s="149"/>
      <c r="U88" s="87"/>
      <c r="V88" s="87"/>
      <c r="W88" s="88"/>
      <c r="X88" s="87"/>
      <c r="Y88" s="87"/>
      <c r="Z88" s="87"/>
      <c r="AA88" s="88"/>
      <c r="AB88" s="87"/>
      <c r="AC88" s="87"/>
      <c r="AD88" s="87"/>
      <c r="AE88" s="88"/>
      <c r="AF88" s="87"/>
      <c r="AG88" s="87"/>
      <c r="AH88" s="87"/>
      <c r="AI88" s="88"/>
      <c r="AJ88" s="87"/>
      <c r="AK88" s="87"/>
      <c r="AL88" s="87"/>
      <c r="AM88" s="87"/>
      <c r="AN88" s="149"/>
      <c r="AO88" s="87"/>
      <c r="AP88" s="943"/>
      <c r="AQ88" s="943"/>
      <c r="AR88" s="945"/>
      <c r="AS88" s="1000"/>
      <c r="AT88" s="1177"/>
      <c r="AU88" s="1000"/>
      <c r="AV88" s="1237"/>
      <c r="AW88" s="1229"/>
      <c r="AX88" s="1229"/>
      <c r="AY88" s="1230"/>
      <c r="AZ88" s="1237"/>
      <c r="BA88" s="1229"/>
      <c r="BB88" s="1229"/>
      <c r="BC88" s="1230"/>
      <c r="BD88" s="1237"/>
      <c r="BE88" s="1229"/>
      <c r="BF88" s="1229"/>
      <c r="BG88" s="1230"/>
      <c r="BH88" s="1313"/>
      <c r="BI88" s="1308"/>
      <c r="BJ88" s="1308"/>
      <c r="BK88" s="1395"/>
      <c r="BL88" s="1391"/>
      <c r="BM88" s="241"/>
      <c r="BN88" s="241"/>
      <c r="BO88" s="241"/>
      <c r="BP88" s="241"/>
      <c r="BQ88" s="241"/>
      <c r="BR88" s="241"/>
      <c r="BS88" s="241"/>
      <c r="BT88" s="241"/>
      <c r="BU88" s="629"/>
      <c r="BV88" s="241"/>
      <c r="BW88" s="241"/>
      <c r="BX88" s="241"/>
      <c r="BY88" s="1238"/>
      <c r="BZ88" s="1314"/>
      <c r="CA88" s="1314"/>
      <c r="CB88" s="19"/>
      <c r="CC88" s="629"/>
      <c r="CD88" s="241"/>
      <c r="CE88" s="241"/>
      <c r="CF88" s="241"/>
      <c r="CG88" s="241"/>
      <c r="CH88" s="241"/>
      <c r="CI88" s="629"/>
      <c r="CJ88" s="241"/>
      <c r="CK88" s="1204"/>
      <c r="CL88" s="1199"/>
      <c r="CM88" s="1199"/>
      <c r="CN88" s="1314"/>
      <c r="CO88" s="1314"/>
      <c r="CP88" s="1315"/>
    </row>
    <row r="89" spans="1:94" s="369" customFormat="1" ht="14.25" hidden="1" customHeight="1" outlineLevel="1">
      <c r="A89" s="512"/>
      <c r="B89" s="363" t="s">
        <v>111</v>
      </c>
      <c r="C89" s="364"/>
      <c r="D89" s="361"/>
      <c r="E89" s="362"/>
      <c r="F89" s="362"/>
      <c r="G89" s="365"/>
      <c r="H89" s="361"/>
      <c r="I89" s="362"/>
      <c r="J89" s="362"/>
      <c r="K89" s="365"/>
      <c r="L89" s="361"/>
      <c r="M89" s="362"/>
      <c r="N89" s="362"/>
      <c r="O89" s="365"/>
      <c r="P89" s="361">
        <f t="shared" ref="P89:AE89" si="395">P86/L86-1</f>
        <v>-0.29200153080750102</v>
      </c>
      <c r="Q89" s="362">
        <f t="shared" si="395"/>
        <v>-0.38066799380667993</v>
      </c>
      <c r="R89" s="362">
        <f t="shared" si="395"/>
        <v>-0.21308759577552283</v>
      </c>
      <c r="S89" s="365">
        <f t="shared" si="395"/>
        <v>-0.19835943325876215</v>
      </c>
      <c r="T89" s="361">
        <f t="shared" si="395"/>
        <v>0.2432432432432432</v>
      </c>
      <c r="U89" s="362">
        <f t="shared" si="395"/>
        <v>0.71428571428571419</v>
      </c>
      <c r="V89" s="362">
        <f t="shared" si="395"/>
        <v>0.31578947368421062</v>
      </c>
      <c r="W89" s="365">
        <f t="shared" si="395"/>
        <v>-9.3023255813953543E-2</v>
      </c>
      <c r="X89" s="361">
        <f t="shared" si="395"/>
        <v>-0.36956521739130432</v>
      </c>
      <c r="Y89" s="362">
        <f t="shared" si="395"/>
        <v>-0.375</v>
      </c>
      <c r="Z89" s="362">
        <f t="shared" si="395"/>
        <v>-0.33999999999999997</v>
      </c>
      <c r="AA89" s="365">
        <f t="shared" si="395"/>
        <v>-0.33333333333333337</v>
      </c>
      <c r="AB89" s="361">
        <f t="shared" si="395"/>
        <v>0.13793103448275867</v>
      </c>
      <c r="AC89" s="362">
        <f t="shared" si="395"/>
        <v>0</v>
      </c>
      <c r="AD89" s="362">
        <f t="shared" si="395"/>
        <v>0.33333333333333326</v>
      </c>
      <c r="AE89" s="365">
        <f t="shared" si="395"/>
        <v>-0.5</v>
      </c>
      <c r="AF89" s="361"/>
      <c r="AG89" s="362"/>
      <c r="AH89" s="362"/>
      <c r="AI89" s="365"/>
      <c r="AJ89" s="362"/>
      <c r="AK89" s="362"/>
      <c r="AL89" s="362"/>
      <c r="AM89" s="362"/>
      <c r="AN89" s="361"/>
      <c r="AO89" s="362"/>
      <c r="AP89" s="362"/>
      <c r="AQ89" s="362"/>
      <c r="AR89" s="361"/>
      <c r="AS89" s="362"/>
      <c r="AT89" s="362"/>
      <c r="AU89" s="362"/>
      <c r="AV89" s="361"/>
      <c r="AW89" s="362"/>
      <c r="AX89" s="362"/>
      <c r="AY89" s="365"/>
      <c r="AZ89" s="361"/>
      <c r="BA89" s="362"/>
      <c r="BB89" s="362"/>
      <c r="BC89" s="365"/>
      <c r="BD89" s="361"/>
      <c r="BE89" s="362"/>
      <c r="BF89" s="362"/>
      <c r="BG89" s="365"/>
      <c r="BH89" s="361"/>
      <c r="BI89" s="362"/>
      <c r="BJ89" s="362"/>
      <c r="BK89" s="1441"/>
      <c r="BL89" s="1446"/>
      <c r="BM89" s="362"/>
      <c r="BN89" s="301"/>
      <c r="BO89" s="301"/>
      <c r="BP89" s="301">
        <f>BP86/BO86-1</f>
        <v>-0.26780341023069199</v>
      </c>
      <c r="BQ89" s="301">
        <f>BQ86/BP86-1</f>
        <v>0.25342465753424648</v>
      </c>
      <c r="BR89" s="301">
        <f>BR86/BQ86-1</f>
        <v>-0.35519125683060104</v>
      </c>
      <c r="BS89" s="301">
        <f>BS86/BR86-1</f>
        <v>1.6949152542372836E-2</v>
      </c>
      <c r="BT89" s="301"/>
      <c r="BU89" s="632"/>
      <c r="BV89" s="301"/>
      <c r="BW89" s="301"/>
      <c r="BX89" s="301"/>
      <c r="BY89" s="301"/>
      <c r="BZ89" s="301"/>
      <c r="CA89" s="301"/>
      <c r="CB89" s="366"/>
      <c r="CC89" s="632"/>
      <c r="CD89" s="301"/>
      <c r="CE89" s="301">
        <f>CE86/CD86-1</f>
        <v>2.5235361653272097</v>
      </c>
      <c r="CF89" s="301">
        <f>CF86/CE86-1</f>
        <v>-0.15824915824915819</v>
      </c>
      <c r="CG89" s="301">
        <f>CG86/CF86-1</f>
        <v>7.0967741935483941E-2</v>
      </c>
      <c r="CH89" s="301">
        <f>CH86/CG86-1</f>
        <v>-0.26506024096385539</v>
      </c>
      <c r="CI89" s="632">
        <f>CI86/CH86-1</f>
        <v>-0.28688524590163933</v>
      </c>
      <c r="CJ89" s="301"/>
      <c r="CK89" s="632"/>
      <c r="CL89" s="301"/>
      <c r="CM89" s="301"/>
      <c r="CN89" s="301"/>
      <c r="CO89" s="301"/>
      <c r="CP89" s="367"/>
    </row>
    <row r="90" spans="1:94" s="7" customFormat="1" ht="14.25" hidden="1" customHeight="1" outlineLevel="1">
      <c r="A90" s="511"/>
      <c r="B90" s="35" t="s">
        <v>112</v>
      </c>
      <c r="C90" s="240"/>
      <c r="D90" s="87"/>
      <c r="E90" s="87"/>
      <c r="F90" s="87"/>
      <c r="G90" s="88"/>
      <c r="H90" s="87"/>
      <c r="I90" s="87"/>
      <c r="J90" s="87"/>
      <c r="K90" s="88"/>
      <c r="L90" s="149">
        <f>L86/L$108</f>
        <v>0.13</v>
      </c>
      <c r="M90" s="87">
        <f>M86/M$108</f>
        <v>0.11000000000000001</v>
      </c>
      <c r="N90" s="87">
        <f>N86/N$108</f>
        <v>0.10999999999999999</v>
      </c>
      <c r="O90" s="88">
        <f t="shared" ref="O90:AE90" si="396">O86/O$108</f>
        <v>0.12</v>
      </c>
      <c r="P90" s="149">
        <f t="shared" si="396"/>
        <v>0.10054347826086957</v>
      </c>
      <c r="Q90" s="87">
        <f t="shared" si="396"/>
        <v>8.615384615384615E-2</v>
      </c>
      <c r="R90" s="87">
        <f t="shared" si="396"/>
        <v>0.1046831955922865</v>
      </c>
      <c r="S90" s="88">
        <f t="shared" si="396"/>
        <v>0.10046728971962617</v>
      </c>
      <c r="T90" s="149">
        <f t="shared" si="396"/>
        <v>0.10087719298245613</v>
      </c>
      <c r="U90" s="87">
        <f t="shared" si="396"/>
        <v>9.3203883495145634E-2</v>
      </c>
      <c r="V90" s="87">
        <f t="shared" si="396"/>
        <v>9.0909090909090912E-2</v>
      </c>
      <c r="W90" s="88">
        <f t="shared" si="396"/>
        <v>6.8181818181818177E-2</v>
      </c>
      <c r="X90" s="361">
        <f t="shared" si="396"/>
        <v>5.2727272727272727E-2</v>
      </c>
      <c r="Y90" s="362">
        <f t="shared" si="396"/>
        <v>5.3571428571428568E-2</v>
      </c>
      <c r="Z90" s="87">
        <f t="shared" si="396"/>
        <v>5.4726368159203981E-2</v>
      </c>
      <c r="AA90" s="88">
        <f t="shared" si="396"/>
        <v>4.1733547351524881E-2</v>
      </c>
      <c r="AB90" s="361">
        <f t="shared" si="396"/>
        <v>5.8614564831261103E-2</v>
      </c>
      <c r="AC90" s="362">
        <f t="shared" si="396"/>
        <v>5.1993067590987867E-2</v>
      </c>
      <c r="AD90" s="362">
        <f t="shared" si="396"/>
        <v>7.2607260726072612E-2</v>
      </c>
      <c r="AE90" s="88">
        <f t="shared" si="396"/>
        <v>2.1035598705501618E-2</v>
      </c>
      <c r="AF90" s="361"/>
      <c r="AG90" s="362"/>
      <c r="AH90" s="362"/>
      <c r="AI90" s="88"/>
      <c r="AJ90" s="87"/>
      <c r="AK90" s="87"/>
      <c r="AL90" s="87"/>
      <c r="AM90" s="87"/>
      <c r="AN90" s="149"/>
      <c r="AO90" s="87"/>
      <c r="AP90" s="943"/>
      <c r="AQ90" s="943"/>
      <c r="AR90" s="945"/>
      <c r="AS90" s="1000"/>
      <c r="AT90" s="1177"/>
      <c r="AU90" s="1000"/>
      <c r="AV90" s="1237"/>
      <c r="AW90" s="1229"/>
      <c r="AX90" s="1229"/>
      <c r="AY90" s="1230"/>
      <c r="AZ90" s="1237"/>
      <c r="BA90" s="1229"/>
      <c r="BB90" s="1229"/>
      <c r="BC90" s="1230"/>
      <c r="BD90" s="1237"/>
      <c r="BE90" s="1229"/>
      <c r="BF90" s="1229"/>
      <c r="BG90" s="1230"/>
      <c r="BH90" s="1313"/>
      <c r="BI90" s="1308"/>
      <c r="BJ90" s="1308"/>
      <c r="BK90" s="1395"/>
      <c r="BL90" s="1391"/>
      <c r="BM90" s="301"/>
      <c r="BN90" s="301"/>
      <c r="BO90" s="301"/>
      <c r="BP90" s="301"/>
      <c r="BQ90" s="301"/>
      <c r="BR90" s="301"/>
      <c r="BS90" s="301"/>
      <c r="BT90" s="301"/>
      <c r="BU90" s="632"/>
      <c r="BV90" s="301"/>
      <c r="BW90" s="301"/>
      <c r="BX90" s="301"/>
      <c r="BY90" s="301"/>
      <c r="BZ90" s="301"/>
      <c r="CA90" s="301"/>
      <c r="CB90" s="19"/>
      <c r="CC90" s="632"/>
      <c r="CD90" s="301" t="e">
        <f>CD86/(CD119)</f>
        <v>#DIV/0!</v>
      </c>
      <c r="CE90" s="301" t="e">
        <f>CE86/(CE119)</f>
        <v>#DIV/0!</v>
      </c>
      <c r="CF90" s="301" t="e">
        <f>CF86/(CF119)</f>
        <v>#DIV/0!</v>
      </c>
      <c r="CG90" s="301" t="e">
        <f>CG86/(CG119)</f>
        <v>#DIV/0!</v>
      </c>
      <c r="CH90" s="301" t="e">
        <f>CH86/(CH119)</f>
        <v>#DIV/0!</v>
      </c>
      <c r="CI90" s="632">
        <f>CI86/CI$108</f>
        <v>3.6600757257046694E-2</v>
      </c>
      <c r="CJ90" s="301"/>
      <c r="CK90" s="632"/>
      <c r="CL90" s="301"/>
      <c r="CM90" s="301"/>
      <c r="CN90" s="301"/>
      <c r="CO90" s="301"/>
      <c r="CP90" s="367"/>
    </row>
    <row r="91" spans="1:94" s="7" customFormat="1" ht="14.25" hidden="1" customHeight="1" outlineLevel="1">
      <c r="A91" s="511"/>
      <c r="B91" s="35"/>
      <c r="C91" s="240"/>
      <c r="D91" s="87"/>
      <c r="E91" s="87"/>
      <c r="F91" s="87"/>
      <c r="G91" s="88"/>
      <c r="H91" s="87"/>
      <c r="I91" s="87"/>
      <c r="J91" s="87"/>
      <c r="K91" s="88"/>
      <c r="L91" s="87"/>
      <c r="M91" s="87"/>
      <c r="N91" s="87"/>
      <c r="O91" s="88"/>
      <c r="P91" s="87"/>
      <c r="Q91" s="87"/>
      <c r="R91" s="87"/>
      <c r="S91" s="88"/>
      <c r="T91" s="87"/>
      <c r="U91" s="87"/>
      <c r="V91" s="87"/>
      <c r="W91" s="88"/>
      <c r="X91" s="87"/>
      <c r="Y91" s="87"/>
      <c r="Z91" s="87"/>
      <c r="AA91" s="88"/>
      <c r="AB91" s="87"/>
      <c r="AC91" s="87"/>
      <c r="AD91" s="87"/>
      <c r="AE91" s="88"/>
      <c r="AF91" s="87"/>
      <c r="AG91" s="87"/>
      <c r="AH91" s="87"/>
      <c r="AI91" s="22"/>
      <c r="AJ91" s="63"/>
      <c r="AK91" s="63"/>
      <c r="AL91" s="63"/>
      <c r="AM91" s="63"/>
      <c r="AN91" s="21"/>
      <c r="AO91" s="63"/>
      <c r="AP91" s="63"/>
      <c r="AQ91" s="63"/>
      <c r="AR91" s="21"/>
      <c r="AS91" s="63"/>
      <c r="AT91" s="63"/>
      <c r="AU91" s="63"/>
      <c r="AV91" s="21"/>
      <c r="AW91" s="63"/>
      <c r="AX91" s="63"/>
      <c r="AY91" s="22"/>
      <c r="AZ91" s="21"/>
      <c r="BA91" s="63"/>
      <c r="BB91" s="63"/>
      <c r="BC91" s="22"/>
      <c r="BD91" s="21"/>
      <c r="BE91" s="63"/>
      <c r="BF91" s="63"/>
      <c r="BG91" s="22"/>
      <c r="BH91" s="21"/>
      <c r="BI91" s="63"/>
      <c r="BJ91" s="63"/>
      <c r="BK91" s="1450"/>
      <c r="BL91" s="1391"/>
      <c r="BM91" s="13"/>
      <c r="BN91" s="13"/>
      <c r="BO91" s="13"/>
      <c r="BP91" s="13"/>
      <c r="BQ91" s="13"/>
      <c r="BR91" s="13"/>
      <c r="BS91" s="13"/>
      <c r="BT91" s="13"/>
      <c r="BU91" s="20"/>
      <c r="BV91" s="13"/>
      <c r="BW91" s="13"/>
      <c r="BX91" s="13"/>
      <c r="BY91" s="13"/>
      <c r="BZ91" s="13"/>
      <c r="CA91" s="13"/>
      <c r="CB91" s="19"/>
      <c r="CC91" s="20"/>
      <c r="CD91" s="13"/>
      <c r="CE91" s="13"/>
      <c r="CF91" s="13"/>
      <c r="CG91" s="13"/>
      <c r="CH91" s="13"/>
      <c r="CI91" s="20"/>
      <c r="CJ91" s="13"/>
      <c r="CK91" s="20"/>
      <c r="CL91" s="13"/>
      <c r="CM91" s="13"/>
      <c r="CN91" s="13"/>
      <c r="CO91" s="13"/>
      <c r="CP91" s="232"/>
    </row>
    <row r="92" spans="1:94" s="7" customFormat="1" ht="14.25" hidden="1" customHeight="1" outlineLevel="1">
      <c r="A92" s="511"/>
      <c r="B92" s="43" t="str">
        <f>$B$166&amp;" Gross Margin"</f>
        <v>Consumer and Computing Peripherals Gross Margin</v>
      </c>
      <c r="C92" s="240"/>
      <c r="D92" s="370"/>
      <c r="E92" s="371"/>
      <c r="F92" s="371"/>
      <c r="G92" s="372"/>
      <c r="H92" s="370"/>
      <c r="I92" s="371"/>
      <c r="J92" s="371"/>
      <c r="K92" s="372"/>
      <c r="L92" s="370">
        <f>L90*L$129</f>
        <v>22.36</v>
      </c>
      <c r="M92" s="371">
        <f t="shared" ref="M92:AE92" si="397">M90*M$129</f>
        <v>19.140000000000004</v>
      </c>
      <c r="N92" s="371">
        <f t="shared" si="397"/>
        <v>20.679999999999996</v>
      </c>
      <c r="O92" s="372">
        <f t="shared" si="397"/>
        <v>22.08</v>
      </c>
      <c r="P92" s="370">
        <f t="shared" si="397"/>
        <v>16.489130434782609</v>
      </c>
      <c r="Q92" s="371">
        <f t="shared" si="397"/>
        <v>9.907692307692308</v>
      </c>
      <c r="R92" s="371">
        <f t="shared" si="397"/>
        <v>16.539944903581269</v>
      </c>
      <c r="S92" s="372">
        <f t="shared" si="397"/>
        <v>19.289719626168225</v>
      </c>
      <c r="T92" s="370">
        <f t="shared" si="397"/>
        <v>21.083333333333332</v>
      </c>
      <c r="U92" s="371">
        <f t="shared" si="397"/>
        <v>23.114563106796119</v>
      </c>
      <c r="V92" s="371">
        <f t="shared" si="397"/>
        <v>25.454545454545457</v>
      </c>
      <c r="W92" s="372">
        <f t="shared" si="397"/>
        <v>19.84090909090909</v>
      </c>
      <c r="X92" s="373">
        <f t="shared" si="397"/>
        <v>15.08</v>
      </c>
      <c r="Y92" s="352">
        <f t="shared" si="397"/>
        <v>15.535714285714285</v>
      </c>
      <c r="Z92" s="371">
        <f t="shared" si="397"/>
        <v>17.074626865671643</v>
      </c>
      <c r="AA92" s="372">
        <f t="shared" si="397"/>
        <v>13.313001605136437</v>
      </c>
      <c r="AB92" s="373">
        <f t="shared" si="397"/>
        <v>16.705150976909415</v>
      </c>
      <c r="AC92" s="352">
        <f t="shared" si="397"/>
        <v>15.337954939341421</v>
      </c>
      <c r="AD92" s="352">
        <f t="shared" si="397"/>
        <v>22.508250825082509</v>
      </c>
      <c r="AE92" s="372">
        <f t="shared" si="397"/>
        <v>6.6472491909385116</v>
      </c>
      <c r="AF92" s="371"/>
      <c r="AG92" s="371"/>
      <c r="AH92" s="371"/>
      <c r="AI92" s="372"/>
      <c r="AJ92" s="371"/>
      <c r="AK92" s="371"/>
      <c r="AL92" s="371"/>
      <c r="AM92" s="371"/>
      <c r="AN92" s="370"/>
      <c r="AO92" s="371"/>
      <c r="AP92" s="371"/>
      <c r="AQ92" s="371"/>
      <c r="AR92" s="370"/>
      <c r="AS92" s="371"/>
      <c r="AT92" s="371"/>
      <c r="AU92" s="371"/>
      <c r="AV92" s="370"/>
      <c r="AW92" s="371"/>
      <c r="AX92" s="371"/>
      <c r="AY92" s="372"/>
      <c r="AZ92" s="370"/>
      <c r="BA92" s="371"/>
      <c r="BB92" s="371"/>
      <c r="BC92" s="372"/>
      <c r="BD92" s="370"/>
      <c r="BE92" s="371"/>
      <c r="BF92" s="371"/>
      <c r="BG92" s="372"/>
      <c r="BH92" s="370"/>
      <c r="BI92" s="371"/>
      <c r="BJ92" s="371"/>
      <c r="BK92" s="1397"/>
      <c r="BL92" s="1447"/>
      <c r="BM92" s="357"/>
      <c r="BN92" s="357"/>
      <c r="BO92" s="357">
        <f>SUM(L92:O92)</f>
        <v>84.259999999999991</v>
      </c>
      <c r="BP92" s="357">
        <f>SUM(P92:S92)</f>
        <v>62.226487272224404</v>
      </c>
      <c r="BQ92" s="357">
        <f>SUM(T92:W92)</f>
        <v>89.493350985584001</v>
      </c>
      <c r="BR92" s="357">
        <f>SUM(X92:AA92)</f>
        <v>61.003342756522358</v>
      </c>
      <c r="BS92" s="357">
        <f>SUM(AB92:AE92)</f>
        <v>61.19860593227186</v>
      </c>
      <c r="BT92" s="357"/>
      <c r="BU92" s="360"/>
      <c r="BV92" s="357"/>
      <c r="BW92" s="357"/>
      <c r="BX92" s="357"/>
      <c r="BY92" s="357"/>
      <c r="BZ92" s="357"/>
      <c r="CA92" s="357"/>
      <c r="CB92" s="19"/>
      <c r="CC92" s="360"/>
      <c r="CD92" s="357"/>
      <c r="CE92" s="357"/>
      <c r="CF92" s="357"/>
      <c r="CG92" s="357"/>
      <c r="CH92" s="357"/>
      <c r="CI92" s="360"/>
      <c r="CJ92" s="357"/>
      <c r="CK92" s="360"/>
      <c r="CL92" s="357"/>
      <c r="CM92" s="357"/>
      <c r="CN92" s="357"/>
      <c r="CO92" s="357"/>
      <c r="CP92" s="358"/>
    </row>
    <row r="93" spans="1:94" s="7" customFormat="1" ht="14.25" hidden="1" customHeight="1" outlineLevel="1">
      <c r="A93" s="511"/>
      <c r="B93" s="35" t="s">
        <v>110</v>
      </c>
      <c r="C93" s="240"/>
      <c r="D93" s="149"/>
      <c r="E93" s="87"/>
      <c r="F93" s="87"/>
      <c r="G93" s="88"/>
      <c r="H93" s="149"/>
      <c r="I93" s="87"/>
      <c r="J93" s="87"/>
      <c r="K93" s="88"/>
      <c r="L93" s="149"/>
      <c r="M93" s="87"/>
      <c r="N93" s="87">
        <f t="shared" ref="N93:AE93" si="398">N92/M92-1</f>
        <v>8.0459770114942097E-2</v>
      </c>
      <c r="O93" s="88">
        <f t="shared" si="398"/>
        <v>6.7698259187620957E-2</v>
      </c>
      <c r="P93" s="149">
        <f t="shared" si="398"/>
        <v>-0.25320967233774405</v>
      </c>
      <c r="Q93" s="87">
        <f t="shared" si="398"/>
        <v>-0.39913797474773083</v>
      </c>
      <c r="R93" s="87">
        <f t="shared" si="398"/>
        <v>0.66940437691425836</v>
      </c>
      <c r="S93" s="88">
        <f t="shared" si="398"/>
        <v>0.16625053702516079</v>
      </c>
      <c r="T93" s="149">
        <f t="shared" si="398"/>
        <v>9.2982881136950857E-2</v>
      </c>
      <c r="U93" s="87">
        <f t="shared" si="398"/>
        <v>9.6342914156337667E-2</v>
      </c>
      <c r="V93" s="87">
        <f t="shared" si="398"/>
        <v>0.10123411534701865</v>
      </c>
      <c r="W93" s="88">
        <f t="shared" si="398"/>
        <v>-0.22053571428571439</v>
      </c>
      <c r="X93" s="361">
        <f t="shared" si="398"/>
        <v>-0.23995418098510879</v>
      </c>
      <c r="Y93" s="362">
        <f t="shared" si="398"/>
        <v>3.0219780219780112E-2</v>
      </c>
      <c r="Z93" s="87">
        <f t="shared" si="398"/>
        <v>9.9056441928289773E-2</v>
      </c>
      <c r="AA93" s="88">
        <f t="shared" si="398"/>
        <v>-0.22030497592295351</v>
      </c>
      <c r="AB93" s="361">
        <f t="shared" si="398"/>
        <v>0.25479974181511511</v>
      </c>
      <c r="AC93" s="362">
        <f t="shared" si="398"/>
        <v>-8.184278247217236E-2</v>
      </c>
      <c r="AD93" s="362">
        <f t="shared" si="398"/>
        <v>0.46748708769182024</v>
      </c>
      <c r="AE93" s="88">
        <f t="shared" si="398"/>
        <v>-0.70467499928821575</v>
      </c>
      <c r="AF93" s="361"/>
      <c r="AG93" s="362"/>
      <c r="AH93" s="362"/>
      <c r="AI93" s="88"/>
      <c r="AJ93" s="87"/>
      <c r="AK93" s="87"/>
      <c r="AL93" s="87"/>
      <c r="AM93" s="87"/>
      <c r="AN93" s="149"/>
      <c r="AO93" s="87"/>
      <c r="AP93" s="943"/>
      <c r="AQ93" s="943"/>
      <c r="AR93" s="945"/>
      <c r="AS93" s="1000"/>
      <c r="AT93" s="1177"/>
      <c r="AU93" s="1000"/>
      <c r="AV93" s="1237"/>
      <c r="AW93" s="1229"/>
      <c r="AX93" s="1229"/>
      <c r="AY93" s="1230"/>
      <c r="AZ93" s="1237"/>
      <c r="BA93" s="1229"/>
      <c r="BB93" s="1229"/>
      <c r="BC93" s="1230"/>
      <c r="BD93" s="1237"/>
      <c r="BE93" s="1229"/>
      <c r="BF93" s="1229"/>
      <c r="BG93" s="1230"/>
      <c r="BH93" s="1313"/>
      <c r="BI93" s="1308"/>
      <c r="BJ93" s="1308"/>
      <c r="BK93" s="1395"/>
      <c r="BL93" s="1391"/>
      <c r="BM93" s="241"/>
      <c r="BN93" s="241"/>
      <c r="BO93" s="241"/>
      <c r="BP93" s="241"/>
      <c r="BQ93" s="241"/>
      <c r="BR93" s="241"/>
      <c r="BS93" s="241"/>
      <c r="BT93" s="241"/>
      <c r="BU93" s="629"/>
      <c r="BV93" s="241"/>
      <c r="BW93" s="241"/>
      <c r="BX93" s="241"/>
      <c r="BY93" s="1238"/>
      <c r="BZ93" s="1314"/>
      <c r="CA93" s="1314"/>
      <c r="CB93" s="19"/>
      <c r="CC93" s="629"/>
      <c r="CD93" s="241"/>
      <c r="CE93" s="241"/>
      <c r="CF93" s="241"/>
      <c r="CG93" s="241"/>
      <c r="CH93" s="241"/>
      <c r="CI93" s="629"/>
      <c r="CJ93" s="241"/>
      <c r="CK93" s="1204"/>
      <c r="CL93" s="1199"/>
      <c r="CM93" s="1199"/>
      <c r="CN93" s="1314"/>
      <c r="CO93" s="1314"/>
      <c r="CP93" s="1315"/>
    </row>
    <row r="94" spans="1:94" s="7" customFormat="1" ht="14.25" hidden="1" customHeight="1" outlineLevel="1">
      <c r="A94" s="511"/>
      <c r="B94" s="35" t="s">
        <v>111</v>
      </c>
      <c r="C94" s="240"/>
      <c r="D94" s="149"/>
      <c r="E94" s="87"/>
      <c r="F94" s="87"/>
      <c r="G94" s="88"/>
      <c r="H94" s="149"/>
      <c r="I94" s="87"/>
      <c r="J94" s="362"/>
      <c r="K94" s="365"/>
      <c r="L94" s="361"/>
      <c r="M94" s="362"/>
      <c r="N94" s="362"/>
      <c r="O94" s="365"/>
      <c r="P94" s="361"/>
      <c r="Q94" s="362">
        <f t="shared" ref="Q94:AE94" si="399">Q92/M92-1</f>
        <v>-0.48235672373603422</v>
      </c>
      <c r="R94" s="362">
        <f t="shared" si="399"/>
        <v>-0.20019608783456133</v>
      </c>
      <c r="S94" s="365">
        <f t="shared" si="399"/>
        <v>-0.12637139374238104</v>
      </c>
      <c r="T94" s="361">
        <f t="shared" si="399"/>
        <v>0.27862008349813205</v>
      </c>
      <c r="U94" s="362">
        <f t="shared" si="399"/>
        <v>1.3329916179219685</v>
      </c>
      <c r="V94" s="362">
        <f t="shared" si="399"/>
        <v>0.5389740173217854</v>
      </c>
      <c r="W94" s="365">
        <f t="shared" si="399"/>
        <v>2.8574260042283139E-2</v>
      </c>
      <c r="X94" s="361">
        <f t="shared" si="399"/>
        <v>-0.28474308300395257</v>
      </c>
      <c r="Y94" s="362">
        <f t="shared" si="399"/>
        <v>-0.32788198444700467</v>
      </c>
      <c r="Z94" s="362">
        <f t="shared" si="399"/>
        <v>-0.32921108742004268</v>
      </c>
      <c r="AA94" s="365">
        <f t="shared" si="399"/>
        <v>-0.32901251932874775</v>
      </c>
      <c r="AB94" s="361">
        <f t="shared" si="399"/>
        <v>0.10776863242104873</v>
      </c>
      <c r="AC94" s="362">
        <f t="shared" si="399"/>
        <v>-1.272933723779357E-2</v>
      </c>
      <c r="AD94" s="362">
        <f t="shared" si="399"/>
        <v>0.31822797664381808</v>
      </c>
      <c r="AE94" s="365">
        <f t="shared" si="399"/>
        <v>-0.50069493055766912</v>
      </c>
      <c r="AF94" s="361"/>
      <c r="AG94" s="362"/>
      <c r="AH94" s="362"/>
      <c r="AI94" s="88"/>
      <c r="AJ94" s="87"/>
      <c r="AK94" s="87"/>
      <c r="AL94" s="87"/>
      <c r="AM94" s="87"/>
      <c r="AN94" s="149"/>
      <c r="AO94" s="87"/>
      <c r="AP94" s="943"/>
      <c r="AQ94" s="943"/>
      <c r="AR94" s="945"/>
      <c r="AS94" s="1000"/>
      <c r="AT94" s="1177"/>
      <c r="AU94" s="1000"/>
      <c r="AV94" s="1237"/>
      <c r="AW94" s="1229"/>
      <c r="AX94" s="1229"/>
      <c r="AY94" s="1230"/>
      <c r="AZ94" s="1237"/>
      <c r="BA94" s="1229"/>
      <c r="BB94" s="1229"/>
      <c r="BC94" s="1230"/>
      <c r="BD94" s="1237"/>
      <c r="BE94" s="1229"/>
      <c r="BF94" s="1229"/>
      <c r="BG94" s="1230"/>
      <c r="BH94" s="1313"/>
      <c r="BI94" s="1308"/>
      <c r="BJ94" s="1308"/>
      <c r="BK94" s="1395"/>
      <c r="BL94" s="1391"/>
      <c r="BM94" s="362"/>
      <c r="BN94" s="301"/>
      <c r="BO94" s="301"/>
      <c r="BP94" s="301">
        <f>BP92/BO92-1</f>
        <v>-0.26149433572009961</v>
      </c>
      <c r="BQ94" s="301">
        <f>BQ92/BP92-1</f>
        <v>0.43818741678401829</v>
      </c>
      <c r="BR94" s="301">
        <f>BR92/BQ92-1</f>
        <v>-0.31834776455796077</v>
      </c>
      <c r="BS94" s="301">
        <f>BS92/BR92-1</f>
        <v>3.2008602631636851E-3</v>
      </c>
      <c r="BT94" s="301"/>
      <c r="BU94" s="632"/>
      <c r="BV94" s="301"/>
      <c r="BW94" s="301"/>
      <c r="BX94" s="301"/>
      <c r="BY94" s="301"/>
      <c r="BZ94" s="301"/>
      <c r="CA94" s="301"/>
      <c r="CB94" s="19"/>
      <c r="CC94" s="632"/>
      <c r="CD94" s="301"/>
      <c r="CE94" s="301"/>
      <c r="CF94" s="301"/>
      <c r="CG94" s="301"/>
      <c r="CH94" s="301"/>
      <c r="CI94" s="632"/>
      <c r="CJ94" s="301"/>
      <c r="CK94" s="632"/>
      <c r="CL94" s="301"/>
      <c r="CM94" s="301"/>
      <c r="CN94" s="301"/>
      <c r="CO94" s="301"/>
      <c r="CP94" s="367"/>
    </row>
    <row r="95" spans="1:94" s="7" customFormat="1" ht="14.25" hidden="1" customHeight="1" outlineLevel="1">
      <c r="A95" s="511"/>
      <c r="B95" s="35" t="s">
        <v>203</v>
      </c>
      <c r="C95" s="240"/>
      <c r="D95" s="149"/>
      <c r="E95" s="87"/>
      <c r="F95" s="87"/>
      <c r="G95" s="88"/>
      <c r="H95" s="149"/>
      <c r="I95" s="87"/>
      <c r="J95" s="87"/>
      <c r="K95" s="88"/>
      <c r="L95" s="149"/>
      <c r="M95" s="87">
        <f t="shared" ref="M95:AE95" si="400">M92/M86</f>
        <v>0.42335766423357674</v>
      </c>
      <c r="N95" s="87">
        <f t="shared" si="400"/>
        <v>0.42824601366742587</v>
      </c>
      <c r="O95" s="88">
        <f t="shared" si="400"/>
        <v>0.41163310961968674</v>
      </c>
      <c r="P95" s="149">
        <f t="shared" si="400"/>
        <v>0.44565217391304351</v>
      </c>
      <c r="Q95" s="87">
        <f t="shared" si="400"/>
        <v>0.35384615384615387</v>
      </c>
      <c r="R95" s="87">
        <f t="shared" si="400"/>
        <v>0.43526170798898073</v>
      </c>
      <c r="S95" s="88">
        <f t="shared" si="400"/>
        <v>0.44859813084112149</v>
      </c>
      <c r="T95" s="149">
        <f t="shared" si="400"/>
        <v>0.45833333333333331</v>
      </c>
      <c r="U95" s="87">
        <f t="shared" si="400"/>
        <v>0.48155339805825248</v>
      </c>
      <c r="V95" s="87">
        <f t="shared" si="400"/>
        <v>0.50909090909090915</v>
      </c>
      <c r="W95" s="88">
        <f t="shared" si="400"/>
        <v>0.50874125874125875</v>
      </c>
      <c r="X95" s="361">
        <f t="shared" si="400"/>
        <v>0.52</v>
      </c>
      <c r="Y95" s="362">
        <f t="shared" si="400"/>
        <v>0.51785714285714279</v>
      </c>
      <c r="Z95" s="87">
        <f t="shared" si="400"/>
        <v>0.51741293532338317</v>
      </c>
      <c r="AA95" s="88">
        <f t="shared" si="400"/>
        <v>0.5120385232744783</v>
      </c>
      <c r="AB95" s="361">
        <f t="shared" si="400"/>
        <v>0.50621669626998234</v>
      </c>
      <c r="AC95" s="362">
        <f t="shared" si="400"/>
        <v>0.51126516464471405</v>
      </c>
      <c r="AD95" s="362">
        <f t="shared" si="400"/>
        <v>0.51155115511551152</v>
      </c>
      <c r="AE95" s="88">
        <f t="shared" si="400"/>
        <v>0.51132686084142398</v>
      </c>
      <c r="AF95" s="149"/>
      <c r="AG95" s="87"/>
      <c r="AH95" s="87"/>
      <c r="AI95" s="88"/>
      <c r="AJ95" s="89"/>
      <c r="AK95" s="89"/>
      <c r="AL95" s="89"/>
      <c r="AM95" s="89"/>
      <c r="AN95" s="91"/>
      <c r="AO95" s="89"/>
      <c r="AP95" s="89"/>
      <c r="AQ95" s="89"/>
      <c r="AR95" s="91"/>
      <c r="AS95" s="89"/>
      <c r="AT95" s="89"/>
      <c r="AU95" s="89"/>
      <c r="AV95" s="1233"/>
      <c r="AW95" s="1231"/>
      <c r="AX95" s="1231"/>
      <c r="AY95" s="1232"/>
      <c r="AZ95" s="1233"/>
      <c r="BA95" s="1231"/>
      <c r="BB95" s="1231"/>
      <c r="BC95" s="1232"/>
      <c r="BD95" s="1233"/>
      <c r="BE95" s="1231"/>
      <c r="BF95" s="1231"/>
      <c r="BG95" s="1232"/>
      <c r="BH95" s="1312"/>
      <c r="BI95" s="1310"/>
      <c r="BJ95" s="1310"/>
      <c r="BK95" s="1396"/>
      <c r="BL95" s="1391"/>
      <c r="BM95" s="301"/>
      <c r="BN95" s="301"/>
      <c r="BO95" s="301">
        <f>BO92/BO86</f>
        <v>0.42256770310932801</v>
      </c>
      <c r="BP95" s="301">
        <f>BP92/BP86</f>
        <v>0.42620881693304385</v>
      </c>
      <c r="BQ95" s="301">
        <f>BQ92/BQ86</f>
        <v>0.48903470483925682</v>
      </c>
      <c r="BR95" s="301">
        <f>BR92/BR86</f>
        <v>0.51697748098747764</v>
      </c>
      <c r="BS95" s="301">
        <f>BS92/BS86</f>
        <v>0.50998838276893221</v>
      </c>
      <c r="BT95" s="301"/>
      <c r="BU95" s="632"/>
      <c r="BV95" s="301"/>
      <c r="BW95" s="301"/>
      <c r="BX95" s="301"/>
      <c r="BY95" s="301"/>
      <c r="BZ95" s="301"/>
      <c r="CA95" s="301"/>
      <c r="CB95" s="19"/>
      <c r="CC95" s="632"/>
      <c r="CD95" s="301"/>
      <c r="CE95" s="301"/>
      <c r="CF95" s="301"/>
      <c r="CG95" s="301"/>
      <c r="CH95" s="301"/>
      <c r="CI95" s="632"/>
      <c r="CJ95" s="301"/>
      <c r="CK95" s="632"/>
      <c r="CL95" s="301"/>
      <c r="CM95" s="301"/>
      <c r="CN95" s="301"/>
      <c r="CO95" s="301"/>
      <c r="CP95" s="367"/>
    </row>
    <row r="96" spans="1:94" s="7" customFormat="1" ht="14.25" hidden="1" customHeight="1" outlineLevel="1">
      <c r="A96" s="511"/>
      <c r="B96" s="374"/>
      <c r="C96" s="266"/>
      <c r="D96" s="242"/>
      <c r="E96" s="242"/>
      <c r="F96" s="242"/>
      <c r="G96" s="243"/>
      <c r="H96" s="242"/>
      <c r="I96" s="242"/>
      <c r="J96" s="242"/>
      <c r="K96" s="243"/>
      <c r="L96" s="242"/>
      <c r="M96" s="242"/>
      <c r="N96" s="242"/>
      <c r="O96" s="243"/>
      <c r="P96" s="242"/>
      <c r="Q96" s="242"/>
      <c r="R96" s="242"/>
      <c r="S96" s="243"/>
      <c r="T96" s="242"/>
      <c r="U96" s="242"/>
      <c r="V96" s="242"/>
      <c r="W96" s="243"/>
      <c r="X96" s="242"/>
      <c r="Y96" s="242"/>
      <c r="Z96" s="242"/>
      <c r="AA96" s="243"/>
      <c r="AB96" s="242"/>
      <c r="AC96" s="242"/>
      <c r="AD96" s="242"/>
      <c r="AE96" s="243"/>
      <c r="AF96" s="242"/>
      <c r="AG96" s="242"/>
      <c r="AH96" s="242"/>
      <c r="AI96" s="376"/>
      <c r="AJ96" s="89"/>
      <c r="AK96" s="89"/>
      <c r="AL96" s="89"/>
      <c r="AM96" s="89"/>
      <c r="AN96" s="91"/>
      <c r="AO96" s="89"/>
      <c r="AP96" s="89"/>
      <c r="AQ96" s="378"/>
      <c r="AR96" s="91"/>
      <c r="AS96" s="89"/>
      <c r="AT96" s="89"/>
      <c r="AU96" s="1036"/>
      <c r="AV96" s="1233"/>
      <c r="AW96" s="1231"/>
      <c r="AX96" s="1250"/>
      <c r="AY96" s="1249"/>
      <c r="AZ96" s="1251"/>
      <c r="BA96" s="1250"/>
      <c r="BB96" s="1250"/>
      <c r="BC96" s="1249"/>
      <c r="BD96" s="1251"/>
      <c r="BE96" s="1250"/>
      <c r="BF96" s="1250"/>
      <c r="BG96" s="1249"/>
      <c r="BH96" s="1251"/>
      <c r="BI96" s="1250"/>
      <c r="BJ96" s="1250"/>
      <c r="BK96" s="1249"/>
      <c r="BL96" s="1391"/>
      <c r="BM96" s="267"/>
      <c r="BN96" s="267"/>
      <c r="BO96" s="267"/>
      <c r="BP96" s="267"/>
      <c r="BQ96" s="267"/>
      <c r="BR96" s="267"/>
      <c r="BS96" s="267"/>
      <c r="BT96" s="267"/>
      <c r="BU96" s="269"/>
      <c r="BV96" s="267"/>
      <c r="BW96" s="267"/>
      <c r="BX96" s="267"/>
      <c r="BY96" s="1239"/>
      <c r="BZ96" s="1239"/>
      <c r="CA96" s="1239"/>
      <c r="CB96" s="19"/>
      <c r="CC96" s="269"/>
      <c r="CD96" s="267"/>
      <c r="CE96" s="267"/>
      <c r="CF96" s="267"/>
      <c r="CG96" s="267"/>
      <c r="CH96" s="267"/>
      <c r="CI96" s="269"/>
      <c r="CJ96" s="267"/>
      <c r="CK96" s="1201"/>
      <c r="CL96" s="1200"/>
      <c r="CM96" s="1200"/>
      <c r="CN96" s="1239"/>
      <c r="CO96" s="1239"/>
      <c r="CP96" s="1240"/>
    </row>
    <row r="97" spans="1:95" s="100" customFormat="1" ht="14.25" hidden="1" customHeight="1" collapsed="1">
      <c r="A97" s="510"/>
      <c r="B97" s="43" t="s">
        <v>245</v>
      </c>
      <c r="C97" s="380"/>
      <c r="D97" s="348"/>
      <c r="E97" s="349"/>
      <c r="F97" s="349"/>
      <c r="G97" s="350"/>
      <c r="H97" s="348"/>
      <c r="I97" s="349"/>
      <c r="J97" s="349"/>
      <c r="K97" s="350"/>
      <c r="L97" s="348">
        <f t="shared" ref="L97:AJ97" si="401">L$157</f>
        <v>0</v>
      </c>
      <c r="M97" s="349">
        <f t="shared" si="401"/>
        <v>14</v>
      </c>
      <c r="N97" s="349">
        <f t="shared" si="401"/>
        <v>16</v>
      </c>
      <c r="O97" s="350">
        <f t="shared" si="401"/>
        <v>23</v>
      </c>
      <c r="P97" s="348">
        <f t="shared" si="401"/>
        <v>21</v>
      </c>
      <c r="Q97" s="349">
        <f t="shared" si="401"/>
        <v>22</v>
      </c>
      <c r="R97" s="349">
        <f t="shared" si="401"/>
        <v>14</v>
      </c>
      <c r="S97" s="350">
        <f t="shared" si="401"/>
        <v>11</v>
      </c>
      <c r="T97" s="348">
        <f t="shared" si="401"/>
        <v>11</v>
      </c>
      <c r="U97" s="349">
        <f t="shared" si="401"/>
        <v>16</v>
      </c>
      <c r="V97" s="349">
        <f t="shared" si="401"/>
        <v>23</v>
      </c>
      <c r="W97" s="350">
        <f t="shared" si="401"/>
        <v>29</v>
      </c>
      <c r="X97" s="348">
        <f t="shared" si="401"/>
        <v>25</v>
      </c>
      <c r="Y97" s="349">
        <f t="shared" si="401"/>
        <v>25</v>
      </c>
      <c r="Z97" s="349">
        <f t="shared" si="401"/>
        <v>24</v>
      </c>
      <c r="AA97" s="350">
        <f t="shared" si="401"/>
        <v>27.345500000000001</v>
      </c>
      <c r="AB97" s="348">
        <f t="shared" si="401"/>
        <v>27.34</v>
      </c>
      <c r="AC97" s="349">
        <f t="shared" si="401"/>
        <v>26.933</v>
      </c>
      <c r="AD97" s="349">
        <f t="shared" si="401"/>
        <v>26.037049999999965</v>
      </c>
      <c r="AE97" s="350">
        <f t="shared" si="401"/>
        <v>25.513000000000002</v>
      </c>
      <c r="AF97" s="348">
        <f t="shared" si="401"/>
        <v>26.01695000000003</v>
      </c>
      <c r="AG97" s="349">
        <f t="shared" si="401"/>
        <v>38</v>
      </c>
      <c r="AH97" s="349">
        <f t="shared" si="401"/>
        <v>28.4</v>
      </c>
      <c r="AI97" s="350">
        <f t="shared" si="401"/>
        <v>28.501000000000001</v>
      </c>
      <c r="AJ97" s="355">
        <f t="shared" si="401"/>
        <v>132</v>
      </c>
      <c r="AK97" s="355">
        <f>AJ97*(1+AK98)</f>
        <v>132</v>
      </c>
      <c r="AL97" s="355"/>
      <c r="AM97" s="355"/>
      <c r="AN97" s="354"/>
      <c r="AO97" s="355"/>
      <c r="AP97" s="355"/>
      <c r="AQ97" s="352"/>
      <c r="AR97" s="354"/>
      <c r="AS97" s="355"/>
      <c r="AT97" s="355"/>
      <c r="AU97" s="352"/>
      <c r="AV97" s="354"/>
      <c r="AW97" s="355"/>
      <c r="AX97" s="352"/>
      <c r="AY97" s="351"/>
      <c r="AZ97" s="373"/>
      <c r="BA97" s="352"/>
      <c r="BB97" s="352"/>
      <c r="BC97" s="351"/>
      <c r="BD97" s="373"/>
      <c r="BE97" s="352"/>
      <c r="BF97" s="352"/>
      <c r="BG97" s="351"/>
      <c r="BH97" s="373"/>
      <c r="BI97" s="352"/>
      <c r="BJ97" s="352"/>
      <c r="BK97" s="1449"/>
      <c r="BL97" s="1445"/>
      <c r="BM97" s="357"/>
      <c r="BN97" s="357"/>
      <c r="BO97" s="357">
        <f>SUM(L97:O97)</f>
        <v>53</v>
      </c>
      <c r="BP97" s="357">
        <f>SUM(P97:S97)</f>
        <v>68</v>
      </c>
      <c r="BQ97" s="357">
        <f>SUM(T97:W97)</f>
        <v>79</v>
      </c>
      <c r="BR97" s="357">
        <f>SUM(X97:AA97)</f>
        <v>101.3455</v>
      </c>
      <c r="BS97" s="357">
        <f>SUM(AB97:AE97)</f>
        <v>105.82304999999997</v>
      </c>
      <c r="BT97" s="357">
        <f>SUM(AF97:AI97)</f>
        <v>120.91795000000005</v>
      </c>
      <c r="BU97" s="360">
        <f>SUM(AJ97:AM97)</f>
        <v>264</v>
      </c>
      <c r="BV97" s="357"/>
      <c r="BW97" s="357"/>
      <c r="BX97" s="357"/>
      <c r="BY97" s="357"/>
      <c r="BZ97" s="357"/>
      <c r="CA97" s="357"/>
      <c r="CB97" s="356"/>
      <c r="CC97" s="360"/>
      <c r="CD97" s="357">
        <f>SUM(I97:L97)</f>
        <v>0</v>
      </c>
      <c r="CE97" s="357">
        <f>SUM(M97:P97)</f>
        <v>74</v>
      </c>
      <c r="CF97" s="357">
        <f>SUM(Q97:T97)</f>
        <v>58</v>
      </c>
      <c r="CG97" s="357">
        <f>SUM(U97:X97)</f>
        <v>93</v>
      </c>
      <c r="CH97" s="357">
        <f>SUM(Y97:AB97)</f>
        <v>103.6855</v>
      </c>
      <c r="CI97" s="360">
        <f>SUM(AC97:AF97)</f>
        <v>104.5</v>
      </c>
      <c r="CJ97" s="357">
        <f>SUM(AG97:AJ97)</f>
        <v>226.90100000000001</v>
      </c>
      <c r="CK97" s="360">
        <f>SUM(AK97:AN97)</f>
        <v>132</v>
      </c>
      <c r="CL97" s="357"/>
      <c r="CM97" s="357"/>
      <c r="CN97" s="357"/>
      <c r="CO97" s="357"/>
      <c r="CP97" s="358"/>
    </row>
    <row r="98" spans="1:95" s="7" customFormat="1" ht="14.25" hidden="1" customHeight="1">
      <c r="A98" s="511"/>
      <c r="B98" s="35" t="s">
        <v>110</v>
      </c>
      <c r="C98" s="240"/>
      <c r="D98" s="149"/>
      <c r="E98" s="87"/>
      <c r="F98" s="87"/>
      <c r="G98" s="88"/>
      <c r="H98" s="149"/>
      <c r="I98" s="87"/>
      <c r="J98" s="87"/>
      <c r="K98" s="88"/>
      <c r="L98" s="149"/>
      <c r="M98" s="87" t="e">
        <f t="shared" ref="M98:AJ98" si="402">M97/L97-1</f>
        <v>#DIV/0!</v>
      </c>
      <c r="N98" s="87">
        <f t="shared" si="402"/>
        <v>0.14285714285714279</v>
      </c>
      <c r="O98" s="88">
        <f t="shared" si="402"/>
        <v>0.4375</v>
      </c>
      <c r="P98" s="149">
        <f t="shared" si="402"/>
        <v>-8.6956521739130488E-2</v>
      </c>
      <c r="Q98" s="87">
        <f t="shared" si="402"/>
        <v>4.7619047619047672E-2</v>
      </c>
      <c r="R98" s="87">
        <f t="shared" si="402"/>
        <v>-0.36363636363636365</v>
      </c>
      <c r="S98" s="88">
        <f t="shared" si="402"/>
        <v>-0.2142857142857143</v>
      </c>
      <c r="T98" s="149">
        <f t="shared" si="402"/>
        <v>0</v>
      </c>
      <c r="U98" s="87">
        <f t="shared" si="402"/>
        <v>0.45454545454545459</v>
      </c>
      <c r="V98" s="87">
        <f t="shared" si="402"/>
        <v>0.4375</v>
      </c>
      <c r="W98" s="88">
        <f t="shared" si="402"/>
        <v>0.26086956521739135</v>
      </c>
      <c r="X98" s="361">
        <f t="shared" si="402"/>
        <v>-0.13793103448275867</v>
      </c>
      <c r="Y98" s="362">
        <f t="shared" si="402"/>
        <v>0</v>
      </c>
      <c r="Z98" s="87">
        <f t="shared" si="402"/>
        <v>-4.0000000000000036E-2</v>
      </c>
      <c r="AA98" s="88">
        <f t="shared" si="402"/>
        <v>0.13939583333333339</v>
      </c>
      <c r="AB98" s="361">
        <f t="shared" si="402"/>
        <v>-2.011299848239112E-4</v>
      </c>
      <c r="AC98" s="362">
        <f t="shared" si="402"/>
        <v>-1.4886613021214301E-2</v>
      </c>
      <c r="AD98" s="362">
        <f t="shared" si="402"/>
        <v>-3.3265882003491454E-2</v>
      </c>
      <c r="AE98" s="88">
        <f t="shared" si="402"/>
        <v>-2.012708813018238E-2</v>
      </c>
      <c r="AF98" s="361">
        <f t="shared" si="402"/>
        <v>1.9752675106809336E-2</v>
      </c>
      <c r="AG98" s="362">
        <f t="shared" si="402"/>
        <v>0.46058627164213939</v>
      </c>
      <c r="AH98" s="362">
        <f t="shared" si="402"/>
        <v>-0.25263157894736843</v>
      </c>
      <c r="AI98" s="88">
        <f t="shared" si="402"/>
        <v>3.5563380281691259E-3</v>
      </c>
      <c r="AJ98" s="89">
        <f t="shared" si="402"/>
        <v>3.6314164415283674</v>
      </c>
      <c r="AK98" s="89">
        <v>0</v>
      </c>
      <c r="AL98" s="89"/>
      <c r="AM98" s="89"/>
      <c r="AN98" s="91"/>
      <c r="AO98" s="89"/>
      <c r="AP98" s="89"/>
      <c r="AQ98" s="89"/>
      <c r="AR98" s="91"/>
      <c r="AS98" s="89"/>
      <c r="AT98" s="89"/>
      <c r="AU98" s="89"/>
      <c r="AV98" s="1233"/>
      <c r="AW98" s="1231"/>
      <c r="AX98" s="1231"/>
      <c r="AY98" s="1232"/>
      <c r="AZ98" s="1233"/>
      <c r="BA98" s="1231"/>
      <c r="BB98" s="1231"/>
      <c r="BC98" s="1232"/>
      <c r="BD98" s="1233"/>
      <c r="BE98" s="1231"/>
      <c r="BF98" s="1231"/>
      <c r="BG98" s="1232"/>
      <c r="BH98" s="1312"/>
      <c r="BI98" s="1310"/>
      <c r="BJ98" s="1310"/>
      <c r="BK98" s="1396"/>
      <c r="BL98" s="1391"/>
      <c r="BM98" s="241"/>
      <c r="BN98" s="241"/>
      <c r="BO98" s="241"/>
      <c r="BP98" s="241"/>
      <c r="BQ98" s="241"/>
      <c r="BR98" s="241"/>
      <c r="BS98" s="241"/>
      <c r="BT98" s="241"/>
      <c r="BU98" s="629"/>
      <c r="BV98" s="241"/>
      <c r="BW98" s="241"/>
      <c r="BX98" s="241"/>
      <c r="BY98" s="1238"/>
      <c r="BZ98" s="1314"/>
      <c r="CA98" s="1314"/>
      <c r="CB98" s="19"/>
      <c r="CC98" s="629"/>
      <c r="CD98" s="241"/>
      <c r="CE98" s="241"/>
      <c r="CF98" s="241"/>
      <c r="CG98" s="241"/>
      <c r="CH98" s="241"/>
      <c r="CI98" s="629"/>
      <c r="CJ98" s="241"/>
      <c r="CK98" s="1204"/>
      <c r="CL98" s="1199"/>
      <c r="CM98" s="1199"/>
      <c r="CN98" s="1314"/>
      <c r="CO98" s="1314"/>
      <c r="CP98" s="1315"/>
    </row>
    <row r="99" spans="1:95" s="7" customFormat="1" ht="14.25" hidden="1" customHeight="1">
      <c r="A99" s="511"/>
      <c r="B99" s="35" t="s">
        <v>202</v>
      </c>
      <c r="C99" s="240"/>
      <c r="D99" s="149"/>
      <c r="E99" s="87"/>
      <c r="F99" s="87"/>
      <c r="G99" s="88"/>
      <c r="H99" s="149"/>
      <c r="I99" s="87"/>
      <c r="J99" s="87"/>
      <c r="K99" s="88"/>
      <c r="L99" s="149"/>
      <c r="M99" s="87"/>
      <c r="N99" s="87"/>
      <c r="O99" s="88"/>
      <c r="P99" s="149"/>
      <c r="Q99" s="87"/>
      <c r="R99" s="87"/>
      <c r="S99" s="88"/>
      <c r="T99" s="149"/>
      <c r="U99" s="87"/>
      <c r="V99" s="87"/>
      <c r="W99" s="88"/>
      <c r="X99" s="87"/>
      <c r="Y99" s="87"/>
      <c r="Z99" s="87"/>
      <c r="AA99" s="88"/>
      <c r="AB99" s="87"/>
      <c r="AC99" s="87"/>
      <c r="AD99" s="87"/>
      <c r="AE99" s="88"/>
      <c r="AF99" s="87"/>
      <c r="AG99" s="87"/>
      <c r="AH99" s="241"/>
      <c r="AI99" s="88"/>
      <c r="AJ99" s="87">
        <f>AVERAGE(AF98,AB98,X98,T98,P98)</f>
        <v>-4.1067202219980746E-2</v>
      </c>
      <c r="AK99" s="87">
        <f>AVERAGE(AG98,AC98,Y98,U98,Q98)</f>
        <v>0.18957283215708548</v>
      </c>
      <c r="AL99" s="87"/>
      <c r="AM99" s="87"/>
      <c r="AN99" s="149"/>
      <c r="AO99" s="87"/>
      <c r="AP99" s="943"/>
      <c r="AQ99" s="943"/>
      <c r="AR99" s="945"/>
      <c r="AS99" s="1000"/>
      <c r="AT99" s="1177"/>
      <c r="AU99" s="1000"/>
      <c r="AV99" s="1237"/>
      <c r="AW99" s="1229"/>
      <c r="AX99" s="1229"/>
      <c r="AY99" s="1230"/>
      <c r="AZ99" s="1237"/>
      <c r="BA99" s="1229"/>
      <c r="BB99" s="1229"/>
      <c r="BC99" s="1230"/>
      <c r="BD99" s="1237"/>
      <c r="BE99" s="1229"/>
      <c r="BF99" s="1229"/>
      <c r="BG99" s="1230"/>
      <c r="BH99" s="1313"/>
      <c r="BI99" s="1308"/>
      <c r="BJ99" s="1308"/>
      <c r="BK99" s="1395"/>
      <c r="BL99" s="1391"/>
      <c r="BM99" s="241"/>
      <c r="BN99" s="241"/>
      <c r="BO99" s="241"/>
      <c r="BP99" s="241"/>
      <c r="BQ99" s="241"/>
      <c r="BR99" s="241"/>
      <c r="BS99" s="241"/>
      <c r="BT99" s="241"/>
      <c r="BU99" s="629"/>
      <c r="BV99" s="241"/>
      <c r="BW99" s="241"/>
      <c r="BX99" s="241"/>
      <c r="BY99" s="1238"/>
      <c r="BZ99" s="1314"/>
      <c r="CA99" s="1314"/>
      <c r="CB99" s="19"/>
      <c r="CC99" s="629"/>
      <c r="CD99" s="241"/>
      <c r="CE99" s="241"/>
      <c r="CF99" s="241"/>
      <c r="CG99" s="241"/>
      <c r="CH99" s="241"/>
      <c r="CI99" s="629"/>
      <c r="CJ99" s="241"/>
      <c r="CK99" s="1204"/>
      <c r="CL99" s="1199"/>
      <c r="CM99" s="1199"/>
      <c r="CN99" s="1314"/>
      <c r="CO99" s="1314"/>
      <c r="CP99" s="1315"/>
    </row>
    <row r="100" spans="1:95" s="369" customFormat="1" ht="14.25" hidden="1" customHeight="1">
      <c r="A100" s="512"/>
      <c r="B100" s="363" t="s">
        <v>111</v>
      </c>
      <c r="C100" s="364"/>
      <c r="D100" s="361"/>
      <c r="E100" s="362"/>
      <c r="F100" s="362"/>
      <c r="G100" s="365"/>
      <c r="H100" s="361"/>
      <c r="I100" s="362"/>
      <c r="J100" s="362"/>
      <c r="K100" s="365"/>
      <c r="L100" s="361"/>
      <c r="M100" s="362"/>
      <c r="N100" s="362"/>
      <c r="O100" s="365"/>
      <c r="P100" s="361" t="e">
        <f t="shared" ref="P100:AJ100" si="403">P97/L97-1</f>
        <v>#DIV/0!</v>
      </c>
      <c r="Q100" s="362">
        <f t="shared" si="403"/>
        <v>0.5714285714285714</v>
      </c>
      <c r="R100" s="362">
        <f t="shared" si="403"/>
        <v>-0.125</v>
      </c>
      <c r="S100" s="365">
        <f t="shared" si="403"/>
        <v>-0.52173913043478259</v>
      </c>
      <c r="T100" s="361">
        <f t="shared" si="403"/>
        <v>-0.47619047619047616</v>
      </c>
      <c r="U100" s="362">
        <f t="shared" si="403"/>
        <v>-0.27272727272727271</v>
      </c>
      <c r="V100" s="362">
        <f t="shared" si="403"/>
        <v>0.64285714285714279</v>
      </c>
      <c r="W100" s="365">
        <f t="shared" si="403"/>
        <v>1.6363636363636362</v>
      </c>
      <c r="X100" s="361">
        <f t="shared" si="403"/>
        <v>1.2727272727272729</v>
      </c>
      <c r="Y100" s="362">
        <f t="shared" si="403"/>
        <v>0.5625</v>
      </c>
      <c r="Z100" s="362">
        <f t="shared" si="403"/>
        <v>4.3478260869565188E-2</v>
      </c>
      <c r="AA100" s="365">
        <f t="shared" si="403"/>
        <v>-5.7051724137931026E-2</v>
      </c>
      <c r="AB100" s="361">
        <f t="shared" si="403"/>
        <v>9.3599999999999905E-2</v>
      </c>
      <c r="AC100" s="362">
        <f t="shared" si="403"/>
        <v>7.7320000000000055E-2</v>
      </c>
      <c r="AD100" s="362">
        <f t="shared" si="403"/>
        <v>8.4877083333331882E-2</v>
      </c>
      <c r="AE100" s="365">
        <f t="shared" si="403"/>
        <v>-6.7012854034484648E-2</v>
      </c>
      <c r="AF100" s="361">
        <f t="shared" si="403"/>
        <v>-4.8392465252376393E-2</v>
      </c>
      <c r="AG100" s="362">
        <f t="shared" si="403"/>
        <v>0.41090855084840161</v>
      </c>
      <c r="AH100" s="362">
        <f t="shared" si="403"/>
        <v>9.0753368757214625E-2</v>
      </c>
      <c r="AI100" s="365">
        <f t="shared" si="403"/>
        <v>0.11711676400266535</v>
      </c>
      <c r="AJ100" s="362">
        <f t="shared" si="403"/>
        <v>4.0736154699147997</v>
      </c>
      <c r="AK100" s="362">
        <f>AK97/AG97-1</f>
        <v>2.4736842105263159</v>
      </c>
      <c r="AL100" s="362"/>
      <c r="AM100" s="362"/>
      <c r="AN100" s="361"/>
      <c r="AO100" s="362"/>
      <c r="AP100" s="362"/>
      <c r="AQ100" s="362"/>
      <c r="AR100" s="361"/>
      <c r="AS100" s="362"/>
      <c r="AT100" s="362"/>
      <c r="AU100" s="362"/>
      <c r="AV100" s="361"/>
      <c r="AW100" s="362"/>
      <c r="AX100" s="362"/>
      <c r="AY100" s="365"/>
      <c r="AZ100" s="361"/>
      <c r="BA100" s="362"/>
      <c r="BB100" s="362"/>
      <c r="BC100" s="365"/>
      <c r="BD100" s="361"/>
      <c r="BE100" s="362"/>
      <c r="BF100" s="362"/>
      <c r="BG100" s="365"/>
      <c r="BH100" s="361"/>
      <c r="BI100" s="362"/>
      <c r="BJ100" s="362"/>
      <c r="BK100" s="1441"/>
      <c r="BL100" s="1446"/>
      <c r="BM100" s="362"/>
      <c r="BN100" s="301"/>
      <c r="BO100" s="301"/>
      <c r="BP100" s="301">
        <f t="shared" ref="BP100:BU100" si="404">BP97/BO97-1</f>
        <v>0.28301886792452824</v>
      </c>
      <c r="BQ100" s="301">
        <f t="shared" si="404"/>
        <v>0.16176470588235303</v>
      </c>
      <c r="BR100" s="301">
        <f t="shared" si="404"/>
        <v>0.28285443037974689</v>
      </c>
      <c r="BS100" s="301">
        <f t="shared" si="404"/>
        <v>4.4181044052276297E-2</v>
      </c>
      <c r="BT100" s="301">
        <f t="shared" si="404"/>
        <v>0.14264283631968722</v>
      </c>
      <c r="BU100" s="632">
        <f t="shared" si="404"/>
        <v>1.1832986748452146</v>
      </c>
      <c r="BV100" s="301"/>
      <c r="BW100" s="301"/>
      <c r="BX100" s="301"/>
      <c r="BY100" s="301"/>
      <c r="BZ100" s="301"/>
      <c r="CA100" s="301"/>
      <c r="CB100" s="366"/>
      <c r="CC100" s="632"/>
      <c r="CD100" s="301"/>
      <c r="CE100" s="301"/>
      <c r="CF100" s="301"/>
      <c r="CG100" s="301"/>
      <c r="CH100" s="301"/>
      <c r="CI100" s="632">
        <f>CI97/CH97-1</f>
        <v>7.8554860612138899E-3</v>
      </c>
      <c r="CJ100" s="301">
        <f>CJ97/CI97-1</f>
        <v>1.1713014354066988</v>
      </c>
      <c r="CK100" s="632">
        <f>CK97/CJ97-1</f>
        <v>-0.4182484872257064</v>
      </c>
      <c r="CL100" s="301"/>
      <c r="CM100" s="301"/>
      <c r="CN100" s="301"/>
      <c r="CO100" s="301"/>
      <c r="CP100" s="367"/>
    </row>
    <row r="101" spans="1:95" s="7" customFormat="1" ht="14.25" hidden="1" customHeight="1">
      <c r="A101" s="511"/>
      <c r="B101" s="35" t="s">
        <v>112</v>
      </c>
      <c r="C101" s="240"/>
      <c r="D101" s="87"/>
      <c r="E101" s="87"/>
      <c r="F101" s="87"/>
      <c r="G101" s="88"/>
      <c r="H101" s="87"/>
      <c r="I101" s="87"/>
      <c r="J101" s="87"/>
      <c r="K101" s="88"/>
      <c r="L101" s="149">
        <f>L97/L$108</f>
        <v>0</v>
      </c>
      <c r="M101" s="87">
        <f>M97/M$108</f>
        <v>3.406326034063261E-2</v>
      </c>
      <c r="N101" s="87">
        <f>N97/N$108</f>
        <v>3.644646924829157E-2</v>
      </c>
      <c r="O101" s="88">
        <f t="shared" ref="O101:AE101" si="405">O97/O$108</f>
        <v>5.145413870246085E-2</v>
      </c>
      <c r="P101" s="149">
        <f t="shared" si="405"/>
        <v>5.7065217391304345E-2</v>
      </c>
      <c r="Q101" s="87">
        <f t="shared" si="405"/>
        <v>6.7692307692307691E-2</v>
      </c>
      <c r="R101" s="87">
        <f t="shared" si="405"/>
        <v>3.8567493112947659E-2</v>
      </c>
      <c r="S101" s="88">
        <f t="shared" si="405"/>
        <v>2.5700934579439252E-2</v>
      </c>
      <c r="T101" s="149">
        <f t="shared" si="405"/>
        <v>2.4122807017543858E-2</v>
      </c>
      <c r="U101" s="87">
        <f t="shared" si="405"/>
        <v>3.1067961165048542E-2</v>
      </c>
      <c r="V101" s="87">
        <f t="shared" si="405"/>
        <v>4.1818181818181817E-2</v>
      </c>
      <c r="W101" s="88">
        <f t="shared" si="405"/>
        <v>5.0699300699300696E-2</v>
      </c>
      <c r="X101" s="361">
        <f t="shared" si="405"/>
        <v>4.5454545454545456E-2</v>
      </c>
      <c r="Y101" s="362">
        <f t="shared" si="405"/>
        <v>4.4642857142857144E-2</v>
      </c>
      <c r="Z101" s="87">
        <f t="shared" si="405"/>
        <v>3.9800995024875621E-2</v>
      </c>
      <c r="AA101" s="88">
        <f t="shared" si="405"/>
        <v>4.3893258426966293E-2</v>
      </c>
      <c r="AB101" s="361">
        <f t="shared" si="405"/>
        <v>4.8561278863232679E-2</v>
      </c>
      <c r="AC101" s="362">
        <f t="shared" si="405"/>
        <v>4.6677642980935873E-2</v>
      </c>
      <c r="AD101" s="362">
        <f t="shared" si="405"/>
        <v>4.2965429042904235E-2</v>
      </c>
      <c r="AE101" s="88">
        <f t="shared" si="405"/>
        <v>4.1283171521035604E-2</v>
      </c>
      <c r="AF101" s="361">
        <f>AF97/AF$108</f>
        <v>4.5168315972222275E-2</v>
      </c>
      <c r="AG101" s="362">
        <f>AG97/AG$108</f>
        <v>6.7615658362989328E-2</v>
      </c>
      <c r="AH101" s="362">
        <f>AH97/AH$108</f>
        <v>4.4099378881987575E-2</v>
      </c>
      <c r="AI101" s="88">
        <f>AI97/AI$108</f>
        <v>3.8619241192411925E-2</v>
      </c>
      <c r="AJ101" s="87">
        <f>AJ97/AJ$108</f>
        <v>0.20857693644723951</v>
      </c>
      <c r="AK101" s="87">
        <f>AK97/(AK108)</f>
        <v>0.18830242510699002</v>
      </c>
      <c r="AL101" s="87"/>
      <c r="AM101" s="87"/>
      <c r="AN101" s="149"/>
      <c r="AO101" s="87"/>
      <c r="AP101" s="943"/>
      <c r="AQ101" s="943"/>
      <c r="AR101" s="945"/>
      <c r="AS101" s="1000"/>
      <c r="AT101" s="1177"/>
      <c r="AU101" s="1000"/>
      <c r="AV101" s="1237"/>
      <c r="AW101" s="1229"/>
      <c r="AX101" s="1229"/>
      <c r="AY101" s="1230"/>
      <c r="AZ101" s="1237"/>
      <c r="BA101" s="1229"/>
      <c r="BB101" s="1229"/>
      <c r="BC101" s="1230"/>
      <c r="BD101" s="1237"/>
      <c r="BE101" s="1229"/>
      <c r="BF101" s="1229"/>
      <c r="BG101" s="1230"/>
      <c r="BH101" s="1313"/>
      <c r="BI101" s="1308"/>
      <c r="BJ101" s="1308"/>
      <c r="BK101" s="1395"/>
      <c r="BL101" s="1391"/>
      <c r="BM101" s="301"/>
      <c r="BN101" s="301"/>
      <c r="BO101" s="301"/>
      <c r="BP101" s="301">
        <f t="shared" ref="BP101:BU101" si="406">BP97/(BP130)</f>
        <v>0.2943722943722944</v>
      </c>
      <c r="BQ101" s="301">
        <f t="shared" si="406"/>
        <v>0.13763066202090593</v>
      </c>
      <c r="BR101" s="301">
        <f t="shared" si="406"/>
        <v>0.14395667613636365</v>
      </c>
      <c r="BS101" s="301">
        <f t="shared" si="406"/>
        <v>0.14718087621696796</v>
      </c>
      <c r="BT101" s="301">
        <f t="shared" si="406"/>
        <v>0.1634026351351352</v>
      </c>
      <c r="BU101" s="632">
        <f t="shared" si="406"/>
        <v>0.17357001972386588</v>
      </c>
      <c r="BV101" s="301"/>
      <c r="BW101" s="301"/>
      <c r="BX101" s="301"/>
      <c r="BY101" s="301"/>
      <c r="BZ101" s="301"/>
      <c r="CA101" s="301"/>
      <c r="CB101" s="19"/>
      <c r="CC101" s="632"/>
      <c r="CD101" s="301"/>
      <c r="CE101" s="301"/>
      <c r="CF101" s="301"/>
      <c r="CG101" s="301"/>
      <c r="CH101" s="301"/>
      <c r="CI101" s="632">
        <f>CI97/CI$108</f>
        <v>4.3962978544383677E-2</v>
      </c>
      <c r="CJ101" s="301">
        <f>CJ97/CJ$108</f>
        <v>8.8053289662612638E-2</v>
      </c>
      <c r="CK101" s="632">
        <f>CK97/CK$108</f>
        <v>2.5118934348239773E-2</v>
      </c>
      <c r="CL101" s="301"/>
      <c r="CM101" s="301"/>
      <c r="CN101" s="301"/>
      <c r="CO101" s="301"/>
      <c r="CP101" s="367"/>
    </row>
    <row r="102" spans="1:95" s="7" customFormat="1" ht="14.25" hidden="1" customHeight="1">
      <c r="A102" s="511"/>
      <c r="B102" s="35"/>
      <c r="C102" s="240"/>
      <c r="D102" s="87"/>
      <c r="E102" s="87"/>
      <c r="F102" s="87"/>
      <c r="G102" s="88"/>
      <c r="H102" s="87"/>
      <c r="I102" s="87"/>
      <c r="J102" s="87"/>
      <c r="K102" s="88"/>
      <c r="L102" s="87"/>
      <c r="M102" s="87"/>
      <c r="N102" s="87"/>
      <c r="O102" s="88"/>
      <c r="P102" s="87"/>
      <c r="Q102" s="87"/>
      <c r="R102" s="87"/>
      <c r="S102" s="88"/>
      <c r="T102" s="87"/>
      <c r="U102" s="87"/>
      <c r="V102" s="87"/>
      <c r="W102" s="88"/>
      <c r="X102" s="87"/>
      <c r="Y102" s="87"/>
      <c r="Z102" s="87"/>
      <c r="AA102" s="90"/>
      <c r="AB102" s="63"/>
      <c r="AC102" s="89"/>
      <c r="AD102" s="89"/>
      <c r="AE102" s="90"/>
      <c r="AF102" s="63"/>
      <c r="AG102" s="89"/>
      <c r="AH102" s="63"/>
      <c r="AI102" s="22"/>
      <c r="AJ102" s="63"/>
      <c r="AK102" s="63"/>
      <c r="AL102" s="63"/>
      <c r="AM102" s="63"/>
      <c r="AN102" s="21"/>
      <c r="AO102" s="63"/>
      <c r="AP102" s="63"/>
      <c r="AQ102" s="63"/>
      <c r="AR102" s="21"/>
      <c r="AS102" s="63"/>
      <c r="AT102" s="63"/>
      <c r="AU102" s="63"/>
      <c r="AV102" s="21"/>
      <c r="AW102" s="63"/>
      <c r="AX102" s="63"/>
      <c r="AY102" s="22"/>
      <c r="AZ102" s="21"/>
      <c r="BA102" s="63"/>
      <c r="BB102" s="63"/>
      <c r="BC102" s="22"/>
      <c r="BD102" s="21"/>
      <c r="BE102" s="63"/>
      <c r="BF102" s="63"/>
      <c r="BG102" s="22"/>
      <c r="BH102" s="21"/>
      <c r="BI102" s="63"/>
      <c r="BJ102" s="63"/>
      <c r="BK102" s="1450"/>
      <c r="BL102" s="1391"/>
      <c r="BM102" s="13"/>
      <c r="BN102" s="13"/>
      <c r="BO102" s="13"/>
      <c r="BP102" s="13"/>
      <c r="BQ102" s="13"/>
      <c r="BR102" s="13"/>
      <c r="BS102" s="13"/>
      <c r="BT102" s="13"/>
      <c r="BU102" s="20"/>
      <c r="BV102" s="13"/>
      <c r="BW102" s="13"/>
      <c r="BX102" s="13"/>
      <c r="BY102" s="13"/>
      <c r="BZ102" s="13"/>
      <c r="CA102" s="13"/>
      <c r="CB102" s="19"/>
      <c r="CC102" s="20"/>
      <c r="CD102" s="13"/>
      <c r="CE102" s="13"/>
      <c r="CF102" s="13"/>
      <c r="CG102" s="13"/>
      <c r="CH102" s="13"/>
      <c r="CI102" s="20"/>
      <c r="CJ102" s="13"/>
      <c r="CK102" s="20"/>
      <c r="CL102" s="13"/>
      <c r="CM102" s="13"/>
      <c r="CN102" s="13"/>
      <c r="CO102" s="13"/>
      <c r="CP102" s="232"/>
    </row>
    <row r="103" spans="1:95" s="7" customFormat="1" ht="14.25" hidden="1" customHeight="1">
      <c r="A103" s="511"/>
      <c r="B103" s="43" t="str">
        <f>$B$97&amp;" Gross Margin"</f>
        <v xml:space="preserve"> IP Revenue Gross Margin</v>
      </c>
      <c r="C103" s="240"/>
      <c r="D103" s="370"/>
      <c r="E103" s="371"/>
      <c r="F103" s="371"/>
      <c r="G103" s="372"/>
      <c r="H103" s="370"/>
      <c r="I103" s="371"/>
      <c r="J103" s="371"/>
      <c r="K103" s="372"/>
      <c r="L103" s="370">
        <f>L101*L$129</f>
        <v>0</v>
      </c>
      <c r="M103" s="371">
        <f t="shared" ref="M103:AJ103" si="407">M101*M$129</f>
        <v>5.9270072992700742</v>
      </c>
      <c r="N103" s="371">
        <f t="shared" si="407"/>
        <v>6.8519362186788149</v>
      </c>
      <c r="O103" s="372">
        <f t="shared" si="407"/>
        <v>9.4675615212527973</v>
      </c>
      <c r="P103" s="370">
        <f t="shared" si="407"/>
        <v>9.3586956521739122</v>
      </c>
      <c r="Q103" s="371">
        <f t="shared" si="407"/>
        <v>7.7846153846153845</v>
      </c>
      <c r="R103" s="371">
        <f t="shared" si="407"/>
        <v>6.0936639118457299</v>
      </c>
      <c r="S103" s="372">
        <f t="shared" si="407"/>
        <v>4.9345794392523361</v>
      </c>
      <c r="T103" s="370">
        <f t="shared" si="407"/>
        <v>5.0416666666666661</v>
      </c>
      <c r="U103" s="371">
        <f t="shared" si="407"/>
        <v>7.7048543689320388</v>
      </c>
      <c r="V103" s="371">
        <f t="shared" si="407"/>
        <v>11.709090909090909</v>
      </c>
      <c r="W103" s="372">
        <f t="shared" si="407"/>
        <v>14.753496503496503</v>
      </c>
      <c r="X103" s="373">
        <f t="shared" si="407"/>
        <v>13</v>
      </c>
      <c r="Y103" s="352">
        <f t="shared" si="407"/>
        <v>12.946428571428571</v>
      </c>
      <c r="Z103" s="371">
        <f t="shared" si="407"/>
        <v>12.417910447761194</v>
      </c>
      <c r="AA103" s="372">
        <f t="shared" si="407"/>
        <v>14.001949438202248</v>
      </c>
      <c r="AB103" s="373">
        <f t="shared" si="407"/>
        <v>13.839964476021313</v>
      </c>
      <c r="AC103" s="352">
        <f t="shared" si="407"/>
        <v>13.769904679376083</v>
      </c>
      <c r="AD103" s="352">
        <f t="shared" si="407"/>
        <v>13.319283003300313</v>
      </c>
      <c r="AE103" s="372">
        <f t="shared" si="407"/>
        <v>13.045482200647252</v>
      </c>
      <c r="AF103" s="371">
        <f t="shared" si="407"/>
        <v>13.189148263888905</v>
      </c>
      <c r="AG103" s="371">
        <f t="shared" si="407"/>
        <v>19.473309608540927</v>
      </c>
      <c r="AH103" s="371">
        <f t="shared" si="407"/>
        <v>14.464596273291924</v>
      </c>
      <c r="AI103" s="372">
        <f t="shared" si="407"/>
        <v>14.404976964769649</v>
      </c>
      <c r="AJ103" s="371">
        <f t="shared" si="407"/>
        <v>76.339158739689665</v>
      </c>
      <c r="AK103" s="371">
        <f>AK106*AK97</f>
        <v>132</v>
      </c>
      <c r="AL103" s="371"/>
      <c r="AM103" s="371"/>
      <c r="AN103" s="370"/>
      <c r="AO103" s="371"/>
      <c r="AP103" s="371"/>
      <c r="AQ103" s="371"/>
      <c r="AR103" s="370"/>
      <c r="AS103" s="371"/>
      <c r="AT103" s="371"/>
      <c r="AU103" s="371"/>
      <c r="AV103" s="370"/>
      <c r="AW103" s="371"/>
      <c r="AX103" s="371"/>
      <c r="AY103" s="372"/>
      <c r="AZ103" s="370"/>
      <c r="BA103" s="371"/>
      <c r="BB103" s="371"/>
      <c r="BC103" s="372"/>
      <c r="BD103" s="370"/>
      <c r="BE103" s="371"/>
      <c r="BF103" s="371"/>
      <c r="BG103" s="372"/>
      <c r="BH103" s="370"/>
      <c r="BI103" s="371"/>
      <c r="BJ103" s="371"/>
      <c r="BK103" s="1397"/>
      <c r="BL103" s="1447"/>
      <c r="BM103" s="357"/>
      <c r="BN103" s="357"/>
      <c r="BO103" s="357">
        <f>SUM(L103:O103)</f>
        <v>22.246505039201686</v>
      </c>
      <c r="BP103" s="357">
        <f>SUM(P103:S103)</f>
        <v>28.171554387887362</v>
      </c>
      <c r="BQ103" s="357">
        <f>SUM(T103:W103)</f>
        <v>39.209108448186115</v>
      </c>
      <c r="BR103" s="357">
        <f>SUM(X103:AA103)</f>
        <v>52.36628845739201</v>
      </c>
      <c r="BS103" s="357">
        <f>SUM(AB103:AE103)</f>
        <v>53.974634359344961</v>
      </c>
      <c r="BT103" s="357">
        <f>SUM(AF103:AI103)</f>
        <v>61.532031110491403</v>
      </c>
      <c r="BU103" s="360">
        <f>SUM(AJ103:AM103)</f>
        <v>208.33915873968965</v>
      </c>
      <c r="BV103" s="357"/>
      <c r="BW103" s="357"/>
      <c r="BX103" s="357"/>
      <c r="BY103" s="357"/>
      <c r="BZ103" s="357"/>
      <c r="CA103" s="357"/>
      <c r="CB103" s="19"/>
      <c r="CC103" s="360"/>
      <c r="CD103" s="357"/>
      <c r="CE103" s="357"/>
      <c r="CF103" s="357"/>
      <c r="CG103" s="357"/>
      <c r="CH103" s="357"/>
      <c r="CI103" s="360"/>
      <c r="CJ103" s="357"/>
      <c r="CK103" s="360"/>
      <c r="CL103" s="357"/>
      <c r="CM103" s="357"/>
      <c r="CN103" s="357"/>
      <c r="CO103" s="357"/>
      <c r="CP103" s="358"/>
    </row>
    <row r="104" spans="1:95" s="7" customFormat="1" ht="14.25" hidden="1" customHeight="1">
      <c r="A104" s="511"/>
      <c r="B104" s="35" t="s">
        <v>110</v>
      </c>
      <c r="C104" s="240"/>
      <c r="D104" s="149"/>
      <c r="E104" s="87"/>
      <c r="F104" s="87"/>
      <c r="G104" s="88"/>
      <c r="H104" s="149"/>
      <c r="I104" s="87"/>
      <c r="J104" s="87"/>
      <c r="K104" s="88"/>
      <c r="L104" s="149"/>
      <c r="M104" s="87"/>
      <c r="N104" s="87">
        <f t="shared" ref="N104:AK104" si="408">N103/M103-1</f>
        <v>0.15605327827462734</v>
      </c>
      <c r="O104" s="88">
        <f t="shared" si="408"/>
        <v>0.38173520872007249</v>
      </c>
      <c r="P104" s="149">
        <f t="shared" si="408"/>
        <v>-1.1498828799211158E-2</v>
      </c>
      <c r="Q104" s="87">
        <f t="shared" si="408"/>
        <v>-0.16819440721879741</v>
      </c>
      <c r="R104" s="87">
        <f t="shared" si="408"/>
        <v>-0.21721708642297932</v>
      </c>
      <c r="S104" s="88">
        <f t="shared" si="408"/>
        <v>-0.1902114211353535</v>
      </c>
      <c r="T104" s="149">
        <f t="shared" si="408"/>
        <v>2.170138888888884E-2</v>
      </c>
      <c r="U104" s="87">
        <f t="shared" si="408"/>
        <v>0.5282355773088343</v>
      </c>
      <c r="V104" s="87">
        <f t="shared" si="408"/>
        <v>0.5197030791788857</v>
      </c>
      <c r="W104" s="88">
        <f t="shared" si="408"/>
        <v>0.26000358337314866</v>
      </c>
      <c r="X104" s="361">
        <f t="shared" si="408"/>
        <v>-0.11885294466168972</v>
      </c>
      <c r="Y104" s="362">
        <f t="shared" si="408"/>
        <v>-4.1208791208791062E-3</v>
      </c>
      <c r="Z104" s="87">
        <f t="shared" si="408"/>
        <v>-4.082346886258359E-2</v>
      </c>
      <c r="AA104" s="88">
        <f t="shared" si="408"/>
        <v>0.12756083216292136</v>
      </c>
      <c r="AB104" s="361">
        <f t="shared" si="408"/>
        <v>-1.1568743545022575E-2</v>
      </c>
      <c r="AC104" s="362">
        <f t="shared" si="408"/>
        <v>-5.0621370283582268E-3</v>
      </c>
      <c r="AD104" s="362">
        <f t="shared" si="408"/>
        <v>-3.272511223339758E-2</v>
      </c>
      <c r="AE104" s="88">
        <f t="shared" si="408"/>
        <v>-2.0556722353989976E-2</v>
      </c>
      <c r="AF104" s="361">
        <f t="shared" si="408"/>
        <v>1.1012706240519421E-2</v>
      </c>
      <c r="AG104" s="362">
        <f t="shared" si="408"/>
        <v>0.47646453121295762</v>
      </c>
      <c r="AH104" s="362">
        <f t="shared" si="408"/>
        <v>-0.25720914605353973</v>
      </c>
      <c r="AI104" s="88">
        <f t="shared" si="408"/>
        <v>-4.121740240504268E-3</v>
      </c>
      <c r="AJ104" s="87">
        <f t="shared" si="408"/>
        <v>4.2994988417123379</v>
      </c>
      <c r="AK104" s="87">
        <f t="shared" si="408"/>
        <v>0.72912568306010916</v>
      </c>
      <c r="AL104" s="87"/>
      <c r="AM104" s="87"/>
      <c r="AN104" s="149"/>
      <c r="AO104" s="87"/>
      <c r="AP104" s="943"/>
      <c r="AQ104" s="943"/>
      <c r="AR104" s="945"/>
      <c r="AS104" s="1000"/>
      <c r="AT104" s="1177"/>
      <c r="AU104" s="1000"/>
      <c r="AV104" s="1237"/>
      <c r="AW104" s="1229"/>
      <c r="AX104" s="1229"/>
      <c r="AY104" s="1230"/>
      <c r="AZ104" s="1237"/>
      <c r="BA104" s="1229"/>
      <c r="BB104" s="1229"/>
      <c r="BC104" s="1230"/>
      <c r="BD104" s="1237"/>
      <c r="BE104" s="1229"/>
      <c r="BF104" s="1229"/>
      <c r="BG104" s="1230"/>
      <c r="BH104" s="1313"/>
      <c r="BI104" s="1308"/>
      <c r="BJ104" s="1308"/>
      <c r="BK104" s="1395"/>
      <c r="BL104" s="1391"/>
      <c r="BM104" s="241"/>
      <c r="BN104" s="241"/>
      <c r="BO104" s="241"/>
      <c r="BP104" s="241"/>
      <c r="BQ104" s="241"/>
      <c r="BR104" s="241"/>
      <c r="BS104" s="241"/>
      <c r="BT104" s="241"/>
      <c r="BU104" s="629"/>
      <c r="BV104" s="241"/>
      <c r="BW104" s="241"/>
      <c r="BX104" s="241"/>
      <c r="BY104" s="1238"/>
      <c r="BZ104" s="1314"/>
      <c r="CA104" s="1314"/>
      <c r="CB104" s="19"/>
      <c r="CC104" s="629"/>
      <c r="CD104" s="241"/>
      <c r="CE104" s="241"/>
      <c r="CF104" s="241"/>
      <c r="CG104" s="241"/>
      <c r="CH104" s="241"/>
      <c r="CI104" s="629"/>
      <c r="CJ104" s="241"/>
      <c r="CK104" s="1204"/>
      <c r="CL104" s="1199"/>
      <c r="CM104" s="1199"/>
      <c r="CN104" s="1314"/>
      <c r="CO104" s="1314"/>
      <c r="CP104" s="1315"/>
    </row>
    <row r="105" spans="1:95" s="7" customFormat="1" ht="14.25" hidden="1" customHeight="1">
      <c r="A105" s="511"/>
      <c r="B105" s="35" t="s">
        <v>111</v>
      </c>
      <c r="C105" s="240"/>
      <c r="D105" s="149"/>
      <c r="E105" s="87"/>
      <c r="F105" s="87"/>
      <c r="G105" s="88"/>
      <c r="H105" s="149"/>
      <c r="I105" s="87"/>
      <c r="J105" s="362"/>
      <c r="K105" s="365"/>
      <c r="L105" s="361"/>
      <c r="M105" s="362"/>
      <c r="N105" s="362"/>
      <c r="O105" s="365"/>
      <c r="P105" s="361"/>
      <c r="Q105" s="362">
        <f t="shared" ref="Q105:AK105" si="409">Q103/M103-1</f>
        <v>0.31341417203486133</v>
      </c>
      <c r="R105" s="362">
        <f t="shared" si="409"/>
        <v>-0.11066540648262113</v>
      </c>
      <c r="S105" s="365">
        <f t="shared" si="409"/>
        <v>-0.47879087680864985</v>
      </c>
      <c r="T105" s="361">
        <f t="shared" si="409"/>
        <v>-0.46128532713898573</v>
      </c>
      <c r="U105" s="362">
        <f t="shared" si="409"/>
        <v>-1.0245980275528588E-2</v>
      </c>
      <c r="V105" s="362">
        <f t="shared" si="409"/>
        <v>0.92151898734177218</v>
      </c>
      <c r="W105" s="365">
        <f t="shared" si="409"/>
        <v>1.9898184202161477</v>
      </c>
      <c r="X105" s="361">
        <f t="shared" si="409"/>
        <v>1.5785123966942152</v>
      </c>
      <c r="Y105" s="362">
        <f t="shared" si="409"/>
        <v>0.68029503888248843</v>
      </c>
      <c r="Z105" s="362">
        <f t="shared" si="409"/>
        <v>6.0535830165940441E-2</v>
      </c>
      <c r="AA105" s="365">
        <f t="shared" si="409"/>
        <v>-5.0940267964013963E-2</v>
      </c>
      <c r="AB105" s="361">
        <f t="shared" si="409"/>
        <v>6.4612652001639459E-2</v>
      </c>
      <c r="AC105" s="362">
        <f t="shared" si="409"/>
        <v>6.3606430406980108E-2</v>
      </c>
      <c r="AD105" s="362">
        <f t="shared" si="409"/>
        <v>7.2586491852308921E-2</v>
      </c>
      <c r="AE105" s="365">
        <f t="shared" si="409"/>
        <v>-6.8309576589772325E-2</v>
      </c>
      <c r="AF105" s="361">
        <f t="shared" si="409"/>
        <v>-4.7024413484586081E-2</v>
      </c>
      <c r="AG105" s="362">
        <f t="shared" si="409"/>
        <v>0.41419349385236748</v>
      </c>
      <c r="AH105" s="362">
        <f t="shared" si="409"/>
        <v>8.5989108400791547E-2</v>
      </c>
      <c r="AI105" s="88">
        <f t="shared" si="409"/>
        <v>0.10421192127761647</v>
      </c>
      <c r="AJ105" s="87">
        <f t="shared" si="409"/>
        <v>4.7880279463308248</v>
      </c>
      <c r="AK105" s="87">
        <f t="shared" si="409"/>
        <v>5.7785087719298245</v>
      </c>
      <c r="AL105" s="87"/>
      <c r="AM105" s="87"/>
      <c r="AN105" s="149"/>
      <c r="AO105" s="87"/>
      <c r="AP105" s="943"/>
      <c r="AQ105" s="943"/>
      <c r="AR105" s="945"/>
      <c r="AS105" s="1000"/>
      <c r="AT105" s="1177"/>
      <c r="AU105" s="1000"/>
      <c r="AV105" s="1237"/>
      <c r="AW105" s="1229"/>
      <c r="AX105" s="1229"/>
      <c r="AY105" s="1230"/>
      <c r="AZ105" s="1237"/>
      <c r="BA105" s="1229"/>
      <c r="BB105" s="1229"/>
      <c r="BC105" s="1230"/>
      <c r="BD105" s="1237"/>
      <c r="BE105" s="1229"/>
      <c r="BF105" s="1229"/>
      <c r="BG105" s="1230"/>
      <c r="BH105" s="1313"/>
      <c r="BI105" s="1308"/>
      <c r="BJ105" s="1308"/>
      <c r="BK105" s="1395"/>
      <c r="BL105" s="1391"/>
      <c r="BM105" s="362"/>
      <c r="BN105" s="301"/>
      <c r="BO105" s="301"/>
      <c r="BP105" s="301"/>
      <c r="BQ105" s="301">
        <f>BQ103/BP103-1</f>
        <v>0.39179783651002431</v>
      </c>
      <c r="BR105" s="301">
        <f>BR103/BQ103-1</f>
        <v>0.3355643759814837</v>
      </c>
      <c r="BS105" s="301">
        <f>BS103/BR103-1</f>
        <v>3.0713383539900718E-2</v>
      </c>
      <c r="BT105" s="301">
        <f>BT103/BS103-1</f>
        <v>0.14001756270976906</v>
      </c>
      <c r="BU105" s="632">
        <f>BU103/BT103-1</f>
        <v>2.385865133650158</v>
      </c>
      <c r="BV105" s="301"/>
      <c r="BW105" s="301"/>
      <c r="BX105" s="301"/>
      <c r="BY105" s="301"/>
      <c r="BZ105" s="301"/>
      <c r="CA105" s="301"/>
      <c r="CB105" s="19"/>
      <c r="CC105" s="632"/>
      <c r="CD105" s="301"/>
      <c r="CE105" s="301"/>
      <c r="CF105" s="301"/>
      <c r="CG105" s="301"/>
      <c r="CH105" s="301"/>
      <c r="CI105" s="632"/>
      <c r="CJ105" s="301"/>
      <c r="CK105" s="632"/>
      <c r="CL105" s="301"/>
      <c r="CM105" s="301"/>
      <c r="CN105" s="301"/>
      <c r="CO105" s="301"/>
      <c r="CP105" s="367"/>
    </row>
    <row r="106" spans="1:95" s="7" customFormat="1" ht="14.25" hidden="1" customHeight="1">
      <c r="A106" s="511"/>
      <c r="B106" s="35" t="s">
        <v>203</v>
      </c>
      <c r="C106" s="240"/>
      <c r="D106" s="149"/>
      <c r="E106" s="87"/>
      <c r="F106" s="87"/>
      <c r="G106" s="88"/>
      <c r="H106" s="149"/>
      <c r="I106" s="87"/>
      <c r="J106" s="87"/>
      <c r="K106" s="88"/>
      <c r="L106" s="149"/>
      <c r="M106" s="87">
        <f t="shared" ref="M106:AI106" si="410">M103/M97</f>
        <v>0.42335766423357674</v>
      </c>
      <c r="N106" s="87">
        <f t="shared" si="410"/>
        <v>0.42824601366742593</v>
      </c>
      <c r="O106" s="88">
        <f t="shared" si="410"/>
        <v>0.41163310961968685</v>
      </c>
      <c r="P106" s="149">
        <f t="shared" si="410"/>
        <v>0.44565217391304346</v>
      </c>
      <c r="Q106" s="87">
        <f t="shared" si="410"/>
        <v>0.35384615384615387</v>
      </c>
      <c r="R106" s="87">
        <f t="shared" si="410"/>
        <v>0.43526170798898073</v>
      </c>
      <c r="S106" s="88">
        <f t="shared" si="410"/>
        <v>0.44859813084112149</v>
      </c>
      <c r="T106" s="149">
        <f t="shared" si="410"/>
        <v>0.45833333333333326</v>
      </c>
      <c r="U106" s="87">
        <f t="shared" si="410"/>
        <v>0.48155339805825242</v>
      </c>
      <c r="V106" s="87">
        <f t="shared" si="410"/>
        <v>0.50909090909090904</v>
      </c>
      <c r="W106" s="88">
        <f t="shared" si="410"/>
        <v>0.50874125874125875</v>
      </c>
      <c r="X106" s="361">
        <f t="shared" si="410"/>
        <v>0.52</v>
      </c>
      <c r="Y106" s="362">
        <f t="shared" si="410"/>
        <v>0.51785714285714279</v>
      </c>
      <c r="Z106" s="87">
        <f t="shared" si="410"/>
        <v>0.51741293532338306</v>
      </c>
      <c r="AA106" s="88">
        <f t="shared" si="410"/>
        <v>0.5120385232744783</v>
      </c>
      <c r="AB106" s="361">
        <f t="shared" si="410"/>
        <v>0.50621669626998222</v>
      </c>
      <c r="AC106" s="362">
        <f t="shared" si="410"/>
        <v>0.51126516464471405</v>
      </c>
      <c r="AD106" s="362">
        <f t="shared" si="410"/>
        <v>0.51155115511551164</v>
      </c>
      <c r="AE106" s="88">
        <f t="shared" si="410"/>
        <v>0.51132686084142398</v>
      </c>
      <c r="AF106" s="149">
        <f t="shared" si="410"/>
        <v>0.50694444444444453</v>
      </c>
      <c r="AG106" s="87">
        <f t="shared" si="410"/>
        <v>0.51245551601423489</v>
      </c>
      <c r="AH106" s="87">
        <f t="shared" si="410"/>
        <v>0.50931677018633537</v>
      </c>
      <c r="AI106" s="88">
        <f t="shared" si="410"/>
        <v>0.50542005420054203</v>
      </c>
      <c r="AJ106" s="89">
        <f>AJ103/AJ97</f>
        <v>0.57832696014916418</v>
      </c>
      <c r="AK106" s="89">
        <v>1</v>
      </c>
      <c r="AL106" s="89"/>
      <c r="AM106" s="89"/>
      <c r="AN106" s="91"/>
      <c r="AO106" s="89"/>
      <c r="AP106" s="89"/>
      <c r="AQ106" s="89"/>
      <c r="AR106" s="91"/>
      <c r="AS106" s="89"/>
      <c r="AT106" s="89"/>
      <c r="AU106" s="89"/>
      <c r="AV106" s="1233"/>
      <c r="AW106" s="1231"/>
      <c r="AX106" s="1231"/>
      <c r="AY106" s="1232"/>
      <c r="AZ106" s="1233"/>
      <c r="BA106" s="1231"/>
      <c r="BB106" s="1231"/>
      <c r="BC106" s="1232"/>
      <c r="BD106" s="1233"/>
      <c r="BE106" s="1231"/>
      <c r="BF106" s="1231"/>
      <c r="BG106" s="1232"/>
      <c r="BH106" s="1312"/>
      <c r="BI106" s="1310"/>
      <c r="BJ106" s="1310"/>
      <c r="BK106" s="1396"/>
      <c r="BL106" s="1391"/>
      <c r="BM106" s="301"/>
      <c r="BN106" s="301"/>
      <c r="BO106" s="301"/>
      <c r="BP106" s="301">
        <f t="shared" ref="BP106:BU106" si="411">BP103/BP97</f>
        <v>0.41428756452775534</v>
      </c>
      <c r="BQ106" s="301">
        <f t="shared" si="411"/>
        <v>0.49631782845805206</v>
      </c>
      <c r="BR106" s="301">
        <f t="shared" si="411"/>
        <v>0.51671054420168638</v>
      </c>
      <c r="BS106" s="301">
        <f t="shared" si="411"/>
        <v>0.51004610393808325</v>
      </c>
      <c r="BT106" s="301">
        <f t="shared" si="411"/>
        <v>0.50887424993966057</v>
      </c>
      <c r="BU106" s="632">
        <f t="shared" si="411"/>
        <v>0.78916348007458204</v>
      </c>
      <c r="BV106" s="301"/>
      <c r="BW106" s="301"/>
      <c r="BX106" s="301"/>
      <c r="BY106" s="301"/>
      <c r="BZ106" s="301"/>
      <c r="CA106" s="301"/>
      <c r="CB106" s="19"/>
      <c r="CC106" s="632"/>
      <c r="CD106" s="301"/>
      <c r="CE106" s="301"/>
      <c r="CF106" s="301"/>
      <c r="CG106" s="301"/>
      <c r="CH106" s="301"/>
      <c r="CI106" s="632"/>
      <c r="CJ106" s="301"/>
      <c r="CK106" s="632"/>
      <c r="CL106" s="301"/>
      <c r="CM106" s="301"/>
      <c r="CN106" s="301"/>
      <c r="CO106" s="301"/>
      <c r="CP106" s="367"/>
    </row>
    <row r="107" spans="1:95" s="7" customFormat="1" ht="14.25" hidden="1" customHeight="1">
      <c r="A107" s="511"/>
      <c r="B107" s="374"/>
      <c r="C107" s="266"/>
      <c r="D107" s="242"/>
      <c r="E107" s="242"/>
      <c r="F107" s="242"/>
      <c r="G107" s="243"/>
      <c r="H107" s="242"/>
      <c r="I107" s="242"/>
      <c r="J107" s="242"/>
      <c r="K107" s="243"/>
      <c r="L107" s="223"/>
      <c r="M107" s="381"/>
      <c r="N107" s="223"/>
      <c r="O107" s="15"/>
      <c r="P107" s="223"/>
      <c r="Q107" s="381"/>
      <c r="R107" s="223"/>
      <c r="S107" s="15"/>
      <c r="T107" s="223"/>
      <c r="U107" s="381"/>
      <c r="V107" s="223"/>
      <c r="W107" s="15"/>
      <c r="X107" s="223"/>
      <c r="Y107" s="381"/>
      <c r="Z107" s="223"/>
      <c r="AA107" s="15"/>
      <c r="AB107" s="223"/>
      <c r="AC107" s="381"/>
      <c r="AD107" s="223"/>
      <c r="AE107" s="15"/>
      <c r="AF107" s="223"/>
      <c r="AG107" s="381"/>
      <c r="AH107" s="223"/>
      <c r="AI107" s="15"/>
      <c r="AJ107" s="223"/>
      <c r="AK107" s="223"/>
      <c r="AL107" s="223"/>
      <c r="AM107" s="223"/>
      <c r="AN107" s="14"/>
      <c r="AO107" s="223"/>
      <c r="AP107" s="223"/>
      <c r="AQ107" s="223"/>
      <c r="AR107" s="14"/>
      <c r="AS107" s="223"/>
      <c r="AT107" s="223"/>
      <c r="AU107" s="223"/>
      <c r="AV107" s="14"/>
      <c r="AW107" s="223"/>
      <c r="AX107" s="223"/>
      <c r="AY107" s="15"/>
      <c r="AZ107" s="14"/>
      <c r="BA107" s="223"/>
      <c r="BB107" s="223"/>
      <c r="BC107" s="15"/>
      <c r="BD107" s="14"/>
      <c r="BE107" s="223"/>
      <c r="BF107" s="223"/>
      <c r="BG107" s="15"/>
      <c r="BH107" s="14"/>
      <c r="BI107" s="223"/>
      <c r="BJ107" s="223"/>
      <c r="BK107" s="15"/>
      <c r="BL107" s="1391"/>
      <c r="BM107" s="223"/>
      <c r="BN107" s="223"/>
      <c r="BO107" s="223"/>
      <c r="BP107" s="223"/>
      <c r="BQ107" s="223"/>
      <c r="BR107" s="223"/>
      <c r="BS107" s="223"/>
      <c r="BT107" s="223"/>
      <c r="BU107" s="14"/>
      <c r="BV107" s="223"/>
      <c r="BW107" s="223"/>
      <c r="BX107" s="223"/>
      <c r="BY107" s="223"/>
      <c r="BZ107" s="223"/>
      <c r="CA107" s="223"/>
      <c r="CB107" s="19"/>
      <c r="CC107" s="14"/>
      <c r="CD107" s="223"/>
      <c r="CE107" s="223"/>
      <c r="CF107" s="223"/>
      <c r="CG107" s="223"/>
      <c r="CH107" s="223"/>
      <c r="CI107" s="14"/>
      <c r="CJ107" s="223"/>
      <c r="CK107" s="14"/>
      <c r="CL107" s="223"/>
      <c r="CM107" s="223"/>
      <c r="CN107" s="223"/>
      <c r="CO107" s="223"/>
      <c r="CP107" s="15"/>
    </row>
    <row r="108" spans="1:95" s="100" customFormat="1" ht="14.25" customHeight="1">
      <c r="A108" s="510"/>
      <c r="B108" s="359" t="s">
        <v>113</v>
      </c>
      <c r="C108" s="347"/>
      <c r="D108" s="373"/>
      <c r="E108" s="352"/>
      <c r="F108" s="355"/>
      <c r="G108" s="353"/>
      <c r="H108" s="354"/>
      <c r="I108" s="355"/>
      <c r="J108" s="355"/>
      <c r="K108" s="353"/>
      <c r="L108" s="354">
        <f t="shared" ref="L108:AD108" si="412">L20+L42+L53+L75+L86</f>
        <v>402</v>
      </c>
      <c r="M108" s="355">
        <f t="shared" si="412"/>
        <v>410.99999999999994</v>
      </c>
      <c r="N108" s="355">
        <f t="shared" si="412"/>
        <v>439.00000000000006</v>
      </c>
      <c r="O108" s="353">
        <f t="shared" si="412"/>
        <v>447</v>
      </c>
      <c r="P108" s="354">
        <f t="shared" si="412"/>
        <v>368</v>
      </c>
      <c r="Q108" s="355">
        <f t="shared" si="412"/>
        <v>325</v>
      </c>
      <c r="R108" s="355">
        <f t="shared" si="412"/>
        <v>363</v>
      </c>
      <c r="S108" s="353">
        <f t="shared" si="412"/>
        <v>428</v>
      </c>
      <c r="T108" s="354">
        <f t="shared" si="412"/>
        <v>456</v>
      </c>
      <c r="U108" s="355">
        <f t="shared" si="412"/>
        <v>515</v>
      </c>
      <c r="V108" s="355">
        <f t="shared" si="412"/>
        <v>550</v>
      </c>
      <c r="W108" s="353">
        <f t="shared" si="412"/>
        <v>572</v>
      </c>
      <c r="X108" s="354">
        <f t="shared" si="412"/>
        <v>550</v>
      </c>
      <c r="Y108" s="355">
        <f t="shared" si="412"/>
        <v>560</v>
      </c>
      <c r="Z108" s="355">
        <f t="shared" si="412"/>
        <v>603</v>
      </c>
      <c r="AA108" s="583">
        <f t="shared" si="412"/>
        <v>623</v>
      </c>
      <c r="AB108" s="771">
        <f t="shared" si="412"/>
        <v>563</v>
      </c>
      <c r="AC108" s="382">
        <f t="shared" si="412"/>
        <v>577</v>
      </c>
      <c r="AD108" s="382">
        <f t="shared" si="412"/>
        <v>606</v>
      </c>
      <c r="AE108" s="583">
        <f>AE20+AE42+AE53+AE75+AE86</f>
        <v>618</v>
      </c>
      <c r="AF108" s="771">
        <f t="shared" ref="AF108:AK108" si="413">AF20+AF42+AF53+AF75</f>
        <v>576</v>
      </c>
      <c r="AG108" s="382">
        <f t="shared" si="413"/>
        <v>562</v>
      </c>
      <c r="AH108" s="382">
        <f t="shared" si="413"/>
        <v>644</v>
      </c>
      <c r="AI108" s="583">
        <f t="shared" si="413"/>
        <v>738</v>
      </c>
      <c r="AJ108" s="382">
        <f>AJ20+AJ42+AJ53+AJ75</f>
        <v>632.86</v>
      </c>
      <c r="AK108" s="382">
        <f t="shared" si="413"/>
        <v>701</v>
      </c>
      <c r="AL108" s="382">
        <f>SUM(AL9,AL20,AL31,AL75)</f>
        <v>1287</v>
      </c>
      <c r="AM108" s="382">
        <f>SUM(AM9,AM20,AM31,AM75)</f>
        <v>1610</v>
      </c>
      <c r="AN108" s="771">
        <f>SUM(AN9,AN20,AN31,AN75)</f>
        <v>1657</v>
      </c>
      <c r="AO108" s="382">
        <f>SUM(AO9,AO20,AO31,AO75)</f>
        <v>1645</v>
      </c>
      <c r="AP108" s="382">
        <f>SUM(AP9,AP20,AP31,AP75)</f>
        <v>1750</v>
      </c>
      <c r="AQ108" s="382">
        <f t="shared" ref="AQ108:AY108" si="414">SUM(AQ9,AQ20,AQ31,AQ75)</f>
        <v>1853</v>
      </c>
      <c r="AR108" s="771">
        <f>SUM(AR9,AR20,AR31,AR75)</f>
        <v>1782</v>
      </c>
      <c r="AS108" s="382">
        <f>SUM(AS9,AS20,AS31,AS75)</f>
        <v>3562</v>
      </c>
      <c r="AT108" s="382">
        <f>SUM(AT9,AT20,AT31,AT75)</f>
        <v>3802</v>
      </c>
      <c r="AU108" s="382">
        <f t="shared" si="414"/>
        <v>4146</v>
      </c>
      <c r="AV108" s="771">
        <f>SUM(AV9,AV20,AV31,AV75)</f>
        <v>4149</v>
      </c>
      <c r="AW108" s="382">
        <f>SUM(AW9,AW20,AW31,AW75)</f>
        <v>4201</v>
      </c>
      <c r="AX108" s="382">
        <f>SUM(AX9,AX20,AX31,AX75)</f>
        <v>4467</v>
      </c>
      <c r="AY108" s="583">
        <f t="shared" si="414"/>
        <v>4848</v>
      </c>
      <c r="AZ108" s="771">
        <f>SUM(AZ9,AZ20,AZ31,AZ75)</f>
        <v>5331</v>
      </c>
      <c r="BA108" s="382">
        <f>SUM(BA9,BA20,BA31,BA75)</f>
        <v>5011.0400000000009</v>
      </c>
      <c r="BB108" s="382">
        <f t="shared" ref="BB108:BD108" si="415">SUM(BB9,BB20,BB31,BB75)</f>
        <v>5212.2682999999997</v>
      </c>
      <c r="BC108" s="583">
        <f t="shared" si="415"/>
        <v>5582.7637894999998</v>
      </c>
      <c r="BD108" s="771">
        <f t="shared" si="415"/>
        <v>5331.2301537399999</v>
      </c>
      <c r="BE108" s="382">
        <f>SUM(BE9,BE20,BE31,BE75)</f>
        <v>5178.2279473991994</v>
      </c>
      <c r="BF108" s="382">
        <f t="shared" ref="BF108:BH108" si="416">SUM(BF9,BF20,BF31,BF75)</f>
        <v>5547.2252839510556</v>
      </c>
      <c r="BG108" s="583">
        <f t="shared" si="416"/>
        <v>6177.6465935881088</v>
      </c>
      <c r="BH108" s="771">
        <f t="shared" si="416"/>
        <v>5902.3260627824538</v>
      </c>
      <c r="BI108" s="382">
        <f>SUM(BI9,BI20,BI31,BI75)</f>
        <v>5586.4773156728315</v>
      </c>
      <c r="BJ108" s="382">
        <f t="shared" ref="BJ108:BK108" si="417">SUM(BJ9,BJ20,BJ31,BJ75)</f>
        <v>5813.2701476710463</v>
      </c>
      <c r="BK108" s="583">
        <f t="shared" si="417"/>
        <v>6182.3150985232551</v>
      </c>
      <c r="BL108" s="1445"/>
      <c r="BM108" s="355"/>
      <c r="BN108" s="355"/>
      <c r="BO108" s="382">
        <f>BO20+BO42+BO53+BO75+BO86</f>
        <v>1699</v>
      </c>
      <c r="BP108" s="382">
        <f>BP20+BP42+BP53+BP75+BP86</f>
        <v>1484</v>
      </c>
      <c r="BQ108" s="382">
        <f>BQ20+BQ42+BQ53+BQ75+BQ86</f>
        <v>2093</v>
      </c>
      <c r="BR108" s="382">
        <f>BR20+BR42+BR53+BR75+BR86</f>
        <v>2336</v>
      </c>
      <c r="BS108" s="382">
        <f>BS20+BS42+BS53+BS75+BS86</f>
        <v>2364</v>
      </c>
      <c r="BT108" s="382">
        <f>BT20+BT42+BT53+BT75</f>
        <v>2520</v>
      </c>
      <c r="BU108" s="771">
        <f>BU9+BU20+BU31+BU75</f>
        <v>4230.8599999999997</v>
      </c>
      <c r="BV108" s="382">
        <f>BV9+BV20+BV31+BV75</f>
        <v>6905</v>
      </c>
      <c r="BW108" s="382">
        <f>BW9+BW20+BW31+BW75</f>
        <v>13292</v>
      </c>
      <c r="BX108" s="382">
        <f>BX9+BX20+BX31+BX75+BX97</f>
        <v>17665</v>
      </c>
      <c r="BY108" s="382">
        <f>BY9+BY20+BY31+BY75+BY97</f>
        <v>21137.072089500001</v>
      </c>
      <c r="BZ108" s="382">
        <f>BZ9+BZ20+BZ31+BZ75+BZ97</f>
        <v>22234.329978678361</v>
      </c>
      <c r="CA108" s="382">
        <f>CA9+CA20+CA31+CA75+CA97</f>
        <v>23484.388624649589</v>
      </c>
      <c r="CB108" s="1438"/>
      <c r="CC108" s="354"/>
      <c r="CD108" s="382">
        <f>CD9+CD20+CD31+CD75+CD97</f>
        <v>349.74</v>
      </c>
      <c r="CE108" s="382">
        <f>CE9+CE20+CE31+CE75+CE97</f>
        <v>2073.56</v>
      </c>
      <c r="CF108" s="382">
        <f>CF9+CF20+CF31+CF75+CF97</f>
        <v>1860</v>
      </c>
      <c r="CG108" s="382">
        <f>CG9+CG20+CG31+CG75+CG97</f>
        <v>2588</v>
      </c>
      <c r="CH108" s="382">
        <f>CH9+CH20+CH31+CH75+CH97</f>
        <v>2783.9855000000002</v>
      </c>
      <c r="CI108" s="771">
        <f>CI20+CI42+CI53+CI75+CI86</f>
        <v>2377</v>
      </c>
      <c r="CJ108" s="382">
        <f>CJ20+CJ42+CJ53+CJ75+CJ86</f>
        <v>2576.86</v>
      </c>
      <c r="CK108" s="771">
        <f t="shared" ref="CK108:CP108" si="418">CK9+CK20+CK31+CK75</f>
        <v>5255</v>
      </c>
      <c r="CL108" s="382">
        <f t="shared" si="418"/>
        <v>7030</v>
      </c>
      <c r="CM108" s="382">
        <f t="shared" si="418"/>
        <v>15659</v>
      </c>
      <c r="CN108" s="382">
        <f t="shared" si="418"/>
        <v>18847</v>
      </c>
      <c r="CO108" s="382">
        <f t="shared" si="418"/>
        <v>21137.302243240003</v>
      </c>
      <c r="CP108" s="583">
        <f t="shared" si="418"/>
        <v>22805.425887720823</v>
      </c>
      <c r="CQ108" s="1287">
        <f>(CO108/CM108)^(1/2)-1</f>
        <v>0.16183048239209219</v>
      </c>
    </row>
    <row r="109" spans="1:95" s="7" customFormat="1" ht="14.25" customHeight="1">
      <c r="A109" s="511"/>
      <c r="B109" s="239" t="s">
        <v>110</v>
      </c>
      <c r="C109" s="240"/>
      <c r="D109" s="87"/>
      <c r="E109" s="87"/>
      <c r="F109" s="87"/>
      <c r="G109" s="88"/>
      <c r="H109" s="87"/>
      <c r="I109" s="87"/>
      <c r="J109" s="87"/>
      <c r="K109" s="88"/>
      <c r="L109" s="149"/>
      <c r="M109" s="87">
        <f t="shared" ref="M109:AZ109" si="419">M108/L108-1</f>
        <v>2.2388059701492491E-2</v>
      </c>
      <c r="N109" s="87">
        <f t="shared" si="419"/>
        <v>6.8126520681265568E-2</v>
      </c>
      <c r="O109" s="88">
        <f t="shared" si="419"/>
        <v>1.8223234624145546E-2</v>
      </c>
      <c r="P109" s="149">
        <f t="shared" si="419"/>
        <v>-0.1767337807606264</v>
      </c>
      <c r="Q109" s="87">
        <f t="shared" si="419"/>
        <v>-0.11684782608695654</v>
      </c>
      <c r="R109" s="87">
        <f t="shared" si="419"/>
        <v>0.11692307692307691</v>
      </c>
      <c r="S109" s="88">
        <f t="shared" si="419"/>
        <v>0.17906336088154262</v>
      </c>
      <c r="T109" s="149">
        <f t="shared" si="419"/>
        <v>6.5420560747663448E-2</v>
      </c>
      <c r="U109" s="87">
        <f t="shared" si="419"/>
        <v>0.1293859649122806</v>
      </c>
      <c r="V109" s="87">
        <f t="shared" si="419"/>
        <v>6.7961165048543659E-2</v>
      </c>
      <c r="W109" s="88">
        <f t="shared" si="419"/>
        <v>4.0000000000000036E-2</v>
      </c>
      <c r="X109" s="361">
        <f t="shared" si="419"/>
        <v>-3.8461538461538436E-2</v>
      </c>
      <c r="Y109" s="362">
        <f t="shared" si="419"/>
        <v>1.8181818181818077E-2</v>
      </c>
      <c r="Z109" s="87">
        <f t="shared" si="419"/>
        <v>7.6785714285714235E-2</v>
      </c>
      <c r="AA109" s="88">
        <f t="shared" si="419"/>
        <v>3.3167495854063089E-2</v>
      </c>
      <c r="AB109" s="361">
        <f t="shared" si="419"/>
        <v>-9.6308186195826595E-2</v>
      </c>
      <c r="AC109" s="362">
        <f t="shared" si="419"/>
        <v>2.4866785079928899E-2</v>
      </c>
      <c r="AD109" s="362">
        <f t="shared" si="419"/>
        <v>5.0259965337954959E-2</v>
      </c>
      <c r="AE109" s="88">
        <f t="shared" si="419"/>
        <v>1.980198019801982E-2</v>
      </c>
      <c r="AF109" s="361">
        <f t="shared" si="419"/>
        <v>-6.7961165048543659E-2</v>
      </c>
      <c r="AG109" s="362">
        <f t="shared" si="419"/>
        <v>-2.430555555555558E-2</v>
      </c>
      <c r="AH109" s="241">
        <f t="shared" si="419"/>
        <v>0.14590747330960863</v>
      </c>
      <c r="AI109" s="88">
        <f t="shared" si="419"/>
        <v>0.14596273291925477</v>
      </c>
      <c r="AJ109" s="241">
        <f t="shared" si="419"/>
        <v>-0.14246612466124664</v>
      </c>
      <c r="AK109" s="241">
        <f t="shared" si="419"/>
        <v>0.10766994279935527</v>
      </c>
      <c r="AL109" s="241">
        <f t="shared" si="419"/>
        <v>0.83594864479315256</v>
      </c>
      <c r="AM109" s="241">
        <f t="shared" si="419"/>
        <v>0.25097125097125095</v>
      </c>
      <c r="AN109" s="629">
        <f t="shared" si="419"/>
        <v>2.9192546583850953E-2</v>
      </c>
      <c r="AO109" s="241">
        <f t="shared" si="419"/>
        <v>-7.2420036210018024E-3</v>
      </c>
      <c r="AP109" s="241">
        <f t="shared" si="419"/>
        <v>6.3829787234042534E-2</v>
      </c>
      <c r="AQ109" s="241">
        <f t="shared" si="419"/>
        <v>5.8857142857142941E-2</v>
      </c>
      <c r="AR109" s="629">
        <f t="shared" si="419"/>
        <v>-3.8316243928764204E-2</v>
      </c>
      <c r="AS109" s="241">
        <f t="shared" si="419"/>
        <v>0.99887766554433211</v>
      </c>
      <c r="AT109" s="1149">
        <f t="shared" si="419"/>
        <v>6.7377877596855651E-2</v>
      </c>
      <c r="AU109" s="241">
        <f t="shared" si="419"/>
        <v>9.0478695423461319E-2</v>
      </c>
      <c r="AV109" s="1253">
        <f t="shared" si="419"/>
        <v>7.2358900144720018E-4</v>
      </c>
      <c r="AW109" s="1238">
        <f t="shared" si="419"/>
        <v>1.2533140515786911E-2</v>
      </c>
      <c r="AX109" s="1238">
        <f t="shared" si="419"/>
        <v>6.3318257557724245E-2</v>
      </c>
      <c r="AY109" s="1314">
        <f t="shared" si="419"/>
        <v>8.5292142377434432E-2</v>
      </c>
      <c r="AZ109" s="1319">
        <f t="shared" si="419"/>
        <v>9.9628712871287162E-2</v>
      </c>
      <c r="BA109" s="1238">
        <f t="shared" ref="BA109:BC109" si="420">BA108/AZ108-1</f>
        <v>-6.0018758206715317E-2</v>
      </c>
      <c r="BB109" s="1238">
        <f t="shared" si="420"/>
        <v>4.0156993358663851E-2</v>
      </c>
      <c r="BC109" s="1242">
        <f t="shared" si="420"/>
        <v>7.1081430996174921E-2</v>
      </c>
      <c r="BD109" s="1253">
        <f t="shared" ref="BD109" si="421">BD108/BC108-1</f>
        <v>-4.5055396438782092E-2</v>
      </c>
      <c r="BE109" s="1238">
        <f t="shared" ref="BE109" si="422">BE108/BD108-1</f>
        <v>-2.8699231120882129E-2</v>
      </c>
      <c r="BF109" s="1238">
        <f t="shared" ref="BF109" si="423">BF108/BE108-1</f>
        <v>7.1259384542387227E-2</v>
      </c>
      <c r="BG109" s="1242">
        <f t="shared" ref="BG109" si="424">BG108/BF108-1</f>
        <v>0.11364624246665356</v>
      </c>
      <c r="BH109" s="1319">
        <f t="shared" ref="BH109" si="425">BH108/BG108-1</f>
        <v>-4.4567219350393872E-2</v>
      </c>
      <c r="BI109" s="1314">
        <f t="shared" ref="BI109" si="426">BI108/BH108-1</f>
        <v>-5.3512588723491517E-2</v>
      </c>
      <c r="BJ109" s="1314">
        <f t="shared" ref="BJ109" si="427">BJ108/BI108-1</f>
        <v>4.0596751616971405E-2</v>
      </c>
      <c r="BK109" s="1442">
        <f t="shared" ref="BK109" si="428">BK108/BJ108-1</f>
        <v>6.3483193018314843E-2</v>
      </c>
      <c r="BL109" s="1391"/>
      <c r="BM109" s="13"/>
      <c r="BN109" s="13"/>
      <c r="BO109" s="13"/>
      <c r="BP109" s="241"/>
      <c r="BQ109" s="241"/>
      <c r="BR109" s="241"/>
      <c r="BS109" s="241"/>
      <c r="BT109" s="241"/>
      <c r="BU109" s="629"/>
      <c r="BV109" s="241"/>
      <c r="BW109" s="241"/>
      <c r="BX109" s="241"/>
      <c r="BY109" s="1238"/>
      <c r="BZ109" s="1314"/>
      <c r="CA109" s="1314"/>
      <c r="CB109" s="19"/>
      <c r="CC109" s="20"/>
      <c r="CD109" s="13"/>
      <c r="CE109" s="241"/>
      <c r="CF109" s="241"/>
      <c r="CG109" s="241"/>
      <c r="CH109" s="241"/>
      <c r="CI109" s="629"/>
      <c r="CJ109" s="241"/>
      <c r="CK109" s="1204"/>
      <c r="CL109" s="1199"/>
      <c r="CM109" s="1199"/>
      <c r="CN109" s="1314"/>
      <c r="CO109" s="1314"/>
      <c r="CP109" s="1315"/>
    </row>
    <row r="110" spans="1:95" s="7" customFormat="1" ht="14.25" customHeight="1">
      <c r="A110" s="511"/>
      <c r="B110" s="35" t="s">
        <v>202</v>
      </c>
      <c r="C110" s="240"/>
      <c r="D110" s="149"/>
      <c r="E110" s="87"/>
      <c r="F110" s="87"/>
      <c r="G110" s="88"/>
      <c r="H110" s="149"/>
      <c r="I110" s="87"/>
      <c r="J110" s="87"/>
      <c r="K110" s="88"/>
      <c r="L110" s="149"/>
      <c r="M110" s="87"/>
      <c r="N110" s="87"/>
      <c r="O110" s="88"/>
      <c r="P110" s="149"/>
      <c r="Q110" s="87"/>
      <c r="R110" s="87"/>
      <c r="S110" s="88"/>
      <c r="T110" s="149"/>
      <c r="U110" s="87"/>
      <c r="V110" s="87"/>
      <c r="W110" s="88"/>
      <c r="X110" s="87"/>
      <c r="Y110" s="87"/>
      <c r="Z110" s="87"/>
      <c r="AA110" s="88"/>
      <c r="AB110" s="87">
        <f t="shared" ref="AB110:AK110" si="429">AVERAGE(X109,T109,P109,L109,H109)</f>
        <v>-4.9924919491500463E-2</v>
      </c>
      <c r="AC110" s="87">
        <f t="shared" si="429"/>
        <v>1.3277004177158658E-2</v>
      </c>
      <c r="AD110" s="87">
        <f t="shared" si="429"/>
        <v>8.2449119234650092E-2</v>
      </c>
      <c r="AE110" s="88">
        <f t="shared" si="429"/>
        <v>6.7613522839937823E-2</v>
      </c>
      <c r="AF110" s="87">
        <f t="shared" si="429"/>
        <v>-6.1520736167581996E-2</v>
      </c>
      <c r="AG110" s="87">
        <f t="shared" si="429"/>
        <v>1.5594960357712706E-2</v>
      </c>
      <c r="AH110" s="241">
        <f t="shared" si="429"/>
        <v>7.6011288455311063E-2</v>
      </c>
      <c r="AI110" s="88">
        <f t="shared" si="429"/>
        <v>5.8051214311554224E-2</v>
      </c>
      <c r="AJ110" s="241">
        <f t="shared" si="429"/>
        <v>-6.2808821943774323E-2</v>
      </c>
      <c r="AK110" s="241">
        <f t="shared" si="429"/>
        <v>6.2562373063030918E-3</v>
      </c>
      <c r="AL110" s="241">
        <f t="shared" ref="AL110:AZ110" si="430">AH110</f>
        <v>7.6011288455311063E-2</v>
      </c>
      <c r="AM110" s="241">
        <f t="shared" si="430"/>
        <v>5.8051214311554224E-2</v>
      </c>
      <c r="AN110" s="629">
        <f t="shared" si="430"/>
        <v>-6.2808821943774323E-2</v>
      </c>
      <c r="AO110" s="241">
        <f t="shared" si="430"/>
        <v>6.2562373063030918E-3</v>
      </c>
      <c r="AP110" s="241">
        <f t="shared" si="430"/>
        <v>7.6011288455311063E-2</v>
      </c>
      <c r="AQ110" s="241">
        <f t="shared" si="430"/>
        <v>5.8051214311554224E-2</v>
      </c>
      <c r="AR110" s="629">
        <f t="shared" si="430"/>
        <v>-6.2808821943774323E-2</v>
      </c>
      <c r="AS110" s="241">
        <f t="shared" si="430"/>
        <v>6.2562373063030918E-3</v>
      </c>
      <c r="AT110" s="1149">
        <f t="shared" si="430"/>
        <v>7.6011288455311063E-2</v>
      </c>
      <c r="AU110" s="241">
        <f t="shared" si="430"/>
        <v>5.8051214311554224E-2</v>
      </c>
      <c r="AV110" s="1253">
        <f t="shared" si="430"/>
        <v>-6.2808821943774323E-2</v>
      </c>
      <c r="AW110" s="1238">
        <f t="shared" si="430"/>
        <v>6.2562373063030918E-3</v>
      </c>
      <c r="AX110" s="1238">
        <f t="shared" si="430"/>
        <v>7.6011288455311063E-2</v>
      </c>
      <c r="AY110" s="1314">
        <f t="shared" si="430"/>
        <v>5.8051214311554224E-2</v>
      </c>
      <c r="AZ110" s="1319">
        <f t="shared" si="430"/>
        <v>-6.2808821943774323E-2</v>
      </c>
      <c r="BA110" s="1238">
        <f t="shared" ref="BA110:BC110" si="431">AW110</f>
        <v>6.2562373063030918E-3</v>
      </c>
      <c r="BB110" s="1238">
        <f t="shared" si="431"/>
        <v>7.6011288455311063E-2</v>
      </c>
      <c r="BC110" s="1242">
        <f t="shared" si="431"/>
        <v>5.8051214311554224E-2</v>
      </c>
      <c r="BD110" s="1253">
        <f t="shared" ref="BD110" si="432">AZ110</f>
        <v>-6.2808821943774323E-2</v>
      </c>
      <c r="BE110" s="1238">
        <f t="shared" ref="BE110" si="433">BA110</f>
        <v>6.2562373063030918E-3</v>
      </c>
      <c r="BF110" s="1238">
        <f t="shared" ref="BF110" si="434">BB110</f>
        <v>7.6011288455311063E-2</v>
      </c>
      <c r="BG110" s="1242">
        <f t="shared" ref="BG110" si="435">BC110</f>
        <v>5.8051214311554224E-2</v>
      </c>
      <c r="BH110" s="1319">
        <f t="shared" ref="BH110" si="436">BD110</f>
        <v>-6.2808821943774323E-2</v>
      </c>
      <c r="BI110" s="1314">
        <f t="shared" ref="BI110" si="437">BE110</f>
        <v>6.2562373063030918E-3</v>
      </c>
      <c r="BJ110" s="1314">
        <f t="shared" ref="BJ110" si="438">BF110</f>
        <v>7.6011288455311063E-2</v>
      </c>
      <c r="BK110" s="1442">
        <f t="shared" ref="BK110" si="439">BG110</f>
        <v>5.8051214311554224E-2</v>
      </c>
      <c r="BL110" s="1391"/>
      <c r="BM110" s="13"/>
      <c r="BN110" s="13"/>
      <c r="BO110" s="13"/>
      <c r="BP110" s="241"/>
      <c r="BQ110" s="241"/>
      <c r="BR110" s="241"/>
      <c r="BS110" s="241"/>
      <c r="BT110" s="241"/>
      <c r="BU110" s="629"/>
      <c r="BV110" s="241"/>
      <c r="BW110" s="241"/>
      <c r="BX110" s="241"/>
      <c r="BY110" s="1238"/>
      <c r="BZ110" s="1314"/>
      <c r="CA110" s="1314"/>
      <c r="CB110" s="19"/>
      <c r="CC110" s="20"/>
      <c r="CD110" s="13"/>
      <c r="CE110" s="241"/>
      <c r="CF110" s="241"/>
      <c r="CG110" s="241"/>
      <c r="CH110" s="241"/>
      <c r="CI110" s="629"/>
      <c r="CJ110" s="241"/>
      <c r="CK110" s="1204"/>
      <c r="CL110" s="1199"/>
      <c r="CM110" s="1199"/>
      <c r="CN110" s="1314"/>
      <c r="CO110" s="1314"/>
      <c r="CP110" s="1315"/>
    </row>
    <row r="111" spans="1:95" s="7" customFormat="1" ht="14.25" customHeight="1">
      <c r="A111" s="511"/>
      <c r="B111" s="35" t="s">
        <v>111</v>
      </c>
      <c r="C111" s="36"/>
      <c r="D111" s="87"/>
      <c r="E111" s="87"/>
      <c r="F111" s="87"/>
      <c r="G111" s="88"/>
      <c r="H111" s="87"/>
      <c r="I111" s="87"/>
      <c r="J111" s="362"/>
      <c r="K111" s="365"/>
      <c r="L111" s="361"/>
      <c r="M111" s="362"/>
      <c r="N111" s="362" t="e">
        <f t="shared" ref="N111:AZ111" si="440">N108/J108-1</f>
        <v>#DIV/0!</v>
      </c>
      <c r="O111" s="365" t="e">
        <f t="shared" si="440"/>
        <v>#DIV/0!</v>
      </c>
      <c r="P111" s="361">
        <f t="shared" si="440"/>
        <v>-8.4577114427860645E-2</v>
      </c>
      <c r="Q111" s="362">
        <f t="shared" si="440"/>
        <v>-0.20924574209245728</v>
      </c>
      <c r="R111" s="362">
        <f t="shared" si="440"/>
        <v>-0.17312072892938513</v>
      </c>
      <c r="S111" s="365">
        <f t="shared" si="440"/>
        <v>-4.2505592841163287E-2</v>
      </c>
      <c r="T111" s="361">
        <f t="shared" si="440"/>
        <v>0.23913043478260865</v>
      </c>
      <c r="U111" s="362">
        <f t="shared" si="440"/>
        <v>0.58461538461538454</v>
      </c>
      <c r="V111" s="362">
        <f t="shared" si="440"/>
        <v>0.51515151515151514</v>
      </c>
      <c r="W111" s="365">
        <f t="shared" si="440"/>
        <v>0.33644859813084116</v>
      </c>
      <c r="X111" s="361">
        <f t="shared" si="440"/>
        <v>0.20614035087719307</v>
      </c>
      <c r="Y111" s="362">
        <f t="shared" si="440"/>
        <v>8.737864077669899E-2</v>
      </c>
      <c r="Z111" s="362">
        <f t="shared" si="440"/>
        <v>9.6363636363636429E-2</v>
      </c>
      <c r="AA111" s="365">
        <f t="shared" si="440"/>
        <v>8.9160839160839167E-2</v>
      </c>
      <c r="AB111" s="361">
        <f t="shared" si="440"/>
        <v>2.3636363636363678E-2</v>
      </c>
      <c r="AC111" s="362">
        <f t="shared" si="440"/>
        <v>3.0357142857142749E-2</v>
      </c>
      <c r="AD111" s="362">
        <f t="shared" si="440"/>
        <v>4.9751243781095411E-3</v>
      </c>
      <c r="AE111" s="365">
        <f t="shared" si="440"/>
        <v>-8.0256821829856051E-3</v>
      </c>
      <c r="AF111" s="361">
        <f t="shared" si="440"/>
        <v>2.3090586145648295E-2</v>
      </c>
      <c r="AG111" s="362">
        <f t="shared" si="440"/>
        <v>-2.5996533795493937E-2</v>
      </c>
      <c r="AH111" s="241">
        <f t="shared" si="440"/>
        <v>6.2706270627062688E-2</v>
      </c>
      <c r="AI111" s="365">
        <f t="shared" si="440"/>
        <v>0.19417475728155331</v>
      </c>
      <c r="AJ111" s="241">
        <f t="shared" si="440"/>
        <v>9.8715277777777777E-2</v>
      </c>
      <c r="AK111" s="241">
        <f t="shared" si="440"/>
        <v>0.24733096085409256</v>
      </c>
      <c r="AL111" s="241">
        <f t="shared" si="440"/>
        <v>0.99844720496894412</v>
      </c>
      <c r="AM111" s="241">
        <f t="shared" si="440"/>
        <v>1.1815718157181574</v>
      </c>
      <c r="AN111" s="629">
        <f t="shared" si="440"/>
        <v>1.6182726037354231</v>
      </c>
      <c r="AO111" s="241">
        <f t="shared" si="440"/>
        <v>1.3466476462196861</v>
      </c>
      <c r="AP111" s="241">
        <f t="shared" si="440"/>
        <v>0.35975135975135974</v>
      </c>
      <c r="AQ111" s="241">
        <f t="shared" si="440"/>
        <v>0.15093167701863353</v>
      </c>
      <c r="AR111" s="629">
        <f t="shared" si="440"/>
        <v>7.5437537718768821E-2</v>
      </c>
      <c r="AS111" s="241">
        <f t="shared" si="440"/>
        <v>1.1653495440729484</v>
      </c>
      <c r="AT111" s="1149">
        <f t="shared" si="440"/>
        <v>1.1725714285714286</v>
      </c>
      <c r="AU111" s="241">
        <f t="shared" si="440"/>
        <v>1.2374527792768482</v>
      </c>
      <c r="AV111" s="1253">
        <f t="shared" si="440"/>
        <v>1.3282828282828283</v>
      </c>
      <c r="AW111" s="1238">
        <f t="shared" si="440"/>
        <v>0.17939359910162822</v>
      </c>
      <c r="AX111" s="1238">
        <f t="shared" si="440"/>
        <v>0.17490794318779579</v>
      </c>
      <c r="AY111" s="1314">
        <f t="shared" si="440"/>
        <v>0.16931982633863973</v>
      </c>
      <c r="AZ111" s="1319">
        <f t="shared" si="440"/>
        <v>0.28488792480115688</v>
      </c>
      <c r="BA111" s="1238">
        <f t="shared" ref="BA111:BC111" si="441">BA108/AW108-1</f>
        <v>0.19282075696262813</v>
      </c>
      <c r="BB111" s="1238">
        <f t="shared" si="441"/>
        <v>0.16683866129393321</v>
      </c>
      <c r="BC111" s="1242">
        <f t="shared" si="441"/>
        <v>0.15156018760313517</v>
      </c>
      <c r="BD111" s="1253">
        <f t="shared" ref="BD111" si="442">BD108/AZ108-1</f>
        <v>4.3172714312422755E-5</v>
      </c>
      <c r="BE111" s="1238">
        <f t="shared" ref="BE111" si="443">BE108/BA108-1</f>
        <v>3.3363921940195773E-2</v>
      </c>
      <c r="BF111" s="1238">
        <f t="shared" ref="BF111" si="444">BF108/BB108-1</f>
        <v>6.4263189205178817E-2</v>
      </c>
      <c r="BG111" s="1242">
        <f t="shared" ref="BG111" si="445">BG108/BC108-1</f>
        <v>0.1065570435215184</v>
      </c>
      <c r="BH111" s="1319">
        <f t="shared" ref="BH111" si="446">BH108/BD108-1</f>
        <v>0.10712272638273079</v>
      </c>
      <c r="BI111" s="1314">
        <f t="shared" ref="BI111" si="447">BI108/BE108-1</f>
        <v>7.8839589995005621E-2</v>
      </c>
      <c r="BJ111" s="1314">
        <f t="shared" ref="BJ111" si="448">BJ108/BF108-1</f>
        <v>4.7959989021844507E-2</v>
      </c>
      <c r="BK111" s="1442">
        <f t="shared" ref="BK111" si="449">BK108/BG108-1</f>
        <v>7.5570929227186667E-4</v>
      </c>
      <c r="BL111" s="1391"/>
      <c r="BM111" s="301"/>
      <c r="BN111" s="301"/>
      <c r="BO111" s="301"/>
      <c r="BP111" s="301">
        <f t="shared" ref="BP111:CA111" si="450">BP108/BO108-1</f>
        <v>-0.12654502648616839</v>
      </c>
      <c r="BQ111" s="301">
        <f t="shared" si="450"/>
        <v>0.41037735849056611</v>
      </c>
      <c r="BR111" s="301">
        <f t="shared" si="450"/>
        <v>0.11610129001433345</v>
      </c>
      <c r="BS111" s="301">
        <f t="shared" si="450"/>
        <v>1.1986301369863117E-2</v>
      </c>
      <c r="BT111" s="301">
        <f t="shared" si="450"/>
        <v>6.5989847715736127E-2</v>
      </c>
      <c r="BU111" s="632">
        <f t="shared" si="450"/>
        <v>0.6789126984126983</v>
      </c>
      <c r="BV111" s="301">
        <f t="shared" si="450"/>
        <v>0.63205589407354545</v>
      </c>
      <c r="BW111" s="301">
        <f t="shared" si="450"/>
        <v>0.92498189717595936</v>
      </c>
      <c r="BX111" s="301">
        <f t="shared" si="450"/>
        <v>0.32899488414083655</v>
      </c>
      <c r="BY111" s="301">
        <f t="shared" si="450"/>
        <v>0.19655092496461934</v>
      </c>
      <c r="BZ111" s="301">
        <f t="shared" si="450"/>
        <v>5.1911536495323318E-2</v>
      </c>
      <c r="CA111" s="301">
        <f t="shared" si="450"/>
        <v>5.6222006562373306E-2</v>
      </c>
      <c r="CB111" s="19"/>
      <c r="CC111" s="632"/>
      <c r="CD111" s="301"/>
      <c r="CE111" s="301">
        <f t="shared" ref="CE111:CJ111" si="451">CE108/CD108-1</f>
        <v>4.928861439926802</v>
      </c>
      <c r="CF111" s="301">
        <f t="shared" si="451"/>
        <v>-0.10299195586334609</v>
      </c>
      <c r="CG111" s="301">
        <f t="shared" si="451"/>
        <v>0.39139784946236555</v>
      </c>
      <c r="CH111" s="301">
        <f t="shared" si="451"/>
        <v>7.5728554868624398E-2</v>
      </c>
      <c r="CI111" s="632">
        <f t="shared" si="451"/>
        <v>-0.14618808179855824</v>
      </c>
      <c r="CJ111" s="301">
        <f t="shared" si="451"/>
        <v>8.4080774084981158E-2</v>
      </c>
      <c r="CK111" s="632">
        <f t="shared" ref="CK111:CP111" si="452">CK108/CJ108-1</f>
        <v>1.0393036486266229</v>
      </c>
      <c r="CL111" s="301">
        <f t="shared" si="452"/>
        <v>0.33777354900095147</v>
      </c>
      <c r="CM111" s="301">
        <f t="shared" si="452"/>
        <v>1.2274537695590326</v>
      </c>
      <c r="CN111" s="301">
        <f t="shared" si="452"/>
        <v>0.20358899035698319</v>
      </c>
      <c r="CO111" s="301">
        <f t="shared" si="452"/>
        <v>0.12152078544277622</v>
      </c>
      <c r="CP111" s="367">
        <f t="shared" si="452"/>
        <v>7.8918474329632504E-2</v>
      </c>
    </row>
    <row r="112" spans="1:95" s="7" customFormat="1" ht="14.25" customHeight="1">
      <c r="A112" s="511"/>
      <c r="B112" s="20"/>
      <c r="C112" s="232"/>
      <c r="D112" s="87"/>
      <c r="E112" s="87"/>
      <c r="F112" s="87"/>
      <c r="G112" s="88"/>
      <c r="H112" s="87"/>
      <c r="I112" s="87"/>
      <c r="J112" s="87"/>
      <c r="K112" s="88"/>
      <c r="L112" s="87"/>
      <c r="M112" s="87"/>
      <c r="N112" s="87"/>
      <c r="O112" s="88"/>
      <c r="P112" s="87"/>
      <c r="Q112" s="87"/>
      <c r="R112" s="87"/>
      <c r="S112" s="88"/>
      <c r="T112" s="87"/>
      <c r="U112" s="87"/>
      <c r="V112" s="87"/>
      <c r="W112" s="88"/>
      <c r="X112" s="87"/>
      <c r="Y112" s="87"/>
      <c r="Z112" s="87"/>
      <c r="AA112" s="285"/>
      <c r="AB112" s="241"/>
      <c r="AC112" s="241"/>
      <c r="AD112" s="241"/>
      <c r="AE112" s="285"/>
      <c r="AF112" s="241"/>
      <c r="AG112" s="241"/>
      <c r="AH112" s="241"/>
      <c r="AI112" s="285"/>
      <c r="AJ112" s="241"/>
      <c r="AK112" s="241"/>
      <c r="AL112" s="241"/>
      <c r="AM112" s="241"/>
      <c r="AN112" s="629"/>
      <c r="AO112" s="241"/>
      <c r="AP112" s="241"/>
      <c r="AQ112" s="241"/>
      <c r="AR112" s="629"/>
      <c r="AS112" s="241"/>
      <c r="AT112" s="1149"/>
      <c r="AU112" s="241"/>
      <c r="AV112" s="1253"/>
      <c r="AW112" s="1238"/>
      <c r="AX112" s="1238"/>
      <c r="AY112" s="1314"/>
      <c r="AZ112" s="1319"/>
      <c r="BA112" s="1238"/>
      <c r="BB112" s="1238"/>
      <c r="BC112" s="1242"/>
      <c r="BD112" s="1253"/>
      <c r="BE112" s="1238"/>
      <c r="BF112" s="1238"/>
      <c r="BG112" s="1242"/>
      <c r="BH112" s="1319"/>
      <c r="BI112" s="1314"/>
      <c r="BJ112" s="1314"/>
      <c r="BK112" s="1442"/>
      <c r="BL112" s="1391"/>
      <c r="BM112" s="13"/>
      <c r="BN112" s="13"/>
      <c r="BO112" s="13"/>
      <c r="BP112" s="13"/>
      <c r="BQ112" s="13"/>
      <c r="BR112" s="13"/>
      <c r="BS112" s="13"/>
      <c r="BT112" s="13"/>
      <c r="BU112" s="20"/>
      <c r="BV112" s="13"/>
      <c r="BW112" s="13"/>
      <c r="BX112" s="13"/>
      <c r="BY112" s="13"/>
      <c r="BZ112" s="13"/>
      <c r="CA112" s="13"/>
      <c r="CB112" s="19"/>
      <c r="CC112" s="20"/>
      <c r="CD112" s="13"/>
      <c r="CE112" s="13"/>
      <c r="CF112" s="13"/>
      <c r="CG112" s="13"/>
      <c r="CH112" s="13"/>
      <c r="CI112" s="20"/>
      <c r="CJ112" s="13"/>
      <c r="CK112" s="20"/>
      <c r="CL112" s="13"/>
      <c r="CM112" s="13"/>
      <c r="CN112" s="13"/>
      <c r="CO112" s="13"/>
      <c r="CP112" s="232"/>
    </row>
    <row r="113" spans="1:94" s="7" customFormat="1" ht="14.25" customHeight="1">
      <c r="A113" s="511"/>
      <c r="B113" s="264" t="s">
        <v>114</v>
      </c>
      <c r="C113" s="282"/>
      <c r="D113" s="118">
        <f>'AVGO IS'!D148</f>
        <v>350</v>
      </c>
      <c r="E113" s="118">
        <f>'AVGO IS'!E148</f>
        <v>362</v>
      </c>
      <c r="F113" s="118">
        <f>'AVGO IS'!F148</f>
        <v>408</v>
      </c>
      <c r="G113" s="119">
        <f>'AVGO IS'!G148</f>
        <v>393</v>
      </c>
      <c r="H113" s="118">
        <f>'AVGO IS'!H148</f>
        <v>375</v>
      </c>
      <c r="I113" s="118">
        <f>'AVGO IS'!I148</f>
        <v>380</v>
      </c>
      <c r="J113" s="118">
        <f>'AVGO IS'!J148</f>
        <v>381</v>
      </c>
      <c r="K113" s="119">
        <f>'AVGO IS'!K148</f>
        <v>391</v>
      </c>
      <c r="L113" s="118">
        <f>'AVGO IS'!L148</f>
        <v>402</v>
      </c>
      <c r="M113" s="118">
        <f>'AVGO IS'!M148</f>
        <v>411</v>
      </c>
      <c r="N113" s="118">
        <f>'AVGO IS'!N148</f>
        <v>439</v>
      </c>
      <c r="O113" s="119">
        <f>'AVGO IS'!O148</f>
        <v>447</v>
      </c>
      <c r="P113" s="118">
        <f>'AVGO IS'!P148</f>
        <v>368</v>
      </c>
      <c r="Q113" s="118">
        <f>'AVGO IS'!Q148</f>
        <v>325</v>
      </c>
      <c r="R113" s="118">
        <f>'AVGO IS'!R148</f>
        <v>363</v>
      </c>
      <c r="S113" s="119">
        <f>'AVGO IS'!S148</f>
        <v>428</v>
      </c>
      <c r="T113" s="118">
        <f>'AVGO IS'!T148</f>
        <v>456</v>
      </c>
      <c r="U113" s="118">
        <f>'AVGO IS'!U148</f>
        <v>515</v>
      </c>
      <c r="V113" s="118">
        <f>'AVGO IS'!V148</f>
        <v>550</v>
      </c>
      <c r="W113" s="119">
        <f>'AVGO IS'!W148</f>
        <v>572</v>
      </c>
      <c r="X113" s="383">
        <f>'AVGO IS'!X148</f>
        <v>550</v>
      </c>
      <c r="Y113" s="383">
        <f>'AVGO IS'!Y148</f>
        <v>560</v>
      </c>
      <c r="Z113" s="383">
        <f>'AVGO IS'!Z148</f>
        <v>603</v>
      </c>
      <c r="AA113" s="287">
        <f>'AVGO IS'!AA148</f>
        <v>623</v>
      </c>
      <c r="AB113" s="286">
        <f>'AVGO IS'!AB148</f>
        <v>563</v>
      </c>
      <c r="AC113" s="286">
        <f>'AVGO IS'!AC148</f>
        <v>577</v>
      </c>
      <c r="AD113" s="286">
        <f>'AVGO IS'!AD148</f>
        <v>606</v>
      </c>
      <c r="AE113" s="287">
        <f>'AVGO IS'!AE148</f>
        <v>618</v>
      </c>
      <c r="AF113" s="286">
        <f>'AVGO IS'!AF148</f>
        <v>576</v>
      </c>
      <c r="AG113" s="286">
        <f>'AVGO IS'!AG148</f>
        <v>562</v>
      </c>
      <c r="AH113" s="286">
        <f>'AVGO IS'!AH148</f>
        <v>644</v>
      </c>
      <c r="AI113" s="287">
        <f>'AVGO IS'!AI148</f>
        <v>738</v>
      </c>
      <c r="AJ113" s="286">
        <f>'AVGO IS'!AJ148</f>
        <v>709</v>
      </c>
      <c r="AK113" s="286">
        <f>'AVGO IS'!AK148</f>
        <v>701</v>
      </c>
      <c r="AL113" s="286">
        <f>'AVGO IS'!AL148</f>
        <v>1287</v>
      </c>
      <c r="AM113" s="286">
        <f>'AVGO IS'!AM148</f>
        <v>1610</v>
      </c>
      <c r="AN113" s="849">
        <f>'AVGO IS'!AN148</f>
        <v>1657</v>
      </c>
      <c r="AO113" s="286">
        <f>'AVGO IS'!AO148</f>
        <v>1645</v>
      </c>
      <c r="AP113" s="286">
        <f>'AVGO IS'!AP148</f>
        <v>1750</v>
      </c>
      <c r="AQ113" s="286">
        <f>'AVGO IS'!AQ148</f>
        <v>1853</v>
      </c>
      <c r="AR113" s="849">
        <f>'AVGO IS'!AR148</f>
        <v>1782</v>
      </c>
      <c r="AS113" s="286">
        <f>'AVGO IS'!AS148</f>
        <v>3562</v>
      </c>
      <c r="AT113" s="286">
        <f>'AVGO IS'!AT148</f>
        <v>3802</v>
      </c>
      <c r="AU113" s="286">
        <f>'AVGO IS'!AU148</f>
        <v>4146</v>
      </c>
      <c r="AV113" s="849">
        <f>'AVGO IS'!AV148</f>
        <v>4149</v>
      </c>
      <c r="AW113" s="286">
        <f>'AVGO IS'!AW148</f>
        <v>4201</v>
      </c>
      <c r="AX113" s="286">
        <f>'AVGO IS'!AX148</f>
        <v>4467</v>
      </c>
      <c r="AY113" s="286">
        <f>'AVGO IS'!AY148</f>
        <v>4848</v>
      </c>
      <c r="AZ113" s="849">
        <f>'AVGO IS'!AZ148</f>
        <v>5331</v>
      </c>
      <c r="BA113" s="286">
        <f>'AVGO IS'!BA148</f>
        <v>5011.0400000000009</v>
      </c>
      <c r="BB113" s="286">
        <f>'AVGO IS'!BB148</f>
        <v>5212.2682999999997</v>
      </c>
      <c r="BC113" s="287">
        <f>'AVGO IS'!BC148</f>
        <v>5582.7637894999998</v>
      </c>
      <c r="BD113" s="849">
        <f>'AVGO IS'!BD148</f>
        <v>5331.2301537399999</v>
      </c>
      <c r="BE113" s="286">
        <f>'AVGO IS'!BE148</f>
        <v>5178.2279473991994</v>
      </c>
      <c r="BF113" s="286">
        <f>'AVGO IS'!BF148</f>
        <v>5547.2252839510556</v>
      </c>
      <c r="BG113" s="287">
        <f>'AVGO IS'!BG148</f>
        <v>6177.6465935881088</v>
      </c>
      <c r="BH113" s="849">
        <f>'AVGO IS'!BH148</f>
        <v>5902.3260627824538</v>
      </c>
      <c r="BI113" s="286">
        <f>'AVGO IS'!BI148</f>
        <v>5586.4773156728315</v>
      </c>
      <c r="BJ113" s="286">
        <f>'AVGO IS'!BJ148</f>
        <v>5813.2701476710463</v>
      </c>
      <c r="BK113" s="1451">
        <f>'AVGO IS'!BK148</f>
        <v>6182.3150985232551</v>
      </c>
      <c r="BL113" s="1447"/>
      <c r="BM113" s="357"/>
      <c r="BN113" s="357"/>
      <c r="BO113" s="357">
        <f>'AVGO IS'!BO8</f>
        <v>1699</v>
      </c>
      <c r="BP113" s="357">
        <f>'AVGO IS'!BP8</f>
        <v>1484</v>
      </c>
      <c r="BQ113" s="357">
        <f>'AVGO IS'!BQ8</f>
        <v>2093</v>
      </c>
      <c r="BR113" s="357">
        <f>'AVGO IS'!BR8</f>
        <v>2336</v>
      </c>
      <c r="BS113" s="357">
        <f>'AVGO IS'!BS8</f>
        <v>2364</v>
      </c>
      <c r="BT113" s="357">
        <f>'AVGO IS'!BT8</f>
        <v>2520</v>
      </c>
      <c r="BU113" s="360">
        <f>'AVGO IS'!BU8</f>
        <v>4269</v>
      </c>
      <c r="BV113" s="357">
        <f>'AVGO IS'!BV8</f>
        <v>6824</v>
      </c>
      <c r="BW113" s="357">
        <f>'AVGO IS'!BW8</f>
        <v>13240</v>
      </c>
      <c r="BX113" s="286">
        <f>'AVGO IS'!BX8</f>
        <v>17636</v>
      </c>
      <c r="BY113" s="286">
        <f>'AVGO IS'!BY8</f>
        <v>21133.072089500001</v>
      </c>
      <c r="BZ113" s="286">
        <f>'AVGO IS'!BZ8</f>
        <v>22234.329978678365</v>
      </c>
      <c r="CA113" s="286">
        <f>'AVGO IS'!CA8</f>
        <v>23484.388624649589</v>
      </c>
      <c r="CB113" s="19"/>
      <c r="CC113" s="360"/>
      <c r="CD113" s="357">
        <f>'AVGO IS'!CD8</f>
        <v>1554</v>
      </c>
      <c r="CE113" s="357">
        <f>'AVGO IS'!CE8</f>
        <v>1665</v>
      </c>
      <c r="CF113" s="357">
        <f>'AVGO IS'!CF8</f>
        <v>1572</v>
      </c>
      <c r="CG113" s="357">
        <f>'AVGO IS'!CG8</f>
        <v>2187</v>
      </c>
      <c r="CH113" s="357">
        <f>'AVGO IS'!CH8</f>
        <v>2349</v>
      </c>
      <c r="CI113" s="360">
        <f>'AVGO IS'!CI8</f>
        <v>2377</v>
      </c>
      <c r="CJ113" s="357">
        <f>'AVGO IS'!CJ8</f>
        <v>2653</v>
      </c>
      <c r="CK113" s="360">
        <f>'AVGO IS'!CK8</f>
        <v>5195</v>
      </c>
      <c r="CL113" s="357">
        <f>'AVGO IS'!CL8</f>
        <v>6960</v>
      </c>
      <c r="CM113" s="286">
        <f>'AVGO IS'!CM8</f>
        <v>15608</v>
      </c>
      <c r="CN113" s="286">
        <f>'AVGO IS'!CN8</f>
        <v>18824</v>
      </c>
      <c r="CO113" s="286">
        <f>'AVGO IS'!CO8</f>
        <v>21137.302243240003</v>
      </c>
      <c r="CP113" s="287">
        <f>'AVGO IS'!CP8</f>
        <v>22805.425887720816</v>
      </c>
    </row>
    <row r="114" spans="1:94" s="7" customFormat="1" ht="14.25" customHeight="1">
      <c r="A114" s="511"/>
      <c r="B114" s="20"/>
      <c r="C114" s="232"/>
      <c r="D114" s="87"/>
      <c r="E114" s="87"/>
      <c r="F114" s="87"/>
      <c r="G114" s="88"/>
      <c r="H114" s="87"/>
      <c r="I114" s="87"/>
      <c r="J114" s="87"/>
      <c r="K114" s="88"/>
      <c r="L114" s="87"/>
      <c r="M114" s="87"/>
      <c r="N114" s="87"/>
      <c r="O114" s="88"/>
      <c r="P114" s="87"/>
      <c r="Q114" s="87"/>
      <c r="R114" s="87"/>
      <c r="S114" s="88"/>
      <c r="T114" s="87"/>
      <c r="U114" s="87"/>
      <c r="V114" s="87"/>
      <c r="W114" s="88"/>
      <c r="X114" s="87"/>
      <c r="Y114" s="87"/>
      <c r="Z114" s="87"/>
      <c r="AA114" s="285"/>
      <c r="AB114" s="241"/>
      <c r="AC114" s="377"/>
      <c r="AD114" s="377"/>
      <c r="AE114" s="285"/>
      <c r="AF114" s="241"/>
      <c r="AG114" s="241"/>
      <c r="AH114" s="241"/>
      <c r="AI114" s="285"/>
      <c r="AJ114" s="241"/>
      <c r="AK114" s="241"/>
      <c r="AL114" s="241"/>
      <c r="AM114" s="241"/>
      <c r="AN114" s="629"/>
      <c r="AO114" s="241"/>
      <c r="AP114" s="241"/>
      <c r="AQ114" s="241"/>
      <c r="AR114" s="629"/>
      <c r="AS114" s="241"/>
      <c r="AT114" s="1149"/>
      <c r="AU114" s="241"/>
      <c r="AV114" s="1253"/>
      <c r="AW114" s="1238"/>
      <c r="AX114" s="1238"/>
      <c r="AY114" s="1242"/>
      <c r="AZ114" s="1319"/>
      <c r="BA114" s="1238"/>
      <c r="BB114" s="1238"/>
      <c r="BC114" s="1242"/>
      <c r="BD114" s="1253"/>
      <c r="BE114" s="1238"/>
      <c r="BF114" s="1238"/>
      <c r="BG114" s="1242"/>
      <c r="BH114" s="1319"/>
      <c r="BI114" s="1314"/>
      <c r="BJ114" s="1314"/>
      <c r="BK114" s="1442"/>
      <c r="BL114" s="1391"/>
      <c r="BM114" s="13"/>
      <c r="BN114" s="13"/>
      <c r="BO114" s="13"/>
      <c r="BP114" s="13"/>
      <c r="BQ114" s="13"/>
      <c r="BR114" s="13"/>
      <c r="BS114" s="13"/>
      <c r="BT114" s="13"/>
      <c r="BU114" s="20"/>
      <c r="BV114" s="13"/>
      <c r="BW114" s="13"/>
      <c r="BX114" s="13"/>
      <c r="BY114" s="13"/>
      <c r="BZ114" s="13"/>
      <c r="CA114" s="13"/>
      <c r="CB114" s="19"/>
      <c r="CC114" s="20"/>
      <c r="CD114" s="13"/>
      <c r="CE114" s="13"/>
      <c r="CF114" s="13"/>
      <c r="CG114" s="13"/>
      <c r="CH114" s="13"/>
      <c r="CI114" s="20"/>
      <c r="CJ114" s="13"/>
      <c r="CK114" s="20"/>
      <c r="CL114" s="13"/>
      <c r="CM114" s="13"/>
      <c r="CN114" s="13"/>
      <c r="CO114" s="13"/>
      <c r="CP114" s="232"/>
    </row>
    <row r="115" spans="1:94" s="7" customFormat="1" ht="14.25" customHeight="1">
      <c r="A115" s="511"/>
      <c r="B115" s="20"/>
      <c r="C115" s="232"/>
      <c r="D115" s="87"/>
      <c r="E115" s="87"/>
      <c r="F115" s="87"/>
      <c r="G115" s="88"/>
      <c r="H115" s="87"/>
      <c r="I115" s="87"/>
      <c r="J115" s="87"/>
      <c r="K115" s="88"/>
      <c r="L115" s="87"/>
      <c r="M115" s="87"/>
      <c r="N115" s="87"/>
      <c r="O115" s="88"/>
      <c r="P115" s="87"/>
      <c r="Q115" s="87"/>
      <c r="R115" s="87"/>
      <c r="S115" s="88"/>
      <c r="T115" s="87"/>
      <c r="U115" s="87"/>
      <c r="V115" s="87"/>
      <c r="W115" s="88"/>
      <c r="X115" s="87"/>
      <c r="Y115" s="87"/>
      <c r="Z115" s="87"/>
      <c r="AA115" s="285"/>
      <c r="AB115" s="241"/>
      <c r="AC115" s="377"/>
      <c r="AD115" s="377"/>
      <c r="AE115" s="285"/>
      <c r="AF115" s="241"/>
      <c r="AG115" s="241"/>
      <c r="AH115" s="241"/>
      <c r="AI115" s="285"/>
      <c r="AJ115" s="241"/>
      <c r="AK115" s="241"/>
      <c r="AL115" s="241"/>
      <c r="AM115" s="241"/>
      <c r="AN115" s="629"/>
      <c r="AO115" s="267"/>
      <c r="AP115" s="267"/>
      <c r="AQ115" s="267"/>
      <c r="AR115" s="629"/>
      <c r="AS115" s="267"/>
      <c r="AT115" s="1178"/>
      <c r="AU115" s="267"/>
      <c r="AV115" s="1253"/>
      <c r="AW115" s="1239"/>
      <c r="AX115" s="1239"/>
      <c r="AY115" s="1240"/>
      <c r="AZ115" s="1319"/>
      <c r="BA115" s="1239"/>
      <c r="BB115" s="1239"/>
      <c r="BC115" s="1240"/>
      <c r="BD115" s="1241"/>
      <c r="BE115" s="1239"/>
      <c r="BF115" s="1239"/>
      <c r="BG115" s="1240"/>
      <c r="BH115" s="1241"/>
      <c r="BI115" s="1239"/>
      <c r="BJ115" s="1239"/>
      <c r="BK115" s="1240"/>
      <c r="BL115" s="1391"/>
      <c r="BM115" s="13"/>
      <c r="BN115" s="13"/>
      <c r="BO115" s="13"/>
      <c r="BP115" s="13"/>
      <c r="BQ115" s="13"/>
      <c r="BR115" s="13"/>
      <c r="BS115" s="13"/>
      <c r="BT115" s="13"/>
      <c r="BU115" s="20"/>
      <c r="BV115" s="13"/>
      <c r="BW115" s="13"/>
      <c r="BX115" s="13"/>
      <c r="BY115" s="13"/>
      <c r="BZ115" s="13"/>
      <c r="CA115" s="13"/>
      <c r="CB115" s="19"/>
      <c r="CC115" s="20"/>
      <c r="CD115" s="13"/>
      <c r="CE115" s="13"/>
      <c r="CF115" s="13"/>
      <c r="CG115" s="13"/>
      <c r="CH115" s="13"/>
      <c r="CI115" s="14"/>
      <c r="CJ115" s="223"/>
      <c r="CK115" s="14"/>
      <c r="CL115" s="223"/>
      <c r="CM115" s="223"/>
      <c r="CN115" s="223"/>
      <c r="CO115" s="223"/>
      <c r="CP115" s="15"/>
    </row>
    <row r="116" spans="1:94" s="7" customFormat="1" ht="14.25" customHeight="1">
      <c r="A116" s="688"/>
      <c r="B116" s="344" t="s">
        <v>199</v>
      </c>
      <c r="C116" s="685"/>
      <c r="D116" s="686"/>
      <c r="E116" s="686"/>
      <c r="F116" s="686"/>
      <c r="G116" s="687"/>
      <c r="H116" s="686"/>
      <c r="I116" s="686"/>
      <c r="J116" s="686"/>
      <c r="K116" s="687"/>
      <c r="L116" s="686"/>
      <c r="M116" s="686"/>
      <c r="N116" s="686"/>
      <c r="O116" s="687"/>
      <c r="P116" s="686"/>
      <c r="Q116" s="686"/>
      <c r="R116" s="686"/>
      <c r="S116" s="687"/>
      <c r="T116" s="686"/>
      <c r="U116" s="686"/>
      <c r="V116" s="686"/>
      <c r="W116" s="687"/>
      <c r="X116" s="686"/>
      <c r="Y116" s="686"/>
      <c r="Z116" s="686"/>
      <c r="AA116" s="687"/>
      <c r="AB116" s="686"/>
      <c r="AC116" s="686"/>
      <c r="AD116" s="686"/>
      <c r="AE116" s="687"/>
      <c r="AF116" s="686"/>
      <c r="AG116" s="686"/>
      <c r="AH116" s="686"/>
      <c r="AI116" s="687"/>
      <c r="AJ116" s="686"/>
      <c r="AK116" s="686"/>
      <c r="AL116" s="686"/>
      <c r="AM116" s="686"/>
      <c r="AN116" s="883"/>
      <c r="AO116" s="686"/>
      <c r="AP116" s="686"/>
      <c r="AQ116" s="687"/>
      <c r="AR116" s="883"/>
      <c r="AS116" s="686"/>
      <c r="AT116" s="686"/>
      <c r="AU116" s="686"/>
      <c r="AV116" s="1258"/>
      <c r="AW116" s="1254"/>
      <c r="AX116" s="1254"/>
      <c r="AY116" s="1255"/>
      <c r="AZ116" s="1258"/>
      <c r="BA116" s="1254"/>
      <c r="BB116" s="1254"/>
      <c r="BC116" s="1255"/>
      <c r="BD116" s="1258"/>
      <c r="BE116" s="1254"/>
      <c r="BF116" s="1254"/>
      <c r="BG116" s="1255"/>
      <c r="BH116" s="1258"/>
      <c r="BI116" s="1254"/>
      <c r="BJ116" s="1254"/>
      <c r="BK116" s="1255"/>
      <c r="BL116" s="232"/>
      <c r="BM116" s="689"/>
      <c r="BN116" s="690"/>
      <c r="BO116" s="690"/>
      <c r="BP116" s="690"/>
      <c r="BQ116" s="690"/>
      <c r="BR116" s="690"/>
      <c r="BS116" s="690"/>
      <c r="BT116" s="690"/>
      <c r="BU116" s="689"/>
      <c r="BV116" s="690"/>
      <c r="BW116" s="690"/>
      <c r="BX116" s="690"/>
      <c r="BY116" s="690"/>
      <c r="BZ116" s="690"/>
      <c r="CA116" s="685"/>
      <c r="CB116" s="19"/>
      <c r="CC116" s="689"/>
      <c r="CD116" s="690"/>
      <c r="CE116" s="690"/>
      <c r="CF116" s="690"/>
      <c r="CG116" s="690"/>
      <c r="CH116" s="690"/>
      <c r="CI116" s="689"/>
      <c r="CJ116" s="690"/>
      <c r="CK116" s="689"/>
      <c r="CL116" s="690"/>
      <c r="CM116" s="690"/>
      <c r="CN116" s="690"/>
      <c r="CO116" s="690"/>
      <c r="CP116" s="685"/>
    </row>
    <row r="117" spans="1:94" s="7" customFormat="1" ht="14.25" customHeight="1">
      <c r="A117" s="511"/>
      <c r="B117" s="20"/>
      <c r="C117" s="232"/>
      <c r="D117" s="87"/>
      <c r="E117" s="87"/>
      <c r="F117" s="87"/>
      <c r="G117" s="88"/>
      <c r="H117" s="87"/>
      <c r="I117" s="87"/>
      <c r="J117" s="87"/>
      <c r="K117" s="88"/>
      <c r="L117" s="87"/>
      <c r="M117" s="87"/>
      <c r="N117" s="87"/>
      <c r="O117" s="88"/>
      <c r="P117" s="87"/>
      <c r="Q117" s="87"/>
      <c r="R117" s="87"/>
      <c r="S117" s="88"/>
      <c r="T117" s="87"/>
      <c r="U117" s="87"/>
      <c r="V117" s="87"/>
      <c r="W117" s="88"/>
      <c r="X117" s="87"/>
      <c r="Y117" s="87"/>
      <c r="Z117" s="87"/>
      <c r="AA117" s="285"/>
      <c r="AB117" s="241"/>
      <c r="AC117" s="241"/>
      <c r="AD117" s="241"/>
      <c r="AE117" s="285"/>
      <c r="AF117" s="241"/>
      <c r="AG117" s="241"/>
      <c r="AH117" s="241"/>
      <c r="AI117" s="285"/>
      <c r="AJ117" s="241"/>
      <c r="AK117" s="241"/>
      <c r="AL117" s="241"/>
      <c r="AM117" s="241"/>
      <c r="AN117" s="629"/>
      <c r="AO117" s="454"/>
      <c r="AP117" s="454"/>
      <c r="AQ117" s="848"/>
      <c r="AR117" s="629"/>
      <c r="AS117" s="454"/>
      <c r="AT117" s="454"/>
      <c r="AU117" s="454"/>
      <c r="AV117" s="1253"/>
      <c r="AW117" s="1252"/>
      <c r="AX117" s="1252"/>
      <c r="AY117" s="1257"/>
      <c r="AZ117" s="1319"/>
      <c r="BA117" s="1238"/>
      <c r="BB117" s="1238"/>
      <c r="BC117" s="1242"/>
      <c r="BD117" s="1253"/>
      <c r="BE117" s="1238"/>
      <c r="BF117" s="1238"/>
      <c r="BG117" s="1242"/>
      <c r="BH117" s="1319"/>
      <c r="BI117" s="1314"/>
      <c r="BJ117" s="1314"/>
      <c r="BK117" s="1315"/>
      <c r="BL117" s="232"/>
      <c r="BM117" s="13"/>
      <c r="BN117" s="13"/>
      <c r="BO117" s="13"/>
      <c r="BP117" s="13"/>
      <c r="BQ117" s="13"/>
      <c r="BR117" s="13"/>
      <c r="BS117" s="13"/>
      <c r="BT117" s="13"/>
      <c r="BU117" s="20"/>
      <c r="BV117" s="13"/>
      <c r="BW117" s="13"/>
      <c r="BX117" s="13"/>
      <c r="BY117" s="13"/>
      <c r="BZ117" s="13"/>
      <c r="CA117" s="232"/>
      <c r="CB117" s="19"/>
      <c r="CC117" s="20"/>
      <c r="CD117" s="13"/>
      <c r="CE117" s="13"/>
      <c r="CF117" s="13"/>
      <c r="CG117" s="13"/>
      <c r="CH117" s="13"/>
      <c r="CI117" s="20"/>
      <c r="CJ117" s="13"/>
      <c r="CK117" s="20"/>
      <c r="CL117" s="13"/>
      <c r="CM117" s="13"/>
      <c r="CN117" s="13"/>
      <c r="CO117" s="13"/>
      <c r="CP117" s="232"/>
    </row>
    <row r="118" spans="1:94" s="7" customFormat="1" ht="14.25" customHeight="1">
      <c r="A118" s="511"/>
      <c r="B118" s="43" t="s">
        <v>118</v>
      </c>
      <c r="C118" s="347"/>
      <c r="D118" s="384"/>
      <c r="E118" s="384"/>
      <c r="F118" s="384"/>
      <c r="G118" s="385"/>
      <c r="H118" s="384"/>
      <c r="I118" s="384"/>
      <c r="J118" s="384"/>
      <c r="K118" s="385"/>
      <c r="L118" s="384"/>
      <c r="M118" s="384"/>
      <c r="N118" s="384"/>
      <c r="O118" s="385"/>
      <c r="P118" s="384"/>
      <c r="Q118" s="384"/>
      <c r="R118" s="384"/>
      <c r="S118" s="385"/>
      <c r="T118" s="386">
        <f>+'AVGO IS'!T13</f>
        <v>262</v>
      </c>
      <c r="U118" s="386">
        <f>+'AVGO IS'!U13</f>
        <v>282</v>
      </c>
      <c r="V118" s="386">
        <f>+'AVGO IS'!V13</f>
        <v>287</v>
      </c>
      <c r="W118" s="387">
        <f>+'AVGO IS'!W13</f>
        <v>296</v>
      </c>
      <c r="X118" s="386">
        <f>+'AVGO IS'!X13</f>
        <v>279</v>
      </c>
      <c r="Y118" s="386">
        <f>+'AVGO IS'!Y13</f>
        <v>285</v>
      </c>
      <c r="Z118" s="386">
        <f>+'AVGO IS'!Z13</f>
        <v>306</v>
      </c>
      <c r="AA118" s="388">
        <f>+'AVGO IS'!AA13</f>
        <v>319</v>
      </c>
      <c r="AB118" s="389">
        <f>+'AVGO IS'!AB13</f>
        <v>293</v>
      </c>
      <c r="AC118" s="389">
        <f>+'AVGO IS'!AC13</f>
        <v>299</v>
      </c>
      <c r="AD118" s="389">
        <f>+'AVGO IS'!AD13</f>
        <v>311</v>
      </c>
      <c r="AE118" s="388">
        <f>+'AVGO IS'!AE13</f>
        <v>319</v>
      </c>
      <c r="AF118" s="389">
        <f>+'AVGO IS'!AF13</f>
        <v>300</v>
      </c>
      <c r="AG118" s="389">
        <f>+'AVGO IS'!AG13</f>
        <v>290</v>
      </c>
      <c r="AH118" s="389">
        <f>+'AVGO IS'!AH13</f>
        <v>340</v>
      </c>
      <c r="AI118" s="388">
        <f>+'AVGO IS'!AI13</f>
        <v>393</v>
      </c>
      <c r="AJ118" s="389">
        <f>+'AVGO IS'!AJ13</f>
        <v>370</v>
      </c>
      <c r="AK118" s="389">
        <f>+'AVGO IS'!AK13</f>
        <v>344</v>
      </c>
      <c r="AL118" s="389">
        <f>+'AVGO IS'!AL13</f>
        <v>876</v>
      </c>
      <c r="AM118" s="389">
        <f>+'AVGO IS'!AM13</f>
        <v>802</v>
      </c>
      <c r="AN118" s="884">
        <f>+'AVGO IS'!AN13</f>
        <v>809</v>
      </c>
      <c r="AO118" s="389">
        <f>+'AVGO IS'!AO13</f>
        <v>768</v>
      </c>
      <c r="AP118" s="389">
        <f>+'AVGO IS'!AP13</f>
        <v>851</v>
      </c>
      <c r="AQ118" s="389">
        <f>+'AVGO IS'!AQ13</f>
        <v>843</v>
      </c>
      <c r="AR118" s="884">
        <f>+'AVGO IS'!AR13</f>
        <v>830</v>
      </c>
      <c r="AS118" s="389">
        <f>+'AVGO IS'!AS13</f>
        <v>2495</v>
      </c>
      <c r="AT118" s="389">
        <f>+'AVGO IS'!AT13</f>
        <v>2010</v>
      </c>
      <c r="AU118" s="389">
        <f>+'AVGO IS'!AU13</f>
        <v>1965</v>
      </c>
      <c r="AV118" s="884">
        <f>+'AVGO IS'!AV13</f>
        <v>2138</v>
      </c>
      <c r="AW118" s="389">
        <f>+'AVGO IS'!AW13</f>
        <v>2214</v>
      </c>
      <c r="AX118" s="389">
        <f>+'AVGO IS'!AX13</f>
        <v>2314</v>
      </c>
      <c r="AY118" s="389">
        <f>+'AVGO IS'!AY13</f>
        <v>2461</v>
      </c>
      <c r="AZ118" s="884">
        <f>+'AVGO IS'!AZ13</f>
        <v>2699</v>
      </c>
      <c r="BA118" s="391">
        <f t="shared" ref="BA118:BC118" si="453">BA108-BA126</f>
        <v>1702.276890000001</v>
      </c>
      <c r="BB118" s="391">
        <f t="shared" si="453"/>
        <v>1819.3031874999997</v>
      </c>
      <c r="BC118" s="390">
        <f t="shared" si="453"/>
        <v>1984.0572900389993</v>
      </c>
      <c r="BD118" s="580">
        <f t="shared" ref="BD118:BG118" si="454">BD108-BD126</f>
        <v>1867.5457150183297</v>
      </c>
      <c r="BE118" s="391">
        <f t="shared" si="454"/>
        <v>1793.9782511502976</v>
      </c>
      <c r="BF118" s="391">
        <f t="shared" si="454"/>
        <v>1924.6485754299783</v>
      </c>
      <c r="BG118" s="390">
        <f t="shared" si="454"/>
        <v>2162.2722868814726</v>
      </c>
      <c r="BH118" s="580">
        <f t="shared" ref="BH118:BK118" si="455">BH108-BH126</f>
        <v>2052.9086802375964</v>
      </c>
      <c r="BI118" s="391">
        <f t="shared" si="455"/>
        <v>1938.5467904704888</v>
      </c>
      <c r="BJ118" s="391">
        <f t="shared" si="455"/>
        <v>2012.4468011680019</v>
      </c>
      <c r="BK118" s="390">
        <f t="shared" si="455"/>
        <v>2147.1635758572179</v>
      </c>
      <c r="BL118" s="232"/>
      <c r="BM118" s="357"/>
      <c r="BN118" s="357"/>
      <c r="BO118" s="357"/>
      <c r="BP118" s="357"/>
      <c r="BQ118" s="357">
        <f>SUM(T118:W118)</f>
        <v>1127</v>
      </c>
      <c r="BR118" s="357">
        <f>SUM(X118:AA118)</f>
        <v>1189</v>
      </c>
      <c r="BS118" s="357">
        <f>SUM(AB118:AE118)</f>
        <v>1222</v>
      </c>
      <c r="BT118" s="357">
        <f>SUM(AF118:AI118)</f>
        <v>1323</v>
      </c>
      <c r="BU118" s="360">
        <f>SUM(AJ118:AM118)</f>
        <v>2392</v>
      </c>
      <c r="BV118" s="357">
        <f>SUM(AN118:AQ118)</f>
        <v>3271</v>
      </c>
      <c r="BW118" s="357">
        <f>SUM(AR118:AU118)</f>
        <v>7300</v>
      </c>
      <c r="BX118" s="357">
        <f>SUM(AV118:AY118)</f>
        <v>9127</v>
      </c>
      <c r="BY118" s="357">
        <f>SUM(AZ118:BC118)</f>
        <v>8204.6373675390005</v>
      </c>
      <c r="BZ118" s="357">
        <f>SUM(BD118:BG118)</f>
        <v>7748.4448284800783</v>
      </c>
      <c r="CA118" s="358">
        <f>SUM(BH118:BK118)</f>
        <v>8151.0658477333054</v>
      </c>
      <c r="CB118" s="19"/>
      <c r="CC118" s="360"/>
      <c r="CD118" s="357"/>
      <c r="CE118" s="357"/>
      <c r="CF118" s="357">
        <f>SUM(Q118:T118)</f>
        <v>262</v>
      </c>
      <c r="CG118" s="357">
        <f>SUM(U118:X118)</f>
        <v>1144</v>
      </c>
      <c r="CH118" s="357">
        <f>SUM(Y118:AB118)</f>
        <v>1203</v>
      </c>
      <c r="CI118" s="360">
        <f>SUM(AC118:AF118)</f>
        <v>1229</v>
      </c>
      <c r="CJ118" s="357">
        <f>SUM(AG118:AJ118)</f>
        <v>1393</v>
      </c>
      <c r="CK118" s="360">
        <f>SUM(AK118:AN118)</f>
        <v>2831</v>
      </c>
      <c r="CL118" s="357">
        <f>SUM(AO118:AR118)</f>
        <v>3292</v>
      </c>
      <c r="CM118" s="357">
        <f>SUM(AS118:AV118)</f>
        <v>8608</v>
      </c>
      <c r="CN118" s="357">
        <f>SUM(AW118:AZ118)</f>
        <v>9688</v>
      </c>
      <c r="CO118" s="357">
        <f>SUM(BA118:BD118)</f>
        <v>7373.1830825573306</v>
      </c>
      <c r="CP118" s="358">
        <f>SUM(BE118:BH118)</f>
        <v>7933.807793699345</v>
      </c>
    </row>
    <row r="119" spans="1:94" s="7" customFormat="1" ht="14.25" customHeight="1">
      <c r="A119" s="511"/>
      <c r="B119" s="35"/>
      <c r="C119" s="232"/>
      <c r="D119" s="87"/>
      <c r="E119" s="87"/>
      <c r="F119" s="87"/>
      <c r="G119" s="88"/>
      <c r="H119" s="87"/>
      <c r="I119" s="87"/>
      <c r="J119" s="87"/>
      <c r="K119" s="88"/>
      <c r="L119" s="87"/>
      <c r="M119" s="87"/>
      <c r="N119" s="87"/>
      <c r="O119" s="88"/>
      <c r="P119" s="87"/>
      <c r="Q119" s="87"/>
      <c r="R119" s="87"/>
      <c r="S119" s="88"/>
      <c r="T119" s="87"/>
      <c r="U119" s="87"/>
      <c r="V119" s="87"/>
      <c r="W119" s="88"/>
      <c r="X119" s="87"/>
      <c r="Y119" s="87"/>
      <c r="Z119" s="87"/>
      <c r="AA119" s="285"/>
      <c r="AB119" s="241"/>
      <c r="AC119" s="241"/>
      <c r="AD119" s="241"/>
      <c r="AE119" s="285"/>
      <c r="AF119" s="241"/>
      <c r="AG119" s="241"/>
      <c r="AH119" s="241"/>
      <c r="AI119" s="285"/>
      <c r="AJ119" s="241"/>
      <c r="AK119" s="241"/>
      <c r="AL119" s="241"/>
      <c r="AM119" s="241"/>
      <c r="AN119" s="629"/>
      <c r="AO119" s="241"/>
      <c r="AP119" s="241"/>
      <c r="AQ119" s="285"/>
      <c r="AR119" s="629"/>
      <c r="AS119" s="241"/>
      <c r="AT119" s="1149"/>
      <c r="AU119" s="1242"/>
      <c r="AV119" s="1253"/>
      <c r="AW119" s="1238"/>
      <c r="AX119" s="1314"/>
      <c r="AY119" s="1315"/>
      <c r="AZ119" s="1319"/>
      <c r="BA119" s="1238"/>
      <c r="BB119" s="1238"/>
      <c r="BC119" s="1242"/>
      <c r="BD119" s="1253"/>
      <c r="BE119" s="1238"/>
      <c r="BF119" s="1238"/>
      <c r="BG119" s="1242"/>
      <c r="BH119" s="1319"/>
      <c r="BI119" s="1314"/>
      <c r="BJ119" s="1314"/>
      <c r="BK119" s="1315"/>
      <c r="BL119" s="232"/>
      <c r="BM119" s="13"/>
      <c r="BN119" s="13"/>
      <c r="BO119" s="13"/>
      <c r="BP119" s="13"/>
      <c r="BQ119" s="13"/>
      <c r="BR119" s="13"/>
      <c r="BS119" s="13"/>
      <c r="BT119" s="13"/>
      <c r="BU119" s="20"/>
      <c r="BV119" s="13"/>
      <c r="BW119" s="13"/>
      <c r="BX119" s="13"/>
      <c r="BY119" s="13"/>
      <c r="BZ119" s="13"/>
      <c r="CA119" s="232"/>
      <c r="CB119" s="19"/>
      <c r="CC119" s="20"/>
      <c r="CD119" s="13"/>
      <c r="CE119" s="13"/>
      <c r="CF119" s="13"/>
      <c r="CG119" s="13"/>
      <c r="CH119" s="13"/>
      <c r="CI119" s="20"/>
      <c r="CJ119" s="13"/>
      <c r="CK119" s="20"/>
      <c r="CL119" s="13"/>
      <c r="CM119" s="13"/>
      <c r="CN119" s="13"/>
      <c r="CO119" s="13"/>
      <c r="CP119" s="232"/>
    </row>
    <row r="120" spans="1:94" s="7" customFormat="1" ht="14.25" customHeight="1">
      <c r="A120" s="511"/>
      <c r="B120" s="392" t="s">
        <v>204</v>
      </c>
      <c r="C120" s="232"/>
      <c r="D120" s="87"/>
      <c r="E120" s="87"/>
      <c r="F120" s="87"/>
      <c r="G120" s="88"/>
      <c r="H120" s="87"/>
      <c r="I120" s="87"/>
      <c r="J120" s="87"/>
      <c r="K120" s="88"/>
      <c r="L120" s="87"/>
      <c r="M120" s="87"/>
      <c r="N120" s="87"/>
      <c r="O120" s="88"/>
      <c r="P120" s="87"/>
      <c r="Q120" s="87"/>
      <c r="R120" s="87"/>
      <c r="S120" s="88"/>
      <c r="T120" s="87"/>
      <c r="U120" s="87"/>
      <c r="V120" s="87"/>
      <c r="W120" s="88"/>
      <c r="X120" s="87"/>
      <c r="Y120" s="87"/>
      <c r="Z120" s="87"/>
      <c r="AA120" s="285"/>
      <c r="AB120" s="241"/>
      <c r="AC120" s="241"/>
      <c r="AD120" s="241"/>
      <c r="AE120" s="285"/>
      <c r="AF120" s="241"/>
      <c r="AG120" s="241"/>
      <c r="AH120" s="241"/>
      <c r="AI120" s="285"/>
      <c r="AJ120" s="241"/>
      <c r="AK120" s="241"/>
      <c r="AL120" s="241"/>
      <c r="AM120" s="241"/>
      <c r="AN120" s="629"/>
      <c r="AO120" s="241"/>
      <c r="AP120" s="241"/>
      <c r="AQ120" s="285"/>
      <c r="AR120" s="629"/>
      <c r="AS120" s="241"/>
      <c r="AT120" s="1149"/>
      <c r="AU120" s="1242"/>
      <c r="AV120" s="1253"/>
      <c r="AW120" s="1238"/>
      <c r="AX120" s="1314"/>
      <c r="AY120" s="1315"/>
      <c r="AZ120" s="1319"/>
      <c r="BA120" s="1238"/>
      <c r="BB120" s="1238"/>
      <c r="BC120" s="1242"/>
      <c r="BD120" s="1253"/>
      <c r="BE120" s="1238"/>
      <c r="BF120" s="1238"/>
      <c r="BG120" s="1242"/>
      <c r="BH120" s="1319"/>
      <c r="BI120" s="1314"/>
      <c r="BJ120" s="1314"/>
      <c r="BK120" s="1315"/>
      <c r="BL120" s="232"/>
      <c r="BM120" s="13"/>
      <c r="BN120" s="13"/>
      <c r="BO120" s="13"/>
      <c r="BP120" s="13"/>
      <c r="BQ120" s="13"/>
      <c r="BR120" s="13"/>
      <c r="BS120" s="13"/>
      <c r="BT120" s="13"/>
      <c r="BU120" s="20"/>
      <c r="BV120" s="13"/>
      <c r="BW120" s="13"/>
      <c r="BX120" s="13"/>
      <c r="BY120" s="13"/>
      <c r="BZ120" s="13"/>
      <c r="CA120" s="232"/>
      <c r="CB120" s="19"/>
      <c r="CC120" s="20"/>
      <c r="CD120" s="13"/>
      <c r="CE120" s="13"/>
      <c r="CF120" s="13"/>
      <c r="CG120" s="13"/>
      <c r="CH120" s="13"/>
      <c r="CI120" s="20"/>
      <c r="CJ120" s="13"/>
      <c r="CK120" s="20"/>
      <c r="CL120" s="13"/>
      <c r="CM120" s="13"/>
      <c r="CN120" s="13"/>
      <c r="CO120" s="13"/>
      <c r="CP120" s="232"/>
    </row>
    <row r="121" spans="1:94" s="7" customFormat="1" ht="14.25" customHeight="1">
      <c r="A121" s="511"/>
      <c r="B121" s="393" t="s">
        <v>205</v>
      </c>
      <c r="C121" s="232"/>
      <c r="D121" s="87"/>
      <c r="E121" s="87"/>
      <c r="F121" s="87"/>
      <c r="G121" s="88"/>
      <c r="H121" s="87"/>
      <c r="I121" s="87"/>
      <c r="J121" s="87"/>
      <c r="K121" s="88"/>
      <c r="L121" s="394"/>
      <c r="M121" s="394"/>
      <c r="N121" s="394"/>
      <c r="O121" s="395"/>
      <c r="P121" s="394"/>
      <c r="Q121" s="394"/>
      <c r="R121" s="394"/>
      <c r="S121" s="395"/>
      <c r="T121" s="394">
        <f t="shared" ref="T121:AQ121" si="456">+T122*T108</f>
        <v>68.399999999999991</v>
      </c>
      <c r="U121" s="394">
        <f t="shared" si="456"/>
        <v>77.25</v>
      </c>
      <c r="V121" s="394">
        <f t="shared" si="456"/>
        <v>82.5</v>
      </c>
      <c r="W121" s="395">
        <f t="shared" si="456"/>
        <v>85.8</v>
      </c>
      <c r="X121" s="394">
        <f t="shared" si="456"/>
        <v>82.5</v>
      </c>
      <c r="Y121" s="394">
        <f t="shared" si="456"/>
        <v>84</v>
      </c>
      <c r="Z121" s="394">
        <f t="shared" si="456"/>
        <v>90.45</v>
      </c>
      <c r="AA121" s="396">
        <f t="shared" si="456"/>
        <v>93.45</v>
      </c>
      <c r="AB121" s="397">
        <f t="shared" si="456"/>
        <v>84.45</v>
      </c>
      <c r="AC121" s="397">
        <f t="shared" si="456"/>
        <v>86.55</v>
      </c>
      <c r="AD121" s="397">
        <f t="shared" si="456"/>
        <v>90.899999999999991</v>
      </c>
      <c r="AE121" s="396">
        <f>+AE122*AE108</f>
        <v>92.7</v>
      </c>
      <c r="AF121" s="397">
        <f>+AF122*AF108</f>
        <v>86.399999999999991</v>
      </c>
      <c r="AG121" s="397">
        <f>+AG122*AG108</f>
        <v>84.3</v>
      </c>
      <c r="AH121" s="397">
        <f>+AH122*AH108</f>
        <v>96.6</v>
      </c>
      <c r="AI121" s="396">
        <f t="shared" si="456"/>
        <v>110.7</v>
      </c>
      <c r="AJ121" s="397">
        <f t="shared" si="456"/>
        <v>94.929000000000002</v>
      </c>
      <c r="AK121" s="397">
        <f t="shared" si="456"/>
        <v>105.14999999999999</v>
      </c>
      <c r="AL121" s="397">
        <f>+AL122*AL108</f>
        <v>193.04999999999998</v>
      </c>
      <c r="AM121" s="397">
        <f>+AM122*AM108</f>
        <v>241.5</v>
      </c>
      <c r="AN121" s="847">
        <f>+AN122*AN108</f>
        <v>248.54999999999998</v>
      </c>
      <c r="AO121" s="397">
        <f t="shared" si="456"/>
        <v>246.75</v>
      </c>
      <c r="AP121" s="397">
        <f>+AP122*AP108</f>
        <v>262.5</v>
      </c>
      <c r="AQ121" s="396">
        <f t="shared" si="456"/>
        <v>277.95</v>
      </c>
      <c r="AR121" s="847">
        <f>+AR122*AR108</f>
        <v>267.3</v>
      </c>
      <c r="AS121" s="397">
        <f t="shared" ref="AS121" si="457">+AS122*AS108</f>
        <v>534.29999999999995</v>
      </c>
      <c r="AT121" s="397">
        <f>+AT122*AT108</f>
        <v>570.29999999999995</v>
      </c>
      <c r="AU121" s="396">
        <f t="shared" ref="AU121" si="458">+AU122*AU108</f>
        <v>621.9</v>
      </c>
      <c r="AV121" s="847">
        <f>+AV122*AV108</f>
        <v>622.35</v>
      </c>
      <c r="AW121" s="397">
        <f t="shared" ref="AW121" si="459">+AW122*AW108</f>
        <v>630.15</v>
      </c>
      <c r="AX121" s="397">
        <f>+AX122*AX108</f>
        <v>670.05</v>
      </c>
      <c r="AY121" s="396">
        <f t="shared" ref="AY121" si="460">+AY122*AY108</f>
        <v>727.19999999999993</v>
      </c>
      <c r="AZ121" s="847">
        <f>+AZ122*AZ108</f>
        <v>799.65</v>
      </c>
      <c r="BA121" s="397">
        <f t="shared" ref="BA121:BC121" si="461">+BA122*BA108</f>
        <v>751.65600000000006</v>
      </c>
      <c r="BB121" s="397">
        <f t="shared" si="461"/>
        <v>781.84024499999998</v>
      </c>
      <c r="BC121" s="396">
        <f t="shared" si="461"/>
        <v>837.41456842499997</v>
      </c>
      <c r="BD121" s="847">
        <f t="shared" ref="BD121:BG121" si="462">+BD122*BD108</f>
        <v>799.68452306099994</v>
      </c>
      <c r="BE121" s="397">
        <f t="shared" si="462"/>
        <v>776.73419210987993</v>
      </c>
      <c r="BF121" s="397">
        <f t="shared" si="462"/>
        <v>832.08379259265837</v>
      </c>
      <c r="BG121" s="396">
        <f t="shared" si="462"/>
        <v>926.64698903821625</v>
      </c>
      <c r="BH121" s="847">
        <f t="shared" ref="BH121:BK121" si="463">+BH122*BH108</f>
        <v>885.34890941736808</v>
      </c>
      <c r="BI121" s="397">
        <f t="shared" si="463"/>
        <v>837.97159735092475</v>
      </c>
      <c r="BJ121" s="397">
        <f t="shared" si="463"/>
        <v>871.99052215065694</v>
      </c>
      <c r="BK121" s="396">
        <f t="shared" si="463"/>
        <v>927.34726477848824</v>
      </c>
      <c r="BL121" s="232"/>
      <c r="BM121" s="398"/>
      <c r="BN121" s="398"/>
      <c r="BO121" s="398"/>
      <c r="BP121" s="398"/>
      <c r="BQ121" s="398">
        <f>SUM(T121:W121)</f>
        <v>313.95</v>
      </c>
      <c r="BR121" s="398">
        <f>SUM(X121:AA121)</f>
        <v>350.4</v>
      </c>
      <c r="BS121" s="398">
        <f>SUM(AB121:AE121)</f>
        <v>354.59999999999997</v>
      </c>
      <c r="BT121" s="398">
        <f>SUM(AF121:AI121)</f>
        <v>377.99999999999994</v>
      </c>
      <c r="BU121" s="633">
        <f>SUM(AJ121:AM121)</f>
        <v>634.62900000000002</v>
      </c>
      <c r="BV121" s="398">
        <f>SUM(AN121:AQ121)</f>
        <v>1035.75</v>
      </c>
      <c r="BW121" s="398">
        <f>SUM(AR121:AU121)</f>
        <v>1993.7999999999997</v>
      </c>
      <c r="BX121" s="398">
        <f>SUM(AV121:AY121)</f>
        <v>2649.75</v>
      </c>
      <c r="BY121" s="398">
        <f>SUM(AZ121:BC121)</f>
        <v>3170.5608134249997</v>
      </c>
      <c r="BZ121" s="398">
        <f>SUM(BD121:BG121)</f>
        <v>3335.1494968017546</v>
      </c>
      <c r="CA121" s="584">
        <f>SUM(BH121:BK121)</f>
        <v>3522.6582936974382</v>
      </c>
      <c r="CB121" s="19"/>
      <c r="CC121" s="633"/>
      <c r="CD121" s="398">
        <f>SUM(I121:L121)</f>
        <v>0</v>
      </c>
      <c r="CE121" s="398">
        <f>SUM(M121:P121)</f>
        <v>0</v>
      </c>
      <c r="CF121" s="398">
        <f>SUM(Q121:T121)</f>
        <v>68.399999999999991</v>
      </c>
      <c r="CG121" s="398">
        <f>SUM(U121:X121)</f>
        <v>328.05</v>
      </c>
      <c r="CH121" s="398">
        <f>SUM(Y121:AB121)</f>
        <v>352.34999999999997</v>
      </c>
      <c r="CI121" s="633">
        <f>SUM(AC121:AF121)</f>
        <v>356.54999999999995</v>
      </c>
      <c r="CJ121" s="398">
        <f>SUM(AG121:AJ121)</f>
        <v>386.529</v>
      </c>
      <c r="CK121" s="633">
        <f>SUM(AK121:AN121)</f>
        <v>788.25</v>
      </c>
      <c r="CL121" s="398">
        <f>SUM(AO121:AR121)</f>
        <v>1054.5</v>
      </c>
      <c r="CM121" s="398">
        <f>SUM(AS121:AV121)</f>
        <v>2348.85</v>
      </c>
      <c r="CN121" s="398">
        <f>SUM(AW121:AZ121)</f>
        <v>2827.0499999999997</v>
      </c>
      <c r="CO121" s="398">
        <f>SUM(BA121:BD121)</f>
        <v>3170.5953364859997</v>
      </c>
      <c r="CP121" s="584">
        <f>SUM(BE121:BH121)</f>
        <v>3420.8138831581227</v>
      </c>
    </row>
    <row r="122" spans="1:94" s="369" customFormat="1" ht="14.25" customHeight="1">
      <c r="A122" s="512"/>
      <c r="B122" s="520" t="s">
        <v>206</v>
      </c>
      <c r="C122" s="521"/>
      <c r="D122" s="362"/>
      <c r="E122" s="362"/>
      <c r="F122" s="362"/>
      <c r="G122" s="365"/>
      <c r="H122" s="362"/>
      <c r="I122" s="362"/>
      <c r="J122" s="362"/>
      <c r="K122" s="365"/>
      <c r="L122" s="522"/>
      <c r="M122" s="522"/>
      <c r="N122" s="522"/>
      <c r="O122" s="523"/>
      <c r="P122" s="522"/>
      <c r="Q122" s="522"/>
      <c r="R122" s="522"/>
      <c r="S122" s="523"/>
      <c r="T122" s="519">
        <v>0.15</v>
      </c>
      <c r="U122" s="362">
        <f t="shared" ref="U122:AZ122" si="464">T122</f>
        <v>0.15</v>
      </c>
      <c r="V122" s="362">
        <f t="shared" si="464"/>
        <v>0.15</v>
      </c>
      <c r="W122" s="365">
        <f t="shared" si="464"/>
        <v>0.15</v>
      </c>
      <c r="X122" s="362">
        <f t="shared" si="464"/>
        <v>0.15</v>
      </c>
      <c r="Y122" s="362">
        <f t="shared" si="464"/>
        <v>0.15</v>
      </c>
      <c r="Z122" s="362">
        <f t="shared" si="464"/>
        <v>0.15</v>
      </c>
      <c r="AA122" s="365">
        <f t="shared" si="464"/>
        <v>0.15</v>
      </c>
      <c r="AB122" s="362">
        <f t="shared" si="464"/>
        <v>0.15</v>
      </c>
      <c r="AC122" s="362">
        <f t="shared" si="464"/>
        <v>0.15</v>
      </c>
      <c r="AD122" s="362">
        <f t="shared" si="464"/>
        <v>0.15</v>
      </c>
      <c r="AE122" s="365">
        <f>AD122</f>
        <v>0.15</v>
      </c>
      <c r="AF122" s="362">
        <f>AE122</f>
        <v>0.15</v>
      </c>
      <c r="AG122" s="362">
        <f>AF122</f>
        <v>0.15</v>
      </c>
      <c r="AH122" s="362">
        <f>AG122</f>
        <v>0.15</v>
      </c>
      <c r="AI122" s="365">
        <f t="shared" si="464"/>
        <v>0.15</v>
      </c>
      <c r="AJ122" s="362">
        <f t="shared" si="464"/>
        <v>0.15</v>
      </c>
      <c r="AK122" s="362">
        <f t="shared" si="464"/>
        <v>0.15</v>
      </c>
      <c r="AL122" s="362">
        <f t="shared" si="464"/>
        <v>0.15</v>
      </c>
      <c r="AM122" s="362">
        <f t="shared" si="464"/>
        <v>0.15</v>
      </c>
      <c r="AN122" s="361">
        <f t="shared" si="464"/>
        <v>0.15</v>
      </c>
      <c r="AO122" s="362">
        <f t="shared" si="464"/>
        <v>0.15</v>
      </c>
      <c r="AP122" s="362">
        <f t="shared" si="464"/>
        <v>0.15</v>
      </c>
      <c r="AQ122" s="365">
        <f t="shared" si="464"/>
        <v>0.15</v>
      </c>
      <c r="AR122" s="361">
        <f t="shared" si="464"/>
        <v>0.15</v>
      </c>
      <c r="AS122" s="362">
        <f t="shared" si="464"/>
        <v>0.15</v>
      </c>
      <c r="AT122" s="362">
        <f t="shared" si="464"/>
        <v>0.15</v>
      </c>
      <c r="AU122" s="365">
        <f t="shared" si="464"/>
        <v>0.15</v>
      </c>
      <c r="AV122" s="361">
        <f t="shared" si="464"/>
        <v>0.15</v>
      </c>
      <c r="AW122" s="362">
        <f t="shared" si="464"/>
        <v>0.15</v>
      </c>
      <c r="AX122" s="362">
        <f t="shared" si="464"/>
        <v>0.15</v>
      </c>
      <c r="AY122" s="365">
        <f t="shared" si="464"/>
        <v>0.15</v>
      </c>
      <c r="AZ122" s="361">
        <f t="shared" si="464"/>
        <v>0.15</v>
      </c>
      <c r="BA122" s="362">
        <f t="shared" ref="BA122:BC122" si="465">AZ122</f>
        <v>0.15</v>
      </c>
      <c r="BB122" s="362">
        <f t="shared" si="465"/>
        <v>0.15</v>
      </c>
      <c r="BC122" s="365">
        <f t="shared" si="465"/>
        <v>0.15</v>
      </c>
      <c r="BD122" s="361">
        <f t="shared" ref="BD122" si="466">BC122</f>
        <v>0.15</v>
      </c>
      <c r="BE122" s="362">
        <f t="shared" ref="BE122" si="467">BD122</f>
        <v>0.15</v>
      </c>
      <c r="BF122" s="362">
        <f t="shared" ref="BF122" si="468">BE122</f>
        <v>0.15</v>
      </c>
      <c r="BG122" s="365">
        <f t="shared" ref="BG122" si="469">BF122</f>
        <v>0.15</v>
      </c>
      <c r="BH122" s="361">
        <f t="shared" ref="BH122" si="470">BG122</f>
        <v>0.15</v>
      </c>
      <c r="BI122" s="362">
        <f t="shared" ref="BI122" si="471">BH122</f>
        <v>0.15</v>
      </c>
      <c r="BJ122" s="362">
        <f t="shared" ref="BJ122" si="472">BI122</f>
        <v>0.15</v>
      </c>
      <c r="BK122" s="365">
        <f t="shared" ref="BK122" si="473">BJ122</f>
        <v>0.15</v>
      </c>
      <c r="BL122" s="521"/>
      <c r="BM122" s="524"/>
      <c r="BN122" s="524"/>
      <c r="BO122" s="524"/>
      <c r="BP122" s="524"/>
      <c r="BQ122" s="524"/>
      <c r="BR122" s="524"/>
      <c r="BS122" s="524"/>
      <c r="BT122" s="524"/>
      <c r="BU122" s="368"/>
      <c r="BV122" s="524"/>
      <c r="BW122" s="524"/>
      <c r="BX122" s="524"/>
      <c r="BY122" s="524"/>
      <c r="BZ122" s="524"/>
      <c r="CA122" s="521"/>
      <c r="CB122" s="366"/>
      <c r="CC122" s="368"/>
      <c r="CD122" s="524"/>
      <c r="CE122" s="524"/>
      <c r="CF122" s="524"/>
      <c r="CG122" s="524"/>
      <c r="CH122" s="524"/>
      <c r="CI122" s="368"/>
      <c r="CJ122" s="524"/>
      <c r="CK122" s="368"/>
      <c r="CL122" s="524"/>
      <c r="CM122" s="524"/>
      <c r="CN122" s="524"/>
      <c r="CO122" s="524"/>
      <c r="CP122" s="521"/>
    </row>
    <row r="123" spans="1:94" s="7" customFormat="1" ht="14.25" customHeight="1">
      <c r="A123" s="511"/>
      <c r="B123" s="393" t="s">
        <v>207</v>
      </c>
      <c r="C123" s="232"/>
      <c r="D123" s="87"/>
      <c r="E123" s="87"/>
      <c r="F123" s="87"/>
      <c r="G123" s="88"/>
      <c r="H123" s="87"/>
      <c r="I123" s="87"/>
      <c r="J123" s="87"/>
      <c r="K123" s="88"/>
      <c r="L123" s="394"/>
      <c r="M123" s="394"/>
      <c r="N123" s="394"/>
      <c r="O123" s="395"/>
      <c r="P123" s="394"/>
      <c r="Q123" s="394"/>
      <c r="R123" s="394"/>
      <c r="S123" s="395"/>
      <c r="T123" s="399">
        <f>+'CFS '!T11</f>
        <v>39</v>
      </c>
      <c r="U123" s="399">
        <f>+'CFS '!U11</f>
        <v>40</v>
      </c>
      <c r="V123" s="399">
        <f>+'CFS '!V11</f>
        <v>40</v>
      </c>
      <c r="W123" s="400">
        <f>+'CFS '!W11</f>
        <v>40</v>
      </c>
      <c r="X123" s="399">
        <f>+'CFS '!X11</f>
        <v>41</v>
      </c>
      <c r="Y123" s="399">
        <f>+'CFS '!Y11</f>
        <v>38</v>
      </c>
      <c r="Z123" s="399">
        <f>+'CFS '!Z11</f>
        <v>39</v>
      </c>
      <c r="AA123" s="401">
        <f>+'CFS '!AA11</f>
        <v>39</v>
      </c>
      <c r="AB123" s="402">
        <f>+'CFS '!AB11</f>
        <v>37</v>
      </c>
      <c r="AC123" s="402">
        <f>+'CFS '!AC11</f>
        <v>38</v>
      </c>
      <c r="AD123" s="402">
        <f>+'CFS '!AD11</f>
        <v>40</v>
      </c>
      <c r="AE123" s="401">
        <f>+'CFS '!AE11</f>
        <v>40</v>
      </c>
      <c r="AF123" s="402">
        <f>+'CFS '!AF11</f>
        <v>41</v>
      </c>
      <c r="AG123" s="402">
        <f>+'CFS '!AG11</f>
        <v>42</v>
      </c>
      <c r="AH123" s="402">
        <f>+'CFS '!AH11</f>
        <v>46</v>
      </c>
      <c r="AI123" s="401">
        <f>+'CFS '!AI11</f>
        <v>58</v>
      </c>
      <c r="AJ123" s="402">
        <f>+'CFS '!AJ11</f>
        <v>57</v>
      </c>
      <c r="AK123" s="402">
        <f>+'CFS '!AK11</f>
        <v>61</v>
      </c>
      <c r="AL123" s="402">
        <f>+'CFS '!AL11</f>
        <v>257</v>
      </c>
      <c r="AM123" s="402">
        <f>+'CFS '!AM11</f>
        <v>250</v>
      </c>
      <c r="AN123" s="846">
        <f>+'CFS '!AN11</f>
        <v>226</v>
      </c>
      <c r="AO123" s="402">
        <f>+'CFS '!AO11</f>
        <v>230</v>
      </c>
      <c r="AP123" s="402">
        <f>+'CFS '!AP11</f>
        <v>256</v>
      </c>
      <c r="AQ123" s="401">
        <f>+'CFS '!AQ11</f>
        <v>250</v>
      </c>
      <c r="AR123" s="846">
        <f>+'CFS '!AR11</f>
        <v>244</v>
      </c>
      <c r="AS123" s="402">
        <f>+'CFS '!AS11</f>
        <v>1040</v>
      </c>
      <c r="AT123" s="402">
        <f>+'CFS '!AT11</f>
        <v>1058</v>
      </c>
      <c r="AU123" s="401">
        <f>+'CFS '!AU11</f>
        <v>700</v>
      </c>
      <c r="AV123" s="846">
        <f>+'CFS '!AV11</f>
        <v>1114</v>
      </c>
      <c r="AW123" s="402">
        <f>+'CFS '!AW11</f>
        <v>1193</v>
      </c>
      <c r="AX123" s="402">
        <f>+'CFS '!AX11</f>
        <v>1211</v>
      </c>
      <c r="AY123" s="401">
        <f>+'CFS '!AY11</f>
        <v>1219</v>
      </c>
      <c r="AZ123" s="846">
        <f>+'CFS '!AZ11</f>
        <v>1184</v>
      </c>
      <c r="BA123" s="402">
        <f>+'CFS '!BA11</f>
        <v>121.91968320000001</v>
      </c>
      <c r="BB123" s="402">
        <f>+'CFS '!BB11</f>
        <v>127.39256491500001</v>
      </c>
      <c r="BC123" s="401">
        <f>+'CFS '!BC11</f>
        <v>133.25446689397501</v>
      </c>
      <c r="BD123" s="846">
        <f>+'CFS '!BD11</f>
        <v>138.85225855540202</v>
      </c>
      <c r="BE123" s="402">
        <f>+'CFS '!BE11</f>
        <v>144.2893979001712</v>
      </c>
      <c r="BF123" s="402">
        <f>+'CFS '!BF11</f>
        <v>141.53604247984435</v>
      </c>
      <c r="BG123" s="401">
        <f>+'CFS '!BG11</f>
        <v>147.6519126074966</v>
      </c>
      <c r="BH123" s="846">
        <f>+'CFS '!BH11</f>
        <v>139.54110491786474</v>
      </c>
      <c r="BI123" s="402">
        <f>+'CFS '!BI11</f>
        <v>144.56893450197029</v>
      </c>
      <c r="BJ123" s="402">
        <f>+'CFS '!BJ11</f>
        <v>149.80087763487424</v>
      </c>
      <c r="BK123" s="401">
        <f>+'CFS '!BK11</f>
        <v>155.36496122354515</v>
      </c>
      <c r="BL123" s="232"/>
      <c r="BM123" s="398"/>
      <c r="BN123" s="398"/>
      <c r="BO123" s="398"/>
      <c r="BP123" s="398"/>
      <c r="BQ123" s="398">
        <f>SUM(T123:W123)</f>
        <v>159</v>
      </c>
      <c r="BR123" s="398">
        <f>SUM(X123:AA123)</f>
        <v>157</v>
      </c>
      <c r="BS123" s="398">
        <f>SUM(AB123:AE123)</f>
        <v>155</v>
      </c>
      <c r="BT123" s="398">
        <f>SUM(AF123:AI123)</f>
        <v>187</v>
      </c>
      <c r="BU123" s="633">
        <f>SUM(AJ123:AM123)</f>
        <v>625</v>
      </c>
      <c r="BV123" s="398">
        <f>SUM(AN123:AQ123)</f>
        <v>962</v>
      </c>
      <c r="BW123" s="398">
        <f>SUM(AR123:AU123)</f>
        <v>3042</v>
      </c>
      <c r="BX123" s="398">
        <f>SUM(AV123:AY123)</f>
        <v>4737</v>
      </c>
      <c r="BY123" s="398">
        <f>SUM(AZ123:BC123)</f>
        <v>1566.5667150089751</v>
      </c>
      <c r="BZ123" s="398">
        <f>SUM(BD123:BG123)</f>
        <v>572.32961154291411</v>
      </c>
      <c r="CA123" s="584">
        <f>SUM(BH123:BK123)</f>
        <v>589.27587827825448</v>
      </c>
      <c r="CB123" s="19"/>
      <c r="CC123" s="633"/>
      <c r="CD123" s="398">
        <f>SUM(I123:L123)</f>
        <v>0</v>
      </c>
      <c r="CE123" s="398">
        <f>SUM(M123:P123)</f>
        <v>0</v>
      </c>
      <c r="CF123" s="398">
        <f>SUM(Q123:T123)</f>
        <v>39</v>
      </c>
      <c r="CG123" s="398">
        <f>SUM(U123:X123)</f>
        <v>161</v>
      </c>
      <c r="CH123" s="398">
        <f>SUM(Y123:AB123)</f>
        <v>153</v>
      </c>
      <c r="CI123" s="633">
        <f>SUM(AC123:AF123)</f>
        <v>159</v>
      </c>
      <c r="CJ123" s="398">
        <f>SUM(AG123:AJ123)</f>
        <v>203</v>
      </c>
      <c r="CK123" s="633">
        <f>SUM(AK123:AN123)</f>
        <v>794</v>
      </c>
      <c r="CL123" s="398">
        <f>SUM(AO123:AR123)</f>
        <v>980</v>
      </c>
      <c r="CM123" s="398">
        <f>SUM(AS123:AV123)</f>
        <v>3912</v>
      </c>
      <c r="CN123" s="398">
        <f>SUM(AW123:AZ123)</f>
        <v>4807</v>
      </c>
      <c r="CO123" s="398">
        <f>SUM(BA123:BD123)</f>
        <v>521.4189735643771</v>
      </c>
      <c r="CP123" s="584">
        <f>SUM(BE123:BH123)</f>
        <v>573.01845790537686</v>
      </c>
    </row>
    <row r="124" spans="1:94" s="7" customFormat="1" ht="14.25" customHeight="1">
      <c r="A124" s="511"/>
      <c r="B124" s="393" t="s">
        <v>208</v>
      </c>
      <c r="C124" s="232"/>
      <c r="D124" s="87"/>
      <c r="E124" s="87"/>
      <c r="F124" s="87"/>
      <c r="G124" s="88"/>
      <c r="H124" s="87"/>
      <c r="I124" s="87"/>
      <c r="J124" s="87"/>
      <c r="K124" s="88"/>
      <c r="L124" s="394"/>
      <c r="M124" s="394"/>
      <c r="N124" s="394"/>
      <c r="O124" s="395"/>
      <c r="P124" s="394"/>
      <c r="Q124" s="394"/>
      <c r="R124" s="394"/>
      <c r="S124" s="395"/>
      <c r="T124" s="394">
        <f>+T118-T121-T123</f>
        <v>154.60000000000002</v>
      </c>
      <c r="U124" s="394">
        <f t="shared" ref="U124:AQ124" si="474">+U118-U121-U123</f>
        <v>164.75</v>
      </c>
      <c r="V124" s="394">
        <f t="shared" si="474"/>
        <v>164.5</v>
      </c>
      <c r="W124" s="395">
        <f t="shared" si="474"/>
        <v>170.2</v>
      </c>
      <c r="X124" s="394">
        <f t="shared" si="474"/>
        <v>155.5</v>
      </c>
      <c r="Y124" s="394">
        <f t="shared" si="474"/>
        <v>163</v>
      </c>
      <c r="Z124" s="394">
        <f t="shared" si="474"/>
        <v>176.55</v>
      </c>
      <c r="AA124" s="395">
        <f t="shared" si="474"/>
        <v>186.55</v>
      </c>
      <c r="AB124" s="394">
        <f t="shared" si="474"/>
        <v>171.55</v>
      </c>
      <c r="AC124" s="394">
        <f t="shared" si="474"/>
        <v>174.45</v>
      </c>
      <c r="AD124" s="394">
        <f t="shared" si="474"/>
        <v>180.10000000000002</v>
      </c>
      <c r="AE124" s="395">
        <f t="shared" si="474"/>
        <v>186.3</v>
      </c>
      <c r="AF124" s="394">
        <f t="shared" si="474"/>
        <v>172.60000000000002</v>
      </c>
      <c r="AG124" s="394">
        <f t="shared" si="474"/>
        <v>163.69999999999999</v>
      </c>
      <c r="AH124" s="394">
        <f t="shared" si="474"/>
        <v>197.4</v>
      </c>
      <c r="AI124" s="395">
        <f t="shared" si="474"/>
        <v>224.3</v>
      </c>
      <c r="AJ124" s="394">
        <f t="shared" si="474"/>
        <v>218.07100000000003</v>
      </c>
      <c r="AK124" s="394">
        <f t="shared" si="474"/>
        <v>177.85000000000002</v>
      </c>
      <c r="AL124" s="394">
        <f>+AL118-AL121-AL123</f>
        <v>425.95000000000005</v>
      </c>
      <c r="AM124" s="394">
        <f>+AM118-AM121-AM123</f>
        <v>310.5</v>
      </c>
      <c r="AN124" s="845">
        <f>+AN118-AN121-AN123</f>
        <v>334.45000000000005</v>
      </c>
      <c r="AO124" s="394">
        <f t="shared" si="474"/>
        <v>291.25</v>
      </c>
      <c r="AP124" s="394">
        <f>+AP118-AP121-AP123</f>
        <v>332.5</v>
      </c>
      <c r="AQ124" s="395">
        <f t="shared" si="474"/>
        <v>315.04999999999995</v>
      </c>
      <c r="AR124" s="845">
        <f>+AR118-AR121-AR123</f>
        <v>318.70000000000005</v>
      </c>
      <c r="AS124" s="394">
        <f t="shared" ref="AS124" si="475">+AS118-AS121-AS123</f>
        <v>920.7</v>
      </c>
      <c r="AT124" s="394">
        <f>+AT118-AT121-AT123</f>
        <v>381.70000000000005</v>
      </c>
      <c r="AU124" s="395">
        <f t="shared" ref="AU124" si="476">+AU118-AU121-AU123</f>
        <v>643.09999999999991</v>
      </c>
      <c r="AV124" s="845">
        <f>+AV118-AV121-AV123</f>
        <v>401.65000000000009</v>
      </c>
      <c r="AW124" s="394">
        <f t="shared" ref="AW124" si="477">+AW118-AW121-AW123</f>
        <v>390.84999999999991</v>
      </c>
      <c r="AX124" s="394">
        <f>+AX118-AX121-AX123</f>
        <v>432.95000000000005</v>
      </c>
      <c r="AY124" s="395">
        <f t="shared" ref="AY124" si="478">+AY118-AY121-AY123</f>
        <v>514.80000000000018</v>
      </c>
      <c r="AZ124" s="845">
        <f>+AZ118-AZ121-AZ123</f>
        <v>715.34999999999991</v>
      </c>
      <c r="BA124" s="394">
        <f t="shared" ref="BA124:BC124" si="479">+BA118-BA121-BA123</f>
        <v>828.70120680000093</v>
      </c>
      <c r="BB124" s="394">
        <f t="shared" si="479"/>
        <v>910.07037758499985</v>
      </c>
      <c r="BC124" s="395">
        <f t="shared" si="479"/>
        <v>1013.3882547200244</v>
      </c>
      <c r="BD124" s="845">
        <f t="shared" ref="BD124:BG124" si="480">+BD118-BD121-BD123</f>
        <v>929.00893340192772</v>
      </c>
      <c r="BE124" s="394">
        <f t="shared" si="480"/>
        <v>872.95466114024657</v>
      </c>
      <c r="BF124" s="394">
        <f t="shared" si="480"/>
        <v>951.0287403574755</v>
      </c>
      <c r="BG124" s="395">
        <f t="shared" si="480"/>
        <v>1087.9733852357597</v>
      </c>
      <c r="BH124" s="845">
        <f t="shared" ref="BH124:BK124" si="481">+BH118-BH121-BH123</f>
        <v>1028.0186659023636</v>
      </c>
      <c r="BI124" s="394">
        <f t="shared" si="481"/>
        <v>956.00625861759386</v>
      </c>
      <c r="BJ124" s="394">
        <f t="shared" si="481"/>
        <v>990.6554013824707</v>
      </c>
      <c r="BK124" s="395">
        <f t="shared" si="481"/>
        <v>1064.4513498551844</v>
      </c>
      <c r="BL124" s="232"/>
      <c r="BM124" s="398"/>
      <c r="BN124" s="398"/>
      <c r="BO124" s="398"/>
      <c r="BP124" s="398"/>
      <c r="BQ124" s="398">
        <f t="shared" ref="BQ124:BW124" si="482">+BQ118-BQ121-BQ123</f>
        <v>654.04999999999995</v>
      </c>
      <c r="BR124" s="398">
        <f t="shared" si="482"/>
        <v>681.6</v>
      </c>
      <c r="BS124" s="398">
        <f t="shared" si="482"/>
        <v>712.40000000000009</v>
      </c>
      <c r="BT124" s="398">
        <f t="shared" si="482"/>
        <v>758</v>
      </c>
      <c r="BU124" s="633">
        <f t="shared" si="482"/>
        <v>1132.3710000000001</v>
      </c>
      <c r="BV124" s="398">
        <f t="shared" si="482"/>
        <v>1273.25</v>
      </c>
      <c r="BW124" s="398">
        <f t="shared" si="482"/>
        <v>2264.2000000000007</v>
      </c>
      <c r="BX124" s="398">
        <f>+BX118-BX121-BX123</f>
        <v>1740.25</v>
      </c>
      <c r="BY124" s="398">
        <f>+BY118-BY121-BY123</f>
        <v>3467.509839105026</v>
      </c>
      <c r="BZ124" s="398">
        <f>+BZ118-BZ121-BZ123</f>
        <v>3840.9657201354103</v>
      </c>
      <c r="CA124" s="584">
        <f>+CA118-CA121-CA123</f>
        <v>4039.1316757576128</v>
      </c>
      <c r="CB124" s="19"/>
      <c r="CC124" s="633"/>
      <c r="CD124" s="398"/>
      <c r="CE124" s="398"/>
      <c r="CF124" s="398">
        <f t="shared" ref="CF124:CL124" si="483">+CF118-CF121-CF123</f>
        <v>154.60000000000002</v>
      </c>
      <c r="CG124" s="398">
        <f t="shared" si="483"/>
        <v>654.95000000000005</v>
      </c>
      <c r="CH124" s="398">
        <f t="shared" si="483"/>
        <v>697.65000000000009</v>
      </c>
      <c r="CI124" s="633">
        <f t="shared" si="483"/>
        <v>713.45</v>
      </c>
      <c r="CJ124" s="398">
        <f t="shared" si="483"/>
        <v>803.471</v>
      </c>
      <c r="CK124" s="633">
        <f t="shared" si="483"/>
        <v>1248.75</v>
      </c>
      <c r="CL124" s="398">
        <f t="shared" si="483"/>
        <v>1257.5</v>
      </c>
      <c r="CM124" s="398">
        <f>+CM118-CM121-CM123</f>
        <v>2347.1499999999996</v>
      </c>
      <c r="CN124" s="398">
        <f>+CN118-CN121-CN123</f>
        <v>2053.9500000000007</v>
      </c>
      <c r="CO124" s="398">
        <f>+CO118-CO121-CO123</f>
        <v>3681.1687725069537</v>
      </c>
      <c r="CP124" s="584">
        <f>+CP118-CP121-CP123</f>
        <v>3939.9754526358456</v>
      </c>
    </row>
    <row r="125" spans="1:94" s="7" customFormat="1" ht="14.25" customHeight="1">
      <c r="A125" s="511"/>
      <c r="B125" s="403"/>
      <c r="C125" s="232"/>
      <c r="D125" s="87"/>
      <c r="E125" s="87"/>
      <c r="F125" s="87"/>
      <c r="G125" s="88"/>
      <c r="H125" s="87"/>
      <c r="I125" s="87"/>
      <c r="J125" s="87"/>
      <c r="K125" s="88"/>
      <c r="L125" s="394"/>
      <c r="M125" s="394"/>
      <c r="N125" s="394"/>
      <c r="O125" s="395"/>
      <c r="P125" s="394"/>
      <c r="Q125" s="394"/>
      <c r="R125" s="394"/>
      <c r="S125" s="395"/>
      <c r="T125" s="394"/>
      <c r="U125" s="394"/>
      <c r="V125" s="394"/>
      <c r="W125" s="395"/>
      <c r="X125" s="394"/>
      <c r="Y125" s="394"/>
      <c r="Z125" s="394"/>
      <c r="AA125" s="396"/>
      <c r="AB125" s="397"/>
      <c r="AC125" s="397"/>
      <c r="AD125" s="397"/>
      <c r="AE125" s="396"/>
      <c r="AF125" s="397"/>
      <c r="AG125" s="397"/>
      <c r="AH125" s="397"/>
      <c r="AI125" s="396"/>
      <c r="AJ125" s="241"/>
      <c r="AK125" s="241"/>
      <c r="AL125" s="241"/>
      <c r="AM125" s="241"/>
      <c r="AN125" s="629"/>
      <c r="AO125" s="241"/>
      <c r="AP125" s="241"/>
      <c r="AQ125" s="285"/>
      <c r="AR125" s="629"/>
      <c r="AS125" s="241"/>
      <c r="AT125" s="1149"/>
      <c r="AU125" s="1242"/>
      <c r="AV125" s="1253"/>
      <c r="AW125" s="1238"/>
      <c r="AX125" s="1314"/>
      <c r="AY125" s="1315"/>
      <c r="AZ125" s="1319"/>
      <c r="BA125" s="1238"/>
      <c r="BB125" s="1238"/>
      <c r="BC125" s="1242"/>
      <c r="BD125" s="1253"/>
      <c r="BE125" s="1238"/>
      <c r="BF125" s="1238"/>
      <c r="BG125" s="1242"/>
      <c r="BH125" s="1319"/>
      <c r="BI125" s="1314"/>
      <c r="BJ125" s="1314"/>
      <c r="BK125" s="1315"/>
      <c r="BL125" s="232"/>
      <c r="BM125" s="13"/>
      <c r="BN125" s="13"/>
      <c r="BO125" s="13"/>
      <c r="BP125" s="13"/>
      <c r="BQ125" s="13"/>
      <c r="BR125" s="13"/>
      <c r="BS125" s="13"/>
      <c r="BT125" s="13"/>
      <c r="BU125" s="20"/>
      <c r="BV125" s="13"/>
      <c r="BW125" s="13"/>
      <c r="BX125" s="13"/>
      <c r="BY125" s="13"/>
      <c r="BZ125" s="13"/>
      <c r="CA125" s="232"/>
      <c r="CB125" s="19"/>
      <c r="CC125" s="20"/>
      <c r="CD125" s="13"/>
      <c r="CE125" s="13"/>
      <c r="CF125" s="13"/>
      <c r="CG125" s="13"/>
      <c r="CH125" s="13"/>
      <c r="CI125" s="20"/>
      <c r="CJ125" s="13"/>
      <c r="CK125" s="20"/>
      <c r="CL125" s="13"/>
      <c r="CM125" s="13"/>
      <c r="CN125" s="13"/>
      <c r="CO125" s="13"/>
      <c r="CP125" s="232"/>
    </row>
    <row r="126" spans="1:94" s="7" customFormat="1" ht="14.25" customHeight="1">
      <c r="A126" s="511"/>
      <c r="B126" s="43" t="s">
        <v>209</v>
      </c>
      <c r="C126" s="404"/>
      <c r="D126" s="371"/>
      <c r="E126" s="371"/>
      <c r="F126" s="371"/>
      <c r="G126" s="372"/>
      <c r="H126" s="370"/>
      <c r="I126" s="371"/>
      <c r="J126" s="371"/>
      <c r="K126" s="372"/>
      <c r="L126" s="370"/>
      <c r="M126" s="371"/>
      <c r="N126" s="371"/>
      <c r="O126" s="372"/>
      <c r="P126" s="370">
        <f>P26+P48+P59+P81+P92</f>
        <v>164</v>
      </c>
      <c r="Q126" s="371">
        <f>Q26+Q48+Q59+Q81+Q92</f>
        <v>115</v>
      </c>
      <c r="R126" s="371">
        <f>R26+R48+R59+R81+R92</f>
        <v>158.00000000000003</v>
      </c>
      <c r="S126" s="372">
        <f>S26+S48+S59+S81+S92</f>
        <v>192</v>
      </c>
      <c r="T126" s="370">
        <f t="shared" ref="T126:AH126" si="484">T26+T48+T59+T81+T92</f>
        <v>209.00000000000003</v>
      </c>
      <c r="U126" s="371">
        <f t="shared" si="484"/>
        <v>247.99999999999997</v>
      </c>
      <c r="V126" s="371">
        <f t="shared" si="484"/>
        <v>280</v>
      </c>
      <c r="W126" s="372">
        <f t="shared" si="484"/>
        <v>291</v>
      </c>
      <c r="X126" s="373">
        <f t="shared" si="484"/>
        <v>285.99999999999994</v>
      </c>
      <c r="Y126" s="352">
        <f t="shared" si="484"/>
        <v>289.99999999999994</v>
      </c>
      <c r="Z126" s="352">
        <f t="shared" si="484"/>
        <v>312</v>
      </c>
      <c r="AA126" s="358">
        <f t="shared" si="484"/>
        <v>319</v>
      </c>
      <c r="AB126" s="360">
        <f t="shared" si="484"/>
        <v>285</v>
      </c>
      <c r="AC126" s="357">
        <f t="shared" si="484"/>
        <v>295</v>
      </c>
      <c r="AD126" s="357">
        <f t="shared" si="484"/>
        <v>309.99999999999994</v>
      </c>
      <c r="AE126" s="358">
        <f t="shared" si="484"/>
        <v>316</v>
      </c>
      <c r="AF126" s="360">
        <f t="shared" si="484"/>
        <v>292</v>
      </c>
      <c r="AG126" s="357">
        <f t="shared" si="484"/>
        <v>288</v>
      </c>
      <c r="AH126" s="357">
        <f t="shared" si="484"/>
        <v>328</v>
      </c>
      <c r="AI126" s="351">
        <f t="shared" ref="AI126:AN126" si="485">AI26+AI48+AI59+AI81+AI92</f>
        <v>373</v>
      </c>
      <c r="AJ126" s="352">
        <f t="shared" si="485"/>
        <v>366</v>
      </c>
      <c r="AK126" s="352">
        <f t="shared" si="485"/>
        <v>381</v>
      </c>
      <c r="AL126" s="352">
        <f t="shared" si="485"/>
        <v>304.96503496503499</v>
      </c>
      <c r="AM126" s="352">
        <f t="shared" si="485"/>
        <v>463.66770186335401</v>
      </c>
      <c r="AN126" s="373">
        <f t="shared" si="485"/>
        <v>484.35485817742904</v>
      </c>
      <c r="AO126" s="352">
        <f t="shared" ref="AO126:AQ126" si="486">AO15+AO26+AO37+AO81</f>
        <v>954.01470364741635</v>
      </c>
      <c r="AP126" s="352">
        <f t="shared" ref="AP126" si="487">AP26+AP48+AP59+AP81+AP92</f>
        <v>479.86857142857139</v>
      </c>
      <c r="AQ126" s="351">
        <f t="shared" si="486"/>
        <v>1149</v>
      </c>
      <c r="AR126" s="373">
        <f t="shared" ref="AR126" si="488">AR26+AR48+AR59+AR81+AR92</f>
        <v>438.77777777777777</v>
      </c>
      <c r="AS126" s="352">
        <f t="shared" ref="AS126" si="489">AS15+AS26+AS37+AS81</f>
        <v>2138</v>
      </c>
      <c r="AT126" s="352">
        <f t="shared" ref="AT126" si="490">AT26+AT48+AT59+AT81+AT92</f>
        <v>731.02840610205158</v>
      </c>
      <c r="AU126" s="351">
        <f t="shared" ref="AU126" si="491">AU15+AU26+AU37+AU81</f>
        <v>2522</v>
      </c>
      <c r="AV126" s="373">
        <f t="shared" ref="AV126" si="492">AV26+AV48+AV59+AV81+AV92</f>
        <v>845.85442275247055</v>
      </c>
      <c r="AW126" s="352">
        <f>AW15+AW26+AW37+AW81</f>
        <v>2652</v>
      </c>
      <c r="AX126" s="352">
        <f t="shared" ref="AX126" si="493">AX26+AX48+AX59+AX81+AX92</f>
        <v>962.58495634654139</v>
      </c>
      <c r="AY126" s="351">
        <f t="shared" ref="AY126" si="494">AY15+AY26+AY37+AY81</f>
        <v>3068</v>
      </c>
      <c r="AZ126" s="373">
        <f t="shared" ref="AZ126" si="495">AZ26+AZ48+AZ59+AZ81+AZ92</f>
        <v>1594.5027199399738</v>
      </c>
      <c r="BA126" s="352">
        <f t="shared" ref="BA126:BC126" si="496">BA15+BA26+BA37+BA81</f>
        <v>3308.7631099999999</v>
      </c>
      <c r="BB126" s="352">
        <f t="shared" si="496"/>
        <v>3392.9651125</v>
      </c>
      <c r="BC126" s="351">
        <f t="shared" si="496"/>
        <v>3598.7064994610005</v>
      </c>
      <c r="BD126" s="373">
        <f t="shared" ref="BD126:BG126" si="497">BD15+BD26+BD37+BD81</f>
        <v>3463.6844387216702</v>
      </c>
      <c r="BE126" s="352">
        <f t="shared" si="497"/>
        <v>3384.2496962489017</v>
      </c>
      <c r="BF126" s="352">
        <f t="shared" si="497"/>
        <v>3622.5767085210773</v>
      </c>
      <c r="BG126" s="351">
        <f t="shared" si="497"/>
        <v>4015.3743067066362</v>
      </c>
      <c r="BH126" s="373">
        <f t="shared" ref="BH126:BK126" si="498">BH15+BH26+BH37+BH81</f>
        <v>3849.4173825448574</v>
      </c>
      <c r="BI126" s="352">
        <f t="shared" si="498"/>
        <v>3647.9305252023428</v>
      </c>
      <c r="BJ126" s="352">
        <f t="shared" si="498"/>
        <v>3800.8233465030444</v>
      </c>
      <c r="BK126" s="351">
        <f t="shared" si="498"/>
        <v>4035.1515226660372</v>
      </c>
      <c r="BL126" s="404"/>
      <c r="BM126" s="357"/>
      <c r="BN126" s="357"/>
      <c r="BO126" s="357">
        <f t="shared" ref="BO126:BT126" si="499">BO26+BO48+BO59+BO81+BO92</f>
        <v>718</v>
      </c>
      <c r="BP126" s="357">
        <f t="shared" si="499"/>
        <v>629</v>
      </c>
      <c r="BQ126" s="357">
        <f t="shared" si="499"/>
        <v>1028</v>
      </c>
      <c r="BR126" s="357">
        <f t="shared" si="499"/>
        <v>1207.0000000000002</v>
      </c>
      <c r="BS126" s="357">
        <f t="shared" si="499"/>
        <v>1206</v>
      </c>
      <c r="BT126" s="357">
        <f t="shared" si="499"/>
        <v>1281</v>
      </c>
      <c r="BU126" s="360">
        <f t="shared" ref="BU126:BY126" si="500">BU15+BU26+BU37+BU81+BU103</f>
        <v>2605.6665480170791</v>
      </c>
      <c r="BV126" s="357">
        <f t="shared" si="500"/>
        <v>4084.1967036474166</v>
      </c>
      <c r="BW126" s="357">
        <f t="shared" si="500"/>
        <v>8046.0000000000009</v>
      </c>
      <c r="BX126" s="357">
        <f t="shared" si="500"/>
        <v>11137</v>
      </c>
      <c r="BY126" s="357">
        <f t="shared" si="500"/>
        <v>13754.434721961001</v>
      </c>
      <c r="BZ126" s="357">
        <f t="shared" ref="BZ126" si="501">BZ15+BZ26+BZ37+BZ81+BZ103</f>
        <v>14485.885150198286</v>
      </c>
      <c r="CA126" s="358">
        <f t="shared" ref="CA126" si="502">CA15+CA26+CA37+CA81+CA103</f>
        <v>15333.32277691628</v>
      </c>
      <c r="CB126" s="19"/>
      <c r="CC126" s="360"/>
      <c r="CD126" s="357">
        <f>CD15+CD26+CD37+CD81+CD103</f>
        <v>0</v>
      </c>
      <c r="CE126" s="357">
        <f>CE15+CE26+CE37+CE81+CE103</f>
        <v>0</v>
      </c>
      <c r="CF126" s="357">
        <f>CF15+CF26+CF37+CF81+CF103</f>
        <v>0</v>
      </c>
      <c r="CG126" s="357">
        <f>CG15+CG26+CG37+CG81+CG103</f>
        <v>0</v>
      </c>
      <c r="CH126" s="357">
        <f>CH15+CH26+CH37+CH81+CH103</f>
        <v>0</v>
      </c>
      <c r="CI126" s="360">
        <f>CI26+CI48+CI59+CI81+CI92</f>
        <v>0</v>
      </c>
      <c r="CJ126" s="357">
        <f>CJ26+CJ48+CJ59+CJ81+CJ92</f>
        <v>1354.9999999999998</v>
      </c>
      <c r="CK126" s="360">
        <f t="shared" ref="CK126:CP126" si="503">CK15+CK26+CK37+CK81+CK103</f>
        <v>3005.3273892773891</v>
      </c>
      <c r="CL126" s="357">
        <f t="shared" si="503"/>
        <v>4199.1967036474161</v>
      </c>
      <c r="CM126" s="357">
        <f t="shared" si="503"/>
        <v>9547</v>
      </c>
      <c r="CN126" s="357">
        <f t="shared" si="503"/>
        <v>12001.000000000002</v>
      </c>
      <c r="CO126" s="357">
        <f t="shared" si="503"/>
        <v>13764.119160682671</v>
      </c>
      <c r="CP126" s="358">
        <f t="shared" si="503"/>
        <v>14871.618094021474</v>
      </c>
    </row>
    <row r="127" spans="1:94" s="7" customFormat="1" ht="14.25" customHeight="1">
      <c r="A127" s="511"/>
      <c r="B127" s="405" t="s">
        <v>210</v>
      </c>
      <c r="C127" s="404"/>
      <c r="D127" s="371"/>
      <c r="E127" s="371"/>
      <c r="F127" s="371"/>
      <c r="G127" s="372"/>
      <c r="H127" s="371"/>
      <c r="I127" s="371"/>
      <c r="J127" s="371"/>
      <c r="K127" s="372"/>
      <c r="L127" s="371"/>
      <c r="M127" s="371"/>
      <c r="N127" s="371"/>
      <c r="O127" s="372"/>
      <c r="P127" s="362">
        <f>+P126/P113</f>
        <v>0.44565217391304346</v>
      </c>
      <c r="Q127" s="362">
        <f>+Q126/Q113</f>
        <v>0.35384615384615387</v>
      </c>
      <c r="R127" s="362">
        <f>+R126/R113</f>
        <v>0.43526170798898078</v>
      </c>
      <c r="S127" s="365">
        <f>+S126/S113</f>
        <v>0.44859813084112149</v>
      </c>
      <c r="T127" s="362">
        <f t="shared" ref="T127:AQ127" si="504">+T126/T113</f>
        <v>0.45833333333333337</v>
      </c>
      <c r="U127" s="362">
        <f t="shared" si="504"/>
        <v>0.48155339805825237</v>
      </c>
      <c r="V127" s="362">
        <f t="shared" si="504"/>
        <v>0.50909090909090904</v>
      </c>
      <c r="W127" s="365">
        <f t="shared" si="504"/>
        <v>0.50874125874125875</v>
      </c>
      <c r="X127" s="362">
        <f t="shared" si="504"/>
        <v>0.51999999999999991</v>
      </c>
      <c r="Y127" s="362">
        <f t="shared" si="504"/>
        <v>0.51785714285714279</v>
      </c>
      <c r="Z127" s="362">
        <f t="shared" si="504"/>
        <v>0.51741293532338306</v>
      </c>
      <c r="AA127" s="367">
        <f t="shared" si="504"/>
        <v>0.5120385232744783</v>
      </c>
      <c r="AB127" s="301">
        <f t="shared" si="504"/>
        <v>0.50621669626998222</v>
      </c>
      <c r="AC127" s="301">
        <f t="shared" si="504"/>
        <v>0.51126516464471405</v>
      </c>
      <c r="AD127" s="301">
        <f t="shared" si="504"/>
        <v>0.51155115511551141</v>
      </c>
      <c r="AE127" s="367">
        <f t="shared" si="504"/>
        <v>0.51132686084142398</v>
      </c>
      <c r="AF127" s="658">
        <f t="shared" si="504"/>
        <v>0.50694444444444442</v>
      </c>
      <c r="AG127" s="658">
        <f t="shared" si="504"/>
        <v>0.51245551601423489</v>
      </c>
      <c r="AH127" s="301">
        <f t="shared" si="504"/>
        <v>0.50931677018633537</v>
      </c>
      <c r="AI127" s="659">
        <f t="shared" si="504"/>
        <v>0.50542005420054203</v>
      </c>
      <c r="AJ127" s="658">
        <f t="shared" si="504"/>
        <v>0.51622002820874469</v>
      </c>
      <c r="AK127" s="658">
        <f t="shared" si="504"/>
        <v>0.54350927246790304</v>
      </c>
      <c r="AL127" s="658">
        <f>+AL126/AL113</f>
        <v>0.23695806912590131</v>
      </c>
      <c r="AM127" s="658">
        <f>+AM126/AM113</f>
        <v>0.28799236140580997</v>
      </c>
      <c r="AN127" s="844">
        <f>+AN126/AN113</f>
        <v>0.29230830306422995</v>
      </c>
      <c r="AO127" s="658">
        <f t="shared" si="504"/>
        <v>0.57994814811393092</v>
      </c>
      <c r="AP127" s="658">
        <f>+AP126/AP113</f>
        <v>0.27421061224489796</v>
      </c>
      <c r="AQ127" s="659">
        <f t="shared" si="504"/>
        <v>0.62007555315704266</v>
      </c>
      <c r="AR127" s="844">
        <f>+AR126/AR113</f>
        <v>0.24622770919067216</v>
      </c>
      <c r="AS127" s="301">
        <f t="shared" ref="AS127" si="505">+AS126/AS113</f>
        <v>0.60022459292532282</v>
      </c>
      <c r="AT127" s="658">
        <f>+AT126/AT113</f>
        <v>0.19227469913257539</v>
      </c>
      <c r="AU127" s="659">
        <f t="shared" ref="AU127" si="506">+AU126/AU113</f>
        <v>0.608297153883261</v>
      </c>
      <c r="AV127" s="844">
        <f>+AV126/AV113</f>
        <v>0.20386946800493386</v>
      </c>
      <c r="AW127" s="301">
        <f t="shared" ref="AW127" si="507">+AW126/AW113</f>
        <v>0.63127826707926682</v>
      </c>
      <c r="AX127" s="658">
        <f>+AX126/AX113</f>
        <v>0.21548801350941155</v>
      </c>
      <c r="AY127" s="659">
        <f t="shared" ref="AY127" si="508">+AY126/AY113</f>
        <v>0.63283828382838281</v>
      </c>
      <c r="AZ127" s="844">
        <f>+AZ126/AZ113</f>
        <v>0.2991001162896218</v>
      </c>
      <c r="BA127" s="658">
        <f t="shared" ref="BA127:BC127" si="509">+BA126/BA108</f>
        <v>0.66029469132156182</v>
      </c>
      <c r="BB127" s="658">
        <f t="shared" si="509"/>
        <v>0.65095749435998917</v>
      </c>
      <c r="BC127" s="659">
        <f t="shared" si="509"/>
        <v>0.64461020296603055</v>
      </c>
      <c r="BD127" s="844">
        <f t="shared" ref="BD127:BG127" si="510">+BD126/BD108</f>
        <v>0.64969703780126686</v>
      </c>
      <c r="BE127" s="658">
        <f t="shared" si="510"/>
        <v>0.65355363468475047</v>
      </c>
      <c r="BF127" s="658">
        <f t="shared" si="510"/>
        <v>0.65304301215271143</v>
      </c>
      <c r="BG127" s="659">
        <f t="shared" si="510"/>
        <v>0.64998446348068306</v>
      </c>
      <c r="BH127" s="844">
        <f t="shared" ref="BH127:BK127" si="511">+BH126/BH108</f>
        <v>0.65218650098266151</v>
      </c>
      <c r="BI127" s="658">
        <f t="shared" si="511"/>
        <v>0.6529929898700374</v>
      </c>
      <c r="BJ127" s="658">
        <f t="shared" si="511"/>
        <v>0.6538184618902938</v>
      </c>
      <c r="BK127" s="659">
        <f t="shared" si="511"/>
        <v>0.65269263348125006</v>
      </c>
      <c r="BL127" s="404"/>
      <c r="BM127" s="352"/>
      <c r="BN127" s="352"/>
      <c r="BO127" s="357"/>
      <c r="BP127" s="357"/>
      <c r="BQ127" s="301">
        <f t="shared" ref="BQ127:BW127" si="512">+BQ126/BQ113</f>
        <v>0.49116101290014336</v>
      </c>
      <c r="BR127" s="301">
        <f t="shared" si="512"/>
        <v>0.51669520547945214</v>
      </c>
      <c r="BS127" s="301">
        <f t="shared" si="512"/>
        <v>0.51015228426395942</v>
      </c>
      <c r="BT127" s="301">
        <f t="shared" si="512"/>
        <v>0.5083333333333333</v>
      </c>
      <c r="BU127" s="632">
        <f t="shared" si="512"/>
        <v>0.61036930147975621</v>
      </c>
      <c r="BV127" s="301">
        <f t="shared" si="512"/>
        <v>0.598504792445401</v>
      </c>
      <c r="BW127" s="301">
        <f t="shared" si="512"/>
        <v>0.60770392749244717</v>
      </c>
      <c r="BX127" s="301">
        <f>+BX126/BX113</f>
        <v>0.63149240190519396</v>
      </c>
      <c r="BY127" s="301">
        <f>+BY126/BY113</f>
        <v>0.6508488053090451</v>
      </c>
      <c r="BZ127" s="301">
        <f>+BZ126/BZ113</f>
        <v>0.65150985723831312</v>
      </c>
      <c r="CA127" s="367">
        <f>+CA126/CA113</f>
        <v>0.65291556114099469</v>
      </c>
      <c r="CB127" s="19"/>
      <c r="CC127" s="373"/>
      <c r="CD127" s="357"/>
      <c r="CE127" s="301">
        <f t="shared" ref="CE127:CJ127" si="513">+CE126/CE113</f>
        <v>0</v>
      </c>
      <c r="CF127" s="301">
        <f t="shared" si="513"/>
        <v>0</v>
      </c>
      <c r="CG127" s="301">
        <f t="shared" si="513"/>
        <v>0</v>
      </c>
      <c r="CH127" s="301">
        <f t="shared" si="513"/>
        <v>0</v>
      </c>
      <c r="CI127" s="632">
        <f t="shared" si="513"/>
        <v>0</v>
      </c>
      <c r="CJ127" s="301">
        <f t="shared" si="513"/>
        <v>0.51074255559743675</v>
      </c>
      <c r="CK127" s="632">
        <f t="shared" ref="CK127:CP127" si="514">+CK126/CK113</f>
        <v>0.57850382854232707</v>
      </c>
      <c r="CL127" s="301">
        <f t="shared" si="514"/>
        <v>0.60333285971945638</v>
      </c>
      <c r="CM127" s="301">
        <f t="shared" si="514"/>
        <v>0.61167350076883653</v>
      </c>
      <c r="CN127" s="301">
        <f t="shared" si="514"/>
        <v>0.63753718657033587</v>
      </c>
      <c r="CO127" s="301">
        <f t="shared" si="514"/>
        <v>0.6511767207702498</v>
      </c>
      <c r="CP127" s="367">
        <f t="shared" si="514"/>
        <v>0.65210876425810749</v>
      </c>
    </row>
    <row r="128" spans="1:94" s="7" customFormat="1" ht="14.25" customHeight="1">
      <c r="A128" s="511"/>
      <c r="B128" s="264"/>
      <c r="C128" s="404"/>
      <c r="D128" s="371"/>
      <c r="E128" s="371"/>
      <c r="F128" s="371"/>
      <c r="G128" s="372"/>
      <c r="H128" s="371"/>
      <c r="I128" s="371"/>
      <c r="J128" s="371"/>
      <c r="K128" s="372"/>
      <c r="L128" s="371"/>
      <c r="M128" s="371"/>
      <c r="N128" s="371"/>
      <c r="O128" s="372"/>
      <c r="P128" s="371"/>
      <c r="Q128" s="371"/>
      <c r="R128" s="371"/>
      <c r="S128" s="372"/>
      <c r="T128" s="371"/>
      <c r="U128" s="371"/>
      <c r="V128" s="371"/>
      <c r="W128" s="372"/>
      <c r="X128" s="352"/>
      <c r="Y128" s="352"/>
      <c r="Z128" s="352"/>
      <c r="AA128" s="358"/>
      <c r="AB128" s="357"/>
      <c r="AC128" s="357"/>
      <c r="AD128" s="357"/>
      <c r="AE128" s="358"/>
      <c r="AF128" s="357"/>
      <c r="AG128" s="357"/>
      <c r="AH128" s="357"/>
      <c r="AI128" s="358"/>
      <c r="AJ128" s="357"/>
      <c r="AK128" s="357"/>
      <c r="AL128" s="357"/>
      <c r="AM128" s="357"/>
      <c r="AN128" s="360"/>
      <c r="AO128" s="357"/>
      <c r="AP128" s="357"/>
      <c r="AQ128" s="358"/>
      <c r="AR128" s="360"/>
      <c r="AS128" s="357"/>
      <c r="AT128" s="357"/>
      <c r="AU128" s="357"/>
      <c r="AV128" s="360"/>
      <c r="AW128" s="357"/>
      <c r="AX128" s="357"/>
      <c r="AY128" s="357"/>
      <c r="AZ128" s="360"/>
      <c r="BA128" s="357"/>
      <c r="BB128" s="357"/>
      <c r="BC128" s="358"/>
      <c r="BD128" s="360"/>
      <c r="BE128" s="357"/>
      <c r="BF128" s="357"/>
      <c r="BG128" s="358"/>
      <c r="BH128" s="360"/>
      <c r="BI128" s="357"/>
      <c r="BJ128" s="357"/>
      <c r="BK128" s="358"/>
      <c r="BL128" s="404"/>
      <c r="BM128" s="352"/>
      <c r="BN128" s="352"/>
      <c r="BO128" s="357"/>
      <c r="BP128" s="357"/>
      <c r="BQ128" s="357"/>
      <c r="BR128" s="357"/>
      <c r="BS128" s="357"/>
      <c r="BT128" s="357"/>
      <c r="BU128" s="360"/>
      <c r="BV128" s="357"/>
      <c r="BW128" s="357"/>
      <c r="BX128" s="357"/>
      <c r="BY128" s="357"/>
      <c r="BZ128" s="357"/>
      <c r="CA128" s="358"/>
      <c r="CB128" s="19"/>
      <c r="CC128" s="373"/>
      <c r="CD128" s="357"/>
      <c r="CE128" s="357"/>
      <c r="CF128" s="357"/>
      <c r="CG128" s="357"/>
      <c r="CH128" s="357"/>
      <c r="CI128" s="360"/>
      <c r="CJ128" s="357"/>
      <c r="CK128" s="360"/>
      <c r="CL128" s="357"/>
      <c r="CM128" s="357"/>
      <c r="CN128" s="357"/>
      <c r="CO128" s="357"/>
      <c r="CP128" s="358"/>
    </row>
    <row r="129" spans="1:94" s="7" customFormat="1" ht="14.25" hidden="1" customHeight="1" outlineLevel="1">
      <c r="A129" s="511"/>
      <c r="B129" s="264" t="s">
        <v>211</v>
      </c>
      <c r="C129" s="404"/>
      <c r="D129" s="118">
        <f>'AVGO IS'!D149</f>
        <v>77</v>
      </c>
      <c r="E129" s="118">
        <f>'AVGO IS'!E149</f>
        <v>140</v>
      </c>
      <c r="F129" s="118">
        <f>'AVGO IS'!F149</f>
        <v>160</v>
      </c>
      <c r="G129" s="119">
        <f>'AVGO IS'!G149</f>
        <v>123</v>
      </c>
      <c r="H129" s="118">
        <f>'AVGO IS'!H149</f>
        <v>141</v>
      </c>
      <c r="I129" s="118">
        <f>'AVGO IS'!I149</f>
        <v>151</v>
      </c>
      <c r="J129" s="118">
        <f>'AVGO IS'!J149</f>
        <v>150</v>
      </c>
      <c r="K129" s="119">
        <f>'AVGO IS'!K149</f>
        <v>150</v>
      </c>
      <c r="L129" s="118">
        <f>'AVGO IS'!L149</f>
        <v>172</v>
      </c>
      <c r="M129" s="118">
        <f>'AVGO IS'!M149</f>
        <v>174</v>
      </c>
      <c r="N129" s="118">
        <f>'AVGO IS'!N149</f>
        <v>188</v>
      </c>
      <c r="O129" s="119">
        <f>'AVGO IS'!O149</f>
        <v>184</v>
      </c>
      <c r="P129" s="118">
        <f>'AVGO IS'!P149</f>
        <v>164</v>
      </c>
      <c r="Q129" s="118">
        <f>'AVGO IS'!Q149</f>
        <v>115</v>
      </c>
      <c r="R129" s="118">
        <f>'AVGO IS'!R149</f>
        <v>158</v>
      </c>
      <c r="S129" s="119">
        <f>'AVGO IS'!S149</f>
        <v>192</v>
      </c>
      <c r="T129" s="118">
        <f>'AVGO IS'!T149</f>
        <v>209</v>
      </c>
      <c r="U129" s="118">
        <f>'AVGO IS'!U149</f>
        <v>248</v>
      </c>
      <c r="V129" s="118">
        <f>'AVGO IS'!V149</f>
        <v>280</v>
      </c>
      <c r="W129" s="119">
        <f>'AVGO IS'!W149</f>
        <v>291</v>
      </c>
      <c r="X129" s="383">
        <f>'AVGO IS'!X149</f>
        <v>286</v>
      </c>
      <c r="Y129" s="383">
        <f>'AVGO IS'!Y149</f>
        <v>290</v>
      </c>
      <c r="Z129" s="383">
        <f>'AVGO IS'!Z149</f>
        <v>312</v>
      </c>
      <c r="AA129" s="287">
        <f>'AVGO IS'!AA149</f>
        <v>319</v>
      </c>
      <c r="AB129" s="286">
        <f>'AVGO IS'!AB149</f>
        <v>285</v>
      </c>
      <c r="AC129" s="286">
        <f>'AVGO IS'!AC149</f>
        <v>295</v>
      </c>
      <c r="AD129" s="286">
        <f>'AVGO IS'!AD149</f>
        <v>310</v>
      </c>
      <c r="AE129" s="287">
        <f>'AVGO IS'!AE149</f>
        <v>316</v>
      </c>
      <c r="AF129" s="286">
        <f>'AVGO IS'!AF149</f>
        <v>292</v>
      </c>
      <c r="AG129" s="286">
        <f>'AVGO IS'!AG149</f>
        <v>288</v>
      </c>
      <c r="AH129" s="286">
        <f>'AVGO IS'!AH149</f>
        <v>328</v>
      </c>
      <c r="AI129" s="287">
        <f>'AVGO IS'!AI149</f>
        <v>373</v>
      </c>
      <c r="AJ129" s="286">
        <f>'AVGO IS'!AJ149</f>
        <v>366</v>
      </c>
      <c r="AK129" s="286">
        <f>'AVGO IS'!AK149</f>
        <v>381</v>
      </c>
      <c r="AL129" s="286">
        <f>'AVGO IS'!AL149</f>
        <v>735</v>
      </c>
      <c r="AM129" s="286">
        <f>'AVGO IS'!AM149</f>
        <v>939</v>
      </c>
      <c r="AN129" s="849">
        <f>'AVGO IS'!AN149</f>
        <v>974</v>
      </c>
      <c r="AO129" s="286">
        <f>'AVGO IS'!AO149</f>
        <v>998</v>
      </c>
      <c r="AP129" s="286">
        <f>'AVGO IS'!AP149</f>
        <v>1063</v>
      </c>
      <c r="AQ129" s="287">
        <f>'AVGO IS'!AQ149</f>
        <v>1149</v>
      </c>
      <c r="AR129" s="849">
        <f>'AVGO IS'!AR149</f>
        <v>1089</v>
      </c>
      <c r="AS129" s="286">
        <f>'AVGO IS'!AS149</f>
        <v>2138</v>
      </c>
      <c r="AT129" s="286">
        <f>'AVGO IS'!AT149</f>
        <v>2297</v>
      </c>
      <c r="AU129" s="286">
        <f>'AVGO IS'!AU149</f>
        <v>2522</v>
      </c>
      <c r="AV129" s="849">
        <f>'AVGO IS'!AV149</f>
        <v>2590</v>
      </c>
      <c r="AW129" s="286">
        <f>'AVGO IS'!AW149</f>
        <v>2652</v>
      </c>
      <c r="AX129" s="286">
        <f>'AVGO IS'!AX149</f>
        <v>2827</v>
      </c>
      <c r="AY129" s="287">
        <f>'AVGO IS'!AY149</f>
        <v>3068</v>
      </c>
      <c r="AZ129" s="849">
        <f>'AVGO IS'!AZ149</f>
        <v>3454</v>
      </c>
      <c r="BA129" s="286">
        <f>'AVGO IS'!BA149</f>
        <v>3308.7631099999999</v>
      </c>
      <c r="BB129" s="286">
        <f>'AVGO IS'!BB149</f>
        <v>3392.9651125</v>
      </c>
      <c r="BC129" s="287">
        <f>'AVGO IS'!BC149</f>
        <v>3598.7064994610005</v>
      </c>
      <c r="BD129" s="849">
        <f>'AVGO IS'!BD149</f>
        <v>3463.6844387216702</v>
      </c>
      <c r="BE129" s="286">
        <f>'AVGO IS'!BE149</f>
        <v>3384.2496962489017</v>
      </c>
      <c r="BF129" s="286">
        <f>'AVGO IS'!BF149</f>
        <v>3622.5767085210773</v>
      </c>
      <c r="BG129" s="287">
        <f>'AVGO IS'!BG149</f>
        <v>4015.3743067066362</v>
      </c>
      <c r="BH129" s="849">
        <f>'AVGO IS'!BH149</f>
        <v>3849.4173825448574</v>
      </c>
      <c r="BI129" s="286">
        <f>'AVGO IS'!BI149</f>
        <v>3647.9305252023428</v>
      </c>
      <c r="BJ129" s="286">
        <f>'AVGO IS'!BJ149</f>
        <v>3800.8233465030444</v>
      </c>
      <c r="BK129" s="287">
        <f>'AVGO IS'!BK149</f>
        <v>4035.1515226660372</v>
      </c>
      <c r="BL129" s="404"/>
      <c r="BM129" s="357"/>
      <c r="BN129" s="357"/>
      <c r="BO129" s="357">
        <f>'AVGO IS'!BO149</f>
        <v>718</v>
      </c>
      <c r="BP129" s="357">
        <f>'AVGO IS'!BP149</f>
        <v>629</v>
      </c>
      <c r="BQ129" s="357">
        <f>'AVGO IS'!BQ149</f>
        <v>1028</v>
      </c>
      <c r="BR129" s="357">
        <f>'AVGO IS'!BR149</f>
        <v>1207</v>
      </c>
      <c r="BS129" s="357">
        <f>'AVGO IS'!BS149</f>
        <v>1206</v>
      </c>
      <c r="BT129" s="357">
        <f>'AVGO IS'!BT149</f>
        <v>1281</v>
      </c>
      <c r="BU129" s="360">
        <f>'AVGO IS'!BU149</f>
        <v>2421</v>
      </c>
      <c r="BV129" s="357">
        <f>'AVGO IS'!BV149</f>
        <v>4184</v>
      </c>
      <c r="BW129" s="357">
        <f>'AVGO IS'!BW149</f>
        <v>8046</v>
      </c>
      <c r="BX129" s="357">
        <f>'AVGO IS'!BX149</f>
        <v>11137</v>
      </c>
      <c r="BY129" s="286">
        <f>'AVGO IS'!BY149</f>
        <v>13754.434721961001</v>
      </c>
      <c r="BZ129" s="286">
        <f>'AVGO IS'!BZ149</f>
        <v>14485.885150198286</v>
      </c>
      <c r="CA129" s="287">
        <f>'AVGO IS'!CA149</f>
        <v>15333.322776916284</v>
      </c>
      <c r="CB129" s="19"/>
      <c r="CC129" s="360"/>
      <c r="CD129" s="357">
        <f>'AVGO IS'!CD149</f>
        <v>623</v>
      </c>
      <c r="CE129" s="357">
        <f>'AVGO IS'!CE149</f>
        <v>710</v>
      </c>
      <c r="CF129" s="357">
        <f>'AVGO IS'!CF149</f>
        <v>674</v>
      </c>
      <c r="CG129" s="357">
        <f>'AVGO IS'!CG149</f>
        <v>1105</v>
      </c>
      <c r="CH129" s="357">
        <f>'AVGO IS'!CH149</f>
        <v>1206</v>
      </c>
      <c r="CI129" s="360">
        <f>'AVGO IS'!CI149</f>
        <v>1213</v>
      </c>
      <c r="CJ129" s="357">
        <f>'AVGO IS'!CJ149</f>
        <v>1355</v>
      </c>
      <c r="CK129" s="360">
        <f>'AVGO IS'!CK149</f>
        <v>3029</v>
      </c>
      <c r="CL129" s="357">
        <f>'AVGO IS'!CL149</f>
        <v>4299</v>
      </c>
      <c r="CM129" s="357">
        <f>'AVGO IS'!CM149</f>
        <v>9547</v>
      </c>
      <c r="CN129" s="357">
        <f>'AVGO IS'!CN149</f>
        <v>12001</v>
      </c>
      <c r="CO129" s="357">
        <f>'AVGO IS'!CO149</f>
        <v>13764.119160682671</v>
      </c>
      <c r="CP129" s="358">
        <f>'AVGO IS'!CP149</f>
        <v>14871.618094021474</v>
      </c>
    </row>
    <row r="130" spans="1:94" s="7" customFormat="1" ht="14.25" hidden="1" customHeight="1" outlineLevel="1">
      <c r="A130" s="511"/>
      <c r="B130" s="43" t="s">
        <v>212</v>
      </c>
      <c r="C130" s="404"/>
      <c r="D130" s="118">
        <f>'AVGO IS'!D160</f>
        <v>-49</v>
      </c>
      <c r="E130" s="118">
        <f>'AVGO IS'!E160</f>
        <v>20</v>
      </c>
      <c r="F130" s="118">
        <f>'AVGO IS'!F160</f>
        <v>45</v>
      </c>
      <c r="G130" s="119">
        <f>'AVGO IS'!G160</f>
        <v>8</v>
      </c>
      <c r="H130" s="118">
        <f>'AVGO IS'!H160</f>
        <v>43</v>
      </c>
      <c r="I130" s="118">
        <f>'AVGO IS'!I160</f>
        <v>56</v>
      </c>
      <c r="J130" s="118">
        <f>'AVGO IS'!J160</f>
        <v>53</v>
      </c>
      <c r="K130" s="119">
        <f>'AVGO IS'!K160</f>
        <v>53</v>
      </c>
      <c r="L130" s="118">
        <f>'AVGO IS'!L160</f>
        <v>63</v>
      </c>
      <c r="M130" s="118">
        <f>'AVGO IS'!M160</f>
        <v>66</v>
      </c>
      <c r="N130" s="118">
        <f>'AVGO IS'!N160</f>
        <v>73</v>
      </c>
      <c r="O130" s="119">
        <f>'AVGO IS'!O160</f>
        <v>70</v>
      </c>
      <c r="P130" s="118">
        <f>'AVGO IS'!P160</f>
        <v>62</v>
      </c>
      <c r="Q130" s="118">
        <f>'AVGO IS'!Q160</f>
        <v>18</v>
      </c>
      <c r="R130" s="118">
        <f>'AVGO IS'!R160</f>
        <v>62</v>
      </c>
      <c r="S130" s="119">
        <f>'AVGO IS'!S160</f>
        <v>89</v>
      </c>
      <c r="T130" s="118">
        <f>'AVGO IS'!T160</f>
        <v>104</v>
      </c>
      <c r="U130" s="118">
        <f>'AVGO IS'!U160</f>
        <v>135</v>
      </c>
      <c r="V130" s="118">
        <f>'AVGO IS'!V160</f>
        <v>164</v>
      </c>
      <c r="W130" s="119">
        <f>'AVGO IS'!W160</f>
        <v>171</v>
      </c>
      <c r="X130" s="383">
        <f>'AVGO IS'!X160</f>
        <v>169</v>
      </c>
      <c r="Y130" s="383">
        <f>'AVGO IS'!Y160</f>
        <v>167</v>
      </c>
      <c r="Z130" s="383">
        <f>'AVGO IS'!Z160</f>
        <v>177</v>
      </c>
      <c r="AA130" s="287">
        <f>'AVGO IS'!AA160</f>
        <v>191</v>
      </c>
      <c r="AB130" s="286">
        <f>'AVGO IS'!AB160</f>
        <v>163</v>
      </c>
      <c r="AC130" s="286">
        <f>'AVGO IS'!AC160</f>
        <v>171</v>
      </c>
      <c r="AD130" s="286">
        <f>'AVGO IS'!AD160</f>
        <v>186</v>
      </c>
      <c r="AE130" s="287">
        <f>'AVGO IS'!AE160</f>
        <v>199</v>
      </c>
      <c r="AF130" s="286">
        <f>'AVGO IS'!AF160</f>
        <v>162</v>
      </c>
      <c r="AG130" s="286">
        <f>'AVGO IS'!AG160</f>
        <v>158</v>
      </c>
      <c r="AH130" s="286">
        <f>'AVGO IS'!AH160</f>
        <v>191</v>
      </c>
      <c r="AI130" s="287">
        <f>'AVGO IS'!AI160</f>
        <v>229</v>
      </c>
      <c r="AJ130" s="286">
        <f>'AVGO IS'!AJ160</f>
        <v>224</v>
      </c>
      <c r="AK130" s="286">
        <f>'AVGO IS'!AK160</f>
        <v>233</v>
      </c>
      <c r="AL130" s="286">
        <f>'AVGO IS'!AL160</f>
        <v>428</v>
      </c>
      <c r="AM130" s="286">
        <f>'AVGO IS'!AM160</f>
        <v>636</v>
      </c>
      <c r="AN130" s="849">
        <f>'AVGO IS'!AN160</f>
        <v>681</v>
      </c>
      <c r="AO130" s="286">
        <f>'AVGO IS'!AO160</f>
        <v>701</v>
      </c>
      <c r="AP130" s="286">
        <f>'AVGO IS'!AP160</f>
        <v>733</v>
      </c>
      <c r="AQ130" s="287">
        <f>'AVGO IS'!AQ160</f>
        <v>811</v>
      </c>
      <c r="AR130" s="849">
        <f>'AVGO IS'!AR160</f>
        <v>783</v>
      </c>
      <c r="AS130" s="286">
        <f>'AVGO IS'!AS160</f>
        <v>1329</v>
      </c>
      <c r="AT130" s="286">
        <f>'AVGO IS'!AT160</f>
        <v>1489</v>
      </c>
      <c r="AU130" s="286">
        <f>'AVGO IS'!AU160</f>
        <v>1719</v>
      </c>
      <c r="AV130" s="849">
        <f>'AVGO IS'!AV160</f>
        <v>1806</v>
      </c>
      <c r="AW130" s="286">
        <f>'AVGO IS'!AW160</f>
        <v>1853</v>
      </c>
      <c r="AX130" s="286">
        <f>'AVGO IS'!AX160</f>
        <v>2059</v>
      </c>
      <c r="AY130" s="287">
        <f>'AVGO IS'!AY160</f>
        <v>2293</v>
      </c>
      <c r="AZ130" s="849">
        <f>'AVGO IS'!AZ160</f>
        <v>2571</v>
      </c>
      <c r="BA130" s="286">
        <f>'AVGO IS'!BA160</f>
        <v>2418.5944684381452</v>
      </c>
      <c r="BB130" s="286">
        <f>'AVGO IS'!BB160</f>
        <v>2506.0608700764133</v>
      </c>
      <c r="BC130" s="287">
        <f>'AVGO IS'!BC160</f>
        <v>2705.3534685918726</v>
      </c>
      <c r="BD130" s="849">
        <f>'AVGO IS'!BD160</f>
        <v>2584.5152580186846</v>
      </c>
      <c r="BE130" s="286">
        <f>'AVGO IS'!BE160</f>
        <v>2515.613599824811</v>
      </c>
      <c r="BF130" s="286">
        <f>'AVGO IS'!BF160</f>
        <v>2703.1611434505494</v>
      </c>
      <c r="BG130" s="287">
        <f>'AVGO IS'!BG160</f>
        <v>3009.6371184223876</v>
      </c>
      <c r="BH130" s="849">
        <f>'AVGO IS'!BH160</f>
        <v>2878.1965755790206</v>
      </c>
      <c r="BI130" s="286">
        <f>'AVGO IS'!BI160</f>
        <v>2717.5891608817324</v>
      </c>
      <c r="BJ130" s="286">
        <f>'AVGO IS'!BJ160</f>
        <v>2845.5140403649775</v>
      </c>
      <c r="BK130" s="287">
        <f>'AVGO IS'!BK160</f>
        <v>3038.2195847637176</v>
      </c>
      <c r="BL130" s="404"/>
      <c r="BM130" s="357"/>
      <c r="BN130" s="357"/>
      <c r="BO130" s="357">
        <f>'AVGO IS'!BO160</f>
        <v>272</v>
      </c>
      <c r="BP130" s="357">
        <f>'AVGO IS'!BP160</f>
        <v>231</v>
      </c>
      <c r="BQ130" s="357">
        <f>'AVGO IS'!BQ160</f>
        <v>574</v>
      </c>
      <c r="BR130" s="357">
        <f>'AVGO IS'!BR160</f>
        <v>704</v>
      </c>
      <c r="BS130" s="357">
        <f>'AVGO IS'!BS160</f>
        <v>719</v>
      </c>
      <c r="BT130" s="357">
        <f>'AVGO IS'!BT160</f>
        <v>740</v>
      </c>
      <c r="BU130" s="360">
        <f>'AVGO IS'!BU160</f>
        <v>1521</v>
      </c>
      <c r="BV130" s="357">
        <f>'AVGO IS'!BV160</f>
        <v>2926</v>
      </c>
      <c r="BW130" s="357">
        <f>'AVGO IS'!BW160</f>
        <v>5320</v>
      </c>
      <c r="BX130" s="357">
        <f>'AVGO IS'!BX160</f>
        <v>8011</v>
      </c>
      <c r="BY130" s="286">
        <f>'AVGO IS'!BY160</f>
        <v>10201.008807106431</v>
      </c>
      <c r="BZ130" s="286">
        <f>'AVGO IS'!BZ160</f>
        <v>10812.927119716433</v>
      </c>
      <c r="CA130" s="287">
        <f>'AVGO IS'!CA160</f>
        <v>11479.519361589451</v>
      </c>
      <c r="CB130" s="19"/>
      <c r="CC130" s="360"/>
      <c r="CD130" s="357">
        <f>'AVGO IS'!CD160</f>
        <v>225</v>
      </c>
      <c r="CE130" s="357">
        <f>'AVGO IS'!CE160</f>
        <v>271</v>
      </c>
      <c r="CF130" s="357">
        <f>'AVGO IS'!CF160</f>
        <v>273</v>
      </c>
      <c r="CG130" s="357">
        <f>'AVGO IS'!CG160</f>
        <v>639</v>
      </c>
      <c r="CH130" s="357">
        <f>'AVGO IS'!CH160</f>
        <v>698</v>
      </c>
      <c r="CI130" s="360">
        <f>'AVGO IS'!CI160</f>
        <v>718</v>
      </c>
      <c r="CJ130" s="357">
        <f>'AVGO IS'!CJ160</f>
        <v>802</v>
      </c>
      <c r="CK130" s="360">
        <f>'AVGO IS'!CK160</f>
        <v>1978</v>
      </c>
      <c r="CL130" s="357">
        <f>'AVGO IS'!CL160</f>
        <v>3028</v>
      </c>
      <c r="CM130" s="357">
        <f>'AVGO IS'!CM160</f>
        <v>6343</v>
      </c>
      <c r="CN130" s="357">
        <f>'AVGO IS'!CN160</f>
        <v>8776</v>
      </c>
      <c r="CO130" s="357">
        <f>'AVGO IS'!CO160</f>
        <v>10214.524065125115</v>
      </c>
      <c r="CP130" s="358">
        <f>'AVGO IS'!CP160</f>
        <v>11106.608437276769</v>
      </c>
    </row>
    <row r="131" spans="1:94" s="7" customFormat="1" ht="14.25" customHeight="1" collapsed="1">
      <c r="A131" s="511"/>
      <c r="B131" s="406"/>
      <c r="C131" s="254"/>
      <c r="D131" s="305"/>
      <c r="E131" s="305"/>
      <c r="F131" s="305"/>
      <c r="G131" s="306"/>
      <c r="H131" s="305"/>
      <c r="I131" s="305"/>
      <c r="J131" s="305"/>
      <c r="K131" s="306"/>
      <c r="L131" s="305"/>
      <c r="M131" s="305"/>
      <c r="N131" s="305"/>
      <c r="O131" s="306"/>
      <c r="P131" s="305"/>
      <c r="Q131" s="305"/>
      <c r="R131" s="305"/>
      <c r="S131" s="306"/>
      <c r="T131" s="305"/>
      <c r="U131" s="305"/>
      <c r="V131" s="305"/>
      <c r="W131" s="306"/>
      <c r="X131" s="305"/>
      <c r="Y131" s="305"/>
      <c r="Z131" s="305"/>
      <c r="AA131" s="289"/>
      <c r="AB131" s="288"/>
      <c r="AC131" s="288"/>
      <c r="AD131" s="288"/>
      <c r="AE131" s="289"/>
      <c r="AF131" s="288"/>
      <c r="AG131" s="288"/>
      <c r="AH131" s="288"/>
      <c r="AI131" s="289"/>
      <c r="AJ131" s="288"/>
      <c r="AK131" s="288"/>
      <c r="AL131" s="288"/>
      <c r="AM131" s="288"/>
      <c r="AN131" s="843"/>
      <c r="AO131" s="288"/>
      <c r="AP131" s="288"/>
      <c r="AQ131" s="289"/>
      <c r="AR131" s="843"/>
      <c r="AS131" s="288"/>
      <c r="AT131" s="288"/>
      <c r="AU131" s="288"/>
      <c r="AV131" s="843"/>
      <c r="AW131" s="288"/>
      <c r="AX131" s="288"/>
      <c r="AY131" s="289"/>
      <c r="AZ131" s="843"/>
      <c r="BA131" s="288"/>
      <c r="BB131" s="288"/>
      <c r="BC131" s="289"/>
      <c r="BD131" s="843"/>
      <c r="BE131" s="288"/>
      <c r="BF131" s="288"/>
      <c r="BG131" s="289"/>
      <c r="BH131" s="843"/>
      <c r="BI131" s="288"/>
      <c r="BJ131" s="288"/>
      <c r="BK131" s="289"/>
      <c r="BL131" s="404"/>
      <c r="BM131" s="407"/>
      <c r="BN131" s="407"/>
      <c r="BO131" s="407"/>
      <c r="BP131" s="407"/>
      <c r="BQ131" s="407"/>
      <c r="BR131" s="407"/>
      <c r="BS131" s="407"/>
      <c r="BT131" s="407"/>
      <c r="BU131" s="634"/>
      <c r="BV131" s="407"/>
      <c r="BW131" s="407"/>
      <c r="BX131" s="407"/>
      <c r="BY131" s="407"/>
      <c r="BZ131" s="407"/>
      <c r="CA131" s="408"/>
      <c r="CB131" s="19"/>
      <c r="CC131" s="634"/>
      <c r="CD131" s="407"/>
      <c r="CE131" s="407"/>
      <c r="CF131" s="407"/>
      <c r="CG131" s="407"/>
      <c r="CH131" s="407"/>
      <c r="CI131" s="634"/>
      <c r="CJ131" s="407"/>
      <c r="CK131" s="634"/>
      <c r="CL131" s="407"/>
      <c r="CM131" s="407"/>
      <c r="CN131" s="407"/>
      <c r="CO131" s="407"/>
      <c r="CP131" s="408"/>
    </row>
    <row r="132" spans="1:94" s="7" customFormat="1" ht="14.25" customHeight="1">
      <c r="A132" s="513"/>
      <c r="B132" s="409"/>
      <c r="C132" s="404"/>
      <c r="D132" s="118"/>
      <c r="E132" s="118"/>
      <c r="F132" s="118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2"/>
      <c r="BM132" s="357"/>
      <c r="BN132" s="357"/>
      <c r="BO132" s="357"/>
      <c r="BP132" s="357"/>
      <c r="BQ132" s="357"/>
      <c r="BR132" s="357"/>
      <c r="BS132" s="357"/>
      <c r="BT132" s="357"/>
      <c r="BU132" s="357"/>
      <c r="BV132" s="357"/>
      <c r="BW132" s="357"/>
      <c r="BX132" s="357"/>
      <c r="BY132" s="357"/>
      <c r="BZ132" s="357"/>
      <c r="CA132" s="357"/>
      <c r="CB132" s="13"/>
      <c r="CC132" s="357"/>
      <c r="CD132" s="357"/>
      <c r="CE132" s="357"/>
      <c r="CF132" s="357"/>
      <c r="CG132" s="357"/>
      <c r="CH132" s="357"/>
      <c r="CI132" s="357"/>
      <c r="CJ132" s="357"/>
      <c r="CK132" s="357"/>
      <c r="CL132" s="357"/>
      <c r="CM132" s="357"/>
      <c r="CN132" s="357"/>
      <c r="CO132" s="357"/>
      <c r="CP132" s="357"/>
    </row>
    <row r="133" spans="1:94" ht="14.25" customHeight="1">
      <c r="A133" s="300"/>
      <c r="C133" s="763"/>
      <c r="AR133" s="1125"/>
      <c r="AS133" s="1136"/>
      <c r="AT133" s="1197"/>
      <c r="AU133" s="657"/>
      <c r="AV133" s="1290"/>
      <c r="AX133" s="657"/>
      <c r="AY133" s="657"/>
      <c r="AZ133" s="657"/>
      <c r="BA133" s="657"/>
      <c r="BB133" s="657"/>
      <c r="BC133" s="657"/>
      <c r="BD133" s="657"/>
      <c r="BE133" s="657"/>
      <c r="BF133" s="657"/>
      <c r="BG133" s="657"/>
      <c r="BH133" s="657"/>
      <c r="BI133" s="657"/>
      <c r="BJ133" s="657"/>
      <c r="BK133" s="657"/>
      <c r="BX133" s="410"/>
      <c r="BY133" s="757"/>
      <c r="BZ133" s="757"/>
      <c r="CB133" s="410"/>
      <c r="CM133" s="410"/>
      <c r="CN133" s="410"/>
      <c r="CO133" s="410"/>
      <c r="CP133" s="410"/>
    </row>
    <row r="134" spans="1:94" ht="14.25" customHeight="1">
      <c r="A134" s="300"/>
      <c r="C134" s="763"/>
      <c r="AR134" s="1125"/>
      <c r="AS134" s="1136"/>
      <c r="AT134" s="1197"/>
      <c r="AV134" s="1290"/>
      <c r="BX134" s="410"/>
      <c r="BY134" s="757"/>
      <c r="BZ134" s="757"/>
      <c r="CB134" s="410"/>
      <c r="CM134" s="410"/>
      <c r="CN134" s="410"/>
      <c r="CO134" s="410"/>
      <c r="CP134" s="410"/>
    </row>
    <row r="135" spans="1:94" ht="14.25" customHeight="1">
      <c r="C135" s="763"/>
      <c r="AR135" s="1125"/>
      <c r="AS135" s="1136"/>
      <c r="AT135" s="1197"/>
      <c r="AV135" s="1290"/>
      <c r="BX135" s="410"/>
      <c r="BY135" s="757"/>
      <c r="BZ135" s="757"/>
      <c r="CB135" s="410"/>
      <c r="CM135" s="410"/>
      <c r="CN135" s="410"/>
      <c r="CO135" s="410"/>
      <c r="CP135" s="410"/>
    </row>
    <row r="136" spans="1:94" ht="14.25" customHeight="1">
      <c r="A136" s="1"/>
      <c r="B136" s="146" t="s">
        <v>213</v>
      </c>
      <c r="C136" s="147"/>
      <c r="D136" s="334" t="str">
        <f t="shared" ref="D136:BK136" si="515">D$7</f>
        <v>F1Q06</v>
      </c>
      <c r="E136" s="334" t="str">
        <f t="shared" si="515"/>
        <v>F2Q06</v>
      </c>
      <c r="F136" s="334" t="str">
        <f t="shared" si="515"/>
        <v>F3Q06</v>
      </c>
      <c r="G136" s="334" t="str">
        <f t="shared" si="515"/>
        <v>F4Q06</v>
      </c>
      <c r="H136" s="333" t="str">
        <f t="shared" si="515"/>
        <v>F1Q07</v>
      </c>
      <c r="I136" s="334" t="str">
        <f t="shared" si="515"/>
        <v>F2Q07</v>
      </c>
      <c r="J136" s="334" t="str">
        <f t="shared" si="515"/>
        <v>F3Q07</v>
      </c>
      <c r="K136" s="334" t="str">
        <f t="shared" si="515"/>
        <v>F4Q07</v>
      </c>
      <c r="L136" s="333" t="str">
        <f t="shared" si="515"/>
        <v>F1Q08</v>
      </c>
      <c r="M136" s="334" t="str">
        <f t="shared" si="515"/>
        <v>F2Q08</v>
      </c>
      <c r="N136" s="334" t="str">
        <f t="shared" si="515"/>
        <v>F3Q08</v>
      </c>
      <c r="O136" s="334" t="str">
        <f t="shared" si="515"/>
        <v>F4Q08</v>
      </c>
      <c r="P136" s="333" t="str">
        <f t="shared" si="515"/>
        <v>F1Q09</v>
      </c>
      <c r="Q136" s="334" t="str">
        <f t="shared" si="515"/>
        <v>F2Q09</v>
      </c>
      <c r="R136" s="334" t="str">
        <f t="shared" si="515"/>
        <v>F3Q09</v>
      </c>
      <c r="S136" s="334" t="str">
        <f t="shared" si="515"/>
        <v>F4Q09</v>
      </c>
      <c r="T136" s="333" t="str">
        <f t="shared" si="515"/>
        <v>F1Q10</v>
      </c>
      <c r="U136" s="334" t="str">
        <f t="shared" si="515"/>
        <v>F2Q10</v>
      </c>
      <c r="V136" s="334" t="str">
        <f t="shared" si="515"/>
        <v>F3Q10</v>
      </c>
      <c r="W136" s="334" t="str">
        <f t="shared" si="515"/>
        <v>F4Q10</v>
      </c>
      <c r="X136" s="340" t="str">
        <f t="shared" si="515"/>
        <v>F1Q11</v>
      </c>
      <c r="Y136" s="341" t="str">
        <f t="shared" si="515"/>
        <v>F2Q11</v>
      </c>
      <c r="Z136" s="341" t="str">
        <f t="shared" si="515"/>
        <v>F3Q11</v>
      </c>
      <c r="AA136" s="334" t="str">
        <f t="shared" si="515"/>
        <v>F4Q11</v>
      </c>
      <c r="AB136" s="333" t="str">
        <f t="shared" si="515"/>
        <v>F1Q12</v>
      </c>
      <c r="AC136" s="334" t="str">
        <f t="shared" si="515"/>
        <v>F2Q12</v>
      </c>
      <c r="AD136" s="341" t="str">
        <f t="shared" si="515"/>
        <v>F3Q12</v>
      </c>
      <c r="AE136" s="334" t="str">
        <f t="shared" si="515"/>
        <v>F4Q12</v>
      </c>
      <c r="AF136" s="333" t="str">
        <f t="shared" si="515"/>
        <v>F1Q13</v>
      </c>
      <c r="AG136" s="334" t="str">
        <f t="shared" si="515"/>
        <v>F2Q13</v>
      </c>
      <c r="AH136" s="334" t="str">
        <f t="shared" si="515"/>
        <v>F3Q13</v>
      </c>
      <c r="AI136" s="334" t="str">
        <f t="shared" si="515"/>
        <v>F4Q13</v>
      </c>
      <c r="AJ136" s="334" t="str">
        <f t="shared" si="515"/>
        <v>F1Q14</v>
      </c>
      <c r="AK136" s="334" t="str">
        <f t="shared" si="515"/>
        <v>F2Q14A</v>
      </c>
      <c r="AL136" s="334" t="str">
        <f t="shared" si="515"/>
        <v>F3Q14A</v>
      </c>
      <c r="AM136" s="334" t="str">
        <f t="shared" si="515"/>
        <v>F4Q14A</v>
      </c>
      <c r="AN136" s="333" t="str">
        <f t="shared" si="515"/>
        <v>F1Q15A</v>
      </c>
      <c r="AO136" s="334" t="str">
        <f t="shared" si="515"/>
        <v>F2Q15A</v>
      </c>
      <c r="AP136" s="334" t="str">
        <f t="shared" si="515"/>
        <v>F3Q15A</v>
      </c>
      <c r="AQ136" s="335" t="str">
        <f t="shared" si="515"/>
        <v>F4Q15A</v>
      </c>
      <c r="AR136" s="333" t="str">
        <f t="shared" si="515"/>
        <v>F1Q16A</v>
      </c>
      <c r="AS136" s="334" t="str">
        <f t="shared" si="515"/>
        <v>F2Q16A</v>
      </c>
      <c r="AT136" s="334" t="str">
        <f t="shared" si="515"/>
        <v>F3Q16A</v>
      </c>
      <c r="AU136" s="335" t="str">
        <f t="shared" si="515"/>
        <v>F4Q16A</v>
      </c>
      <c r="AV136" s="1246" t="str">
        <f t="shared" si="515"/>
        <v>F1Q17A</v>
      </c>
      <c r="AW136" s="1247" t="str">
        <f t="shared" si="515"/>
        <v>F2Q17A</v>
      </c>
      <c r="AX136" s="334" t="str">
        <f t="shared" si="515"/>
        <v>F3Q17A</v>
      </c>
      <c r="AY136" s="335" t="str">
        <f t="shared" si="515"/>
        <v>F4Q17A</v>
      </c>
      <c r="AZ136" s="333" t="str">
        <f t="shared" si="515"/>
        <v>F1Q18A</v>
      </c>
      <c r="BA136" s="334" t="str">
        <f t="shared" si="515"/>
        <v>F2Q18E</v>
      </c>
      <c r="BB136" s="334" t="str">
        <f t="shared" si="515"/>
        <v>F3Q18E</v>
      </c>
      <c r="BC136" s="335" t="str">
        <f t="shared" si="515"/>
        <v>F4Q18E</v>
      </c>
      <c r="BD136" s="1246" t="str">
        <f t="shared" si="515"/>
        <v>F1Q19E</v>
      </c>
      <c r="BE136" s="1247" t="str">
        <f t="shared" si="515"/>
        <v>F2Q19E</v>
      </c>
      <c r="BF136" s="1247" t="str">
        <f t="shared" si="515"/>
        <v>F3Q19E</v>
      </c>
      <c r="BG136" s="1248" t="str">
        <f t="shared" si="515"/>
        <v>F4Q19E</v>
      </c>
      <c r="BH136" s="1246" t="str">
        <f t="shared" si="515"/>
        <v>F1Q20E</v>
      </c>
      <c r="BI136" s="1247" t="str">
        <f t="shared" si="515"/>
        <v>F2Q20E</v>
      </c>
      <c r="BJ136" s="1247" t="str">
        <f t="shared" si="515"/>
        <v>F3Q20E</v>
      </c>
      <c r="BK136" s="1248" t="str">
        <f t="shared" si="515"/>
        <v>F4Q20E</v>
      </c>
      <c r="BL136" s="19"/>
      <c r="BM136" s="334" t="str">
        <f t="shared" ref="BM136:CP136" si="516">BM$7</f>
        <v>FY2006</v>
      </c>
      <c r="BN136" s="334" t="str">
        <f t="shared" si="516"/>
        <v>FY2007</v>
      </c>
      <c r="BO136" s="334" t="str">
        <f t="shared" si="516"/>
        <v>FY2008</v>
      </c>
      <c r="BP136" s="334" t="str">
        <f t="shared" si="516"/>
        <v>FY2009</v>
      </c>
      <c r="BQ136" s="334" t="str">
        <f t="shared" si="516"/>
        <v>FY2010</v>
      </c>
      <c r="BR136" s="334" t="str">
        <f t="shared" si="516"/>
        <v>FY2011</v>
      </c>
      <c r="BS136" s="334" t="str">
        <f t="shared" si="516"/>
        <v>FY2012</v>
      </c>
      <c r="BT136" s="334" t="str">
        <f t="shared" si="516"/>
        <v>FY2013</v>
      </c>
      <c r="BU136" s="334" t="str">
        <f t="shared" si="516"/>
        <v>FY2014A</v>
      </c>
      <c r="BV136" s="334" t="str">
        <f t="shared" si="516"/>
        <v>FY2015A</v>
      </c>
      <c r="BW136" s="334" t="str">
        <f t="shared" si="516"/>
        <v>FY2016A</v>
      </c>
      <c r="BX136" s="334" t="str">
        <f t="shared" si="516"/>
        <v>FY2017A</v>
      </c>
      <c r="BY136" s="1247" t="str">
        <f t="shared" si="516"/>
        <v>FY2018E</v>
      </c>
      <c r="BZ136" s="1247" t="str">
        <f t="shared" si="516"/>
        <v>FY2019E</v>
      </c>
      <c r="CA136" s="1248" t="str">
        <f t="shared" si="516"/>
        <v>FY2020E</v>
      </c>
      <c r="CB136" s="447"/>
      <c r="CC136" s="333" t="str">
        <f t="shared" si="516"/>
        <v>CY2006</v>
      </c>
      <c r="CD136" s="334" t="str">
        <f t="shared" si="516"/>
        <v>CY2007</v>
      </c>
      <c r="CE136" s="334" t="str">
        <f t="shared" si="516"/>
        <v>CY2008</v>
      </c>
      <c r="CF136" s="334" t="str">
        <f t="shared" si="516"/>
        <v>CY2009</v>
      </c>
      <c r="CG136" s="334" t="str">
        <f t="shared" si="516"/>
        <v>CY2010</v>
      </c>
      <c r="CH136" s="334" t="str">
        <f t="shared" si="516"/>
        <v>CY2011</v>
      </c>
      <c r="CI136" s="333" t="str">
        <f t="shared" si="516"/>
        <v>CY2012</v>
      </c>
      <c r="CJ136" s="334" t="str">
        <f t="shared" si="516"/>
        <v>CY2013</v>
      </c>
      <c r="CK136" s="334" t="str">
        <f t="shared" si="516"/>
        <v>CY2014A</v>
      </c>
      <c r="CL136" s="334" t="str">
        <f t="shared" si="516"/>
        <v>CY2015A</v>
      </c>
      <c r="CM136" s="334" t="str">
        <f t="shared" si="516"/>
        <v>CY2016A</v>
      </c>
      <c r="CN136" s="1247" t="str">
        <f t="shared" si="516"/>
        <v>CY2017A</v>
      </c>
      <c r="CO136" s="1247" t="str">
        <f t="shared" si="516"/>
        <v>CY2018E</v>
      </c>
      <c r="CP136" s="1248" t="str">
        <f t="shared" si="516"/>
        <v>CY2019E</v>
      </c>
    </row>
    <row r="137" spans="1:94" s="1" customFormat="1" ht="14.25" customHeight="1">
      <c r="B137" s="67" t="s">
        <v>227</v>
      </c>
      <c r="C137" s="411"/>
      <c r="D137" s="413"/>
      <c r="E137" s="413"/>
      <c r="F137" s="413"/>
      <c r="G137" s="414"/>
      <c r="H137" s="412"/>
      <c r="I137" s="413"/>
      <c r="J137" s="413"/>
      <c r="K137" s="414"/>
      <c r="L137" s="412"/>
      <c r="M137" s="413"/>
      <c r="N137" s="413"/>
      <c r="O137" s="414"/>
      <c r="P137" s="412"/>
      <c r="Q137" s="413"/>
      <c r="R137" s="413"/>
      <c r="S137" s="414"/>
      <c r="T137" s="412"/>
      <c r="U137" s="413"/>
      <c r="V137" s="413"/>
      <c r="W137" s="414"/>
      <c r="X137" s="412"/>
      <c r="Y137" s="413"/>
      <c r="Z137" s="413"/>
      <c r="AA137" s="414"/>
      <c r="AB137" s="412">
        <f t="shared" ref="AB137:AG140" si="517">AB144*AB$113</f>
        <v>349.06</v>
      </c>
      <c r="AC137" s="413">
        <f t="shared" si="517"/>
        <v>357.74</v>
      </c>
      <c r="AD137" s="413">
        <f t="shared" si="517"/>
        <v>345.41999999999996</v>
      </c>
      <c r="AE137" s="414">
        <f>BS137-AD137-AC137-AB137</f>
        <v>413.46000000000021</v>
      </c>
      <c r="AF137" s="412">
        <f t="shared" ref="AF137:AH138" si="518">AF144*AF$113</f>
        <v>385.92</v>
      </c>
      <c r="AG137" s="413">
        <f t="shared" si="518"/>
        <v>354.06</v>
      </c>
      <c r="AH137" s="413">
        <f t="shared" si="518"/>
        <v>405.72</v>
      </c>
      <c r="AI137" s="415"/>
      <c r="AJ137" s="635">
        <f>AJ144*AJ$113</f>
        <v>446.67</v>
      </c>
      <c r="AK137" s="417"/>
      <c r="AL137" s="417"/>
      <c r="AM137" s="417"/>
      <c r="AN137" s="416"/>
      <c r="AO137" s="417"/>
      <c r="AP137" s="417"/>
      <c r="AQ137" s="415"/>
      <c r="AR137" s="416"/>
      <c r="AS137" s="417"/>
      <c r="AT137" s="417"/>
      <c r="AU137" s="415"/>
      <c r="AV137" s="416"/>
      <c r="AW137" s="417"/>
      <c r="AX137" s="417"/>
      <c r="AY137" s="415"/>
      <c r="AZ137" s="416"/>
      <c r="BA137" s="417"/>
      <c r="BB137" s="417"/>
      <c r="BC137" s="415"/>
      <c r="BD137" s="416"/>
      <c r="BE137" s="417"/>
      <c r="BF137" s="417"/>
      <c r="BG137" s="415"/>
      <c r="BH137" s="416"/>
      <c r="BI137" s="417"/>
      <c r="BJ137" s="417"/>
      <c r="BK137" s="415"/>
      <c r="BL137" s="418"/>
      <c r="BM137" s="419"/>
      <c r="BN137" s="419"/>
      <c r="BO137" s="419"/>
      <c r="BP137" s="420"/>
      <c r="BQ137" s="420"/>
      <c r="BR137" s="419">
        <f>BR144*BR$113</f>
        <v>1261.44</v>
      </c>
      <c r="BS137" s="419">
        <f>BS144*BS$113</f>
        <v>1465.68</v>
      </c>
      <c r="BT137" s="419"/>
      <c r="BU137" s="419"/>
      <c r="BV137" s="419"/>
      <c r="BW137" s="419"/>
      <c r="BX137" s="419"/>
      <c r="BY137" s="760"/>
      <c r="BZ137" s="760"/>
      <c r="CA137" s="411"/>
      <c r="CB137" s="418"/>
      <c r="CC137" s="635"/>
      <c r="CD137" s="419"/>
      <c r="CE137" s="420"/>
      <c r="CF137" s="420"/>
      <c r="CG137" s="419"/>
      <c r="CH137" s="419"/>
      <c r="CI137" s="635">
        <f>SUM(AC137:AF137)</f>
        <v>1502.5400000000002</v>
      </c>
      <c r="CJ137" s="419"/>
      <c r="CK137" s="419"/>
      <c r="CL137" s="419"/>
      <c r="CM137" s="419"/>
      <c r="CN137" s="419"/>
      <c r="CO137" s="419"/>
      <c r="CP137" s="585"/>
    </row>
    <row r="138" spans="1:94" s="1" customFormat="1" ht="14.25" customHeight="1">
      <c r="B138" s="27" t="s">
        <v>218</v>
      </c>
      <c r="C138" s="421"/>
      <c r="D138" s="422"/>
      <c r="E138" s="423"/>
      <c r="F138" s="423"/>
      <c r="G138" s="424"/>
      <c r="H138" s="422"/>
      <c r="I138" s="423"/>
      <c r="J138" s="423"/>
      <c r="K138" s="424"/>
      <c r="L138" s="422"/>
      <c r="M138" s="423"/>
      <c r="N138" s="423"/>
      <c r="O138" s="424"/>
      <c r="P138" s="422"/>
      <c r="Q138" s="423"/>
      <c r="R138" s="423"/>
      <c r="S138" s="424"/>
      <c r="T138" s="422"/>
      <c r="U138" s="423"/>
      <c r="V138" s="423"/>
      <c r="W138" s="424"/>
      <c r="X138" s="422"/>
      <c r="Y138" s="423"/>
      <c r="Z138" s="423"/>
      <c r="AA138" s="424"/>
      <c r="AB138" s="422">
        <f t="shared" si="517"/>
        <v>95.710000000000008</v>
      </c>
      <c r="AC138" s="423">
        <f t="shared" si="517"/>
        <v>92.320000000000007</v>
      </c>
      <c r="AD138" s="423">
        <f t="shared" si="517"/>
        <v>78.78</v>
      </c>
      <c r="AE138" s="424">
        <f>BS138-AD138-AC138-AB138</f>
        <v>135.07000000000002</v>
      </c>
      <c r="AF138" s="422">
        <f t="shared" si="518"/>
        <v>120.96</v>
      </c>
      <c r="AG138" s="423">
        <f t="shared" si="518"/>
        <v>101.16</v>
      </c>
      <c r="AH138" s="423">
        <f t="shared" si="518"/>
        <v>103.04</v>
      </c>
      <c r="AI138" s="425"/>
      <c r="AJ138" s="635">
        <f>AJ145*AJ$113</f>
        <v>177.25</v>
      </c>
      <c r="AK138" s="427"/>
      <c r="AL138" s="427"/>
      <c r="AM138" s="427"/>
      <c r="AN138" s="426"/>
      <c r="AO138" s="427"/>
      <c r="AP138" s="427"/>
      <c r="AQ138" s="425"/>
      <c r="AR138" s="426"/>
      <c r="AS138" s="427"/>
      <c r="AT138" s="427"/>
      <c r="AU138" s="425"/>
      <c r="AV138" s="426"/>
      <c r="AW138" s="427"/>
      <c r="AX138" s="427"/>
      <c r="AY138" s="425"/>
      <c r="AZ138" s="426"/>
      <c r="BA138" s="427"/>
      <c r="BB138" s="427"/>
      <c r="BC138" s="425"/>
      <c r="BD138" s="426"/>
      <c r="BE138" s="427"/>
      <c r="BF138" s="427"/>
      <c r="BG138" s="425"/>
      <c r="BH138" s="426"/>
      <c r="BI138" s="427"/>
      <c r="BJ138" s="427"/>
      <c r="BK138" s="425"/>
      <c r="BL138" s="418"/>
      <c r="BM138" s="419"/>
      <c r="BN138" s="419"/>
      <c r="BO138" s="419"/>
      <c r="BP138" s="419"/>
      <c r="BQ138" s="419"/>
      <c r="BR138" s="483" t="s">
        <v>132</v>
      </c>
      <c r="BS138" s="419">
        <f>BS145*BS$113</f>
        <v>401.88000000000005</v>
      </c>
      <c r="BT138" s="419"/>
      <c r="BU138" s="419"/>
      <c r="BV138" s="419"/>
      <c r="BW138" s="419"/>
      <c r="BX138" s="419"/>
      <c r="BY138" s="175"/>
      <c r="BZ138" s="175"/>
      <c r="CA138" s="421"/>
      <c r="CB138" s="418"/>
      <c r="CC138" s="635"/>
      <c r="CD138" s="419"/>
      <c r="CE138" s="419"/>
      <c r="CF138" s="419"/>
      <c r="CG138" s="483"/>
      <c r="CH138" s="419"/>
      <c r="CI138" s="635">
        <f>SUM(AC138:AF138)</f>
        <v>427.13000000000005</v>
      </c>
      <c r="CJ138" s="419"/>
      <c r="CK138" s="419"/>
      <c r="CL138" s="419"/>
      <c r="CM138" s="419"/>
      <c r="CN138" s="419"/>
      <c r="CO138" s="419"/>
      <c r="CP138" s="585"/>
    </row>
    <row r="139" spans="1:94" s="1" customFormat="1" ht="14.25" customHeight="1">
      <c r="B139" s="27" t="s">
        <v>346</v>
      </c>
      <c r="C139" s="421"/>
      <c r="D139" s="422"/>
      <c r="E139" s="423"/>
      <c r="F139" s="423"/>
      <c r="G139" s="424"/>
      <c r="H139" s="422"/>
      <c r="I139" s="423"/>
      <c r="J139" s="423"/>
      <c r="K139" s="424"/>
      <c r="L139" s="422"/>
      <c r="M139" s="423"/>
      <c r="N139" s="423"/>
      <c r="O139" s="424"/>
      <c r="P139" s="422"/>
      <c r="Q139" s="423"/>
      <c r="R139" s="423"/>
      <c r="S139" s="424"/>
      <c r="T139" s="422"/>
      <c r="U139" s="423"/>
      <c r="V139" s="423"/>
      <c r="W139" s="424"/>
      <c r="X139" s="422"/>
      <c r="Y139" s="423"/>
      <c r="Z139" s="423"/>
      <c r="AA139" s="424"/>
      <c r="AB139" s="422">
        <f t="shared" si="517"/>
        <v>163.26999999999998</v>
      </c>
      <c r="AC139" s="423">
        <f t="shared" si="517"/>
        <v>178.87</v>
      </c>
      <c r="AD139" s="423">
        <f t="shared" si="517"/>
        <v>145.44</v>
      </c>
      <c r="AE139" s="424">
        <f>BS139-AD139-AC139-AB139</f>
        <v>268.89999999999998</v>
      </c>
      <c r="AF139" s="422">
        <f t="shared" si="517"/>
        <v>178.56</v>
      </c>
      <c r="AG139" s="423">
        <f t="shared" si="517"/>
        <v>168.6</v>
      </c>
      <c r="AH139" s="423">
        <f>AH146*AH$113</f>
        <v>193.2</v>
      </c>
      <c r="AI139" s="425"/>
      <c r="AJ139" s="635">
        <f>AJ146*AJ$113</f>
        <v>212.7</v>
      </c>
      <c r="AK139" s="427"/>
      <c r="AL139" s="427"/>
      <c r="AM139" s="427"/>
      <c r="AN139" s="426"/>
      <c r="AO139" s="427"/>
      <c r="AP139" s="427"/>
      <c r="AQ139" s="425"/>
      <c r="AR139" s="426"/>
      <c r="AS139" s="427"/>
      <c r="AT139" s="427"/>
      <c r="AU139" s="425"/>
      <c r="AV139" s="426"/>
      <c r="AW139" s="427"/>
      <c r="AX139" s="427"/>
      <c r="AY139" s="425"/>
      <c r="AZ139" s="426"/>
      <c r="BA139" s="427"/>
      <c r="BB139" s="427"/>
      <c r="BC139" s="425"/>
      <c r="BD139" s="426"/>
      <c r="BE139" s="427"/>
      <c r="BF139" s="427"/>
      <c r="BG139" s="425"/>
      <c r="BH139" s="426"/>
      <c r="BI139" s="427"/>
      <c r="BJ139" s="427"/>
      <c r="BK139" s="425"/>
      <c r="BL139" s="418"/>
      <c r="BM139" s="419"/>
      <c r="BN139" s="419"/>
      <c r="BO139" s="419"/>
      <c r="BP139" s="419"/>
      <c r="BQ139" s="419"/>
      <c r="BR139" s="423">
        <f>+BR146*BR141</f>
        <v>864.31999999999994</v>
      </c>
      <c r="BS139" s="423">
        <f>+BS146*BS141</f>
        <v>756.48</v>
      </c>
      <c r="BT139" s="419"/>
      <c r="BU139" s="419"/>
      <c r="BV139" s="419"/>
      <c r="BW139" s="419"/>
      <c r="BX139" s="419"/>
      <c r="BY139" s="175"/>
      <c r="BZ139" s="175"/>
      <c r="CA139" s="421"/>
      <c r="CB139" s="418"/>
      <c r="CC139" s="635"/>
      <c r="CD139" s="419"/>
      <c r="CE139" s="419"/>
      <c r="CF139" s="419"/>
      <c r="CG139" s="483"/>
      <c r="CH139" s="419"/>
      <c r="CI139" s="635"/>
      <c r="CJ139" s="419"/>
      <c r="CK139" s="419"/>
      <c r="CL139" s="419"/>
      <c r="CM139" s="419"/>
      <c r="CN139" s="419"/>
      <c r="CO139" s="419"/>
      <c r="CP139" s="585"/>
    </row>
    <row r="140" spans="1:94" s="1" customFormat="1" ht="14.25" customHeight="1">
      <c r="B140" s="92" t="s">
        <v>228</v>
      </c>
      <c r="C140" s="421"/>
      <c r="D140" s="422"/>
      <c r="E140" s="423"/>
      <c r="F140" s="423"/>
      <c r="G140" s="424"/>
      <c r="H140" s="422"/>
      <c r="I140" s="423"/>
      <c r="J140" s="423"/>
      <c r="K140" s="424"/>
      <c r="L140" s="422"/>
      <c r="M140" s="423"/>
      <c r="N140" s="423"/>
      <c r="O140" s="424"/>
      <c r="P140" s="422"/>
      <c r="Q140" s="423"/>
      <c r="R140" s="423"/>
      <c r="S140" s="424"/>
      <c r="T140" s="422"/>
      <c r="U140" s="423"/>
      <c r="V140" s="423"/>
      <c r="W140" s="424"/>
      <c r="X140" s="422"/>
      <c r="Y140" s="423"/>
      <c r="Z140" s="423"/>
      <c r="AA140" s="424"/>
      <c r="AB140" s="422">
        <f t="shared" si="517"/>
        <v>213.94</v>
      </c>
      <c r="AC140" s="423">
        <f t="shared" si="517"/>
        <v>219.26</v>
      </c>
      <c r="AD140" s="423">
        <f t="shared" si="517"/>
        <v>260.58000000000004</v>
      </c>
      <c r="AE140" s="424">
        <f>BS140-AD140-AC140-AB140</f>
        <v>204.54000000000002</v>
      </c>
      <c r="AF140" s="422">
        <f>AF147*AF$113</f>
        <v>190.07999999999998</v>
      </c>
      <c r="AG140" s="423">
        <f>AG147*AG$113</f>
        <v>207.94</v>
      </c>
      <c r="AH140" s="423">
        <f>AH147*AH$113</f>
        <v>238.28</v>
      </c>
      <c r="AI140" s="425"/>
      <c r="AJ140" s="635">
        <f>AJ147*AJ$113</f>
        <v>262.33</v>
      </c>
      <c r="AK140" s="427"/>
      <c r="AL140" s="427"/>
      <c r="AM140" s="427"/>
      <c r="AN140" s="426"/>
      <c r="AO140" s="427"/>
      <c r="AP140" s="427"/>
      <c r="AQ140" s="425"/>
      <c r="AR140" s="426"/>
      <c r="AS140" s="427"/>
      <c r="AT140" s="427"/>
      <c r="AU140" s="425"/>
      <c r="AV140" s="426"/>
      <c r="AW140" s="427"/>
      <c r="AX140" s="427"/>
      <c r="AY140" s="425"/>
      <c r="AZ140" s="426"/>
      <c r="BA140" s="427"/>
      <c r="BB140" s="427"/>
      <c r="BC140" s="425"/>
      <c r="BD140" s="426"/>
      <c r="BE140" s="427"/>
      <c r="BF140" s="427"/>
      <c r="BG140" s="425"/>
      <c r="BH140" s="426"/>
      <c r="BI140" s="427"/>
      <c r="BJ140" s="427"/>
      <c r="BK140" s="425"/>
      <c r="BL140" s="418"/>
      <c r="BM140" s="419"/>
      <c r="BN140" s="419"/>
      <c r="BO140" s="419"/>
      <c r="BP140" s="419"/>
      <c r="BQ140" s="419"/>
      <c r="BR140" s="419">
        <f>BR147*BR$113</f>
        <v>1074.56</v>
      </c>
      <c r="BS140" s="419">
        <f>BS147*BS$113</f>
        <v>898.32</v>
      </c>
      <c r="BT140" s="419"/>
      <c r="BU140" s="419"/>
      <c r="BV140" s="419"/>
      <c r="BW140" s="419"/>
      <c r="BX140" s="419"/>
      <c r="BY140" s="175"/>
      <c r="BZ140" s="175"/>
      <c r="CA140" s="421"/>
      <c r="CB140" s="418"/>
      <c r="CC140" s="635"/>
      <c r="CD140" s="419"/>
      <c r="CE140" s="419"/>
      <c r="CF140" s="419"/>
      <c r="CG140" s="419"/>
      <c r="CH140" s="419"/>
      <c r="CI140" s="635">
        <f>SUM(AC140:AF140)</f>
        <v>874.46</v>
      </c>
      <c r="CJ140" s="419"/>
      <c r="CK140" s="419"/>
      <c r="CL140" s="419"/>
      <c r="CM140" s="419"/>
      <c r="CN140" s="419"/>
      <c r="CO140" s="419"/>
      <c r="CP140" s="585"/>
    </row>
    <row r="141" spans="1:94" s="99" customFormat="1" ht="14.25" customHeight="1">
      <c r="B141" s="428" t="s">
        <v>214</v>
      </c>
      <c r="C141" s="429"/>
      <c r="D141" s="430"/>
      <c r="E141" s="431"/>
      <c r="F141" s="431"/>
      <c r="G141" s="432"/>
      <c r="H141" s="430"/>
      <c r="I141" s="431"/>
      <c r="J141" s="431"/>
      <c r="K141" s="432"/>
      <c r="L141" s="430"/>
      <c r="M141" s="431"/>
      <c r="N141" s="431"/>
      <c r="O141" s="432"/>
      <c r="P141" s="430"/>
      <c r="Q141" s="431"/>
      <c r="R141" s="431"/>
      <c r="S141" s="432"/>
      <c r="T141" s="430"/>
      <c r="U141" s="431"/>
      <c r="V141" s="431"/>
      <c r="W141" s="432"/>
      <c r="X141" s="430"/>
      <c r="Y141" s="431"/>
      <c r="Z141" s="431"/>
      <c r="AA141" s="432"/>
      <c r="AB141" s="430">
        <f t="shared" ref="AB141:AH141" si="519">SUM(AB137,AB140)</f>
        <v>563</v>
      </c>
      <c r="AC141" s="431">
        <f t="shared" si="519"/>
        <v>577</v>
      </c>
      <c r="AD141" s="431">
        <f t="shared" si="519"/>
        <v>606</v>
      </c>
      <c r="AE141" s="432">
        <f t="shared" si="519"/>
        <v>618.00000000000023</v>
      </c>
      <c r="AF141" s="430">
        <f t="shared" si="519"/>
        <v>576</v>
      </c>
      <c r="AG141" s="431">
        <f t="shared" si="519"/>
        <v>562</v>
      </c>
      <c r="AH141" s="431">
        <f t="shared" si="519"/>
        <v>644</v>
      </c>
      <c r="AI141" s="433"/>
      <c r="AJ141" s="435">
        <f>SUM(AJ137,AJ140)</f>
        <v>709</v>
      </c>
      <c r="AK141" s="435"/>
      <c r="AL141" s="435"/>
      <c r="AM141" s="435"/>
      <c r="AN141" s="434"/>
      <c r="AO141" s="435"/>
      <c r="AP141" s="435"/>
      <c r="AQ141" s="433"/>
      <c r="AR141" s="434"/>
      <c r="AS141" s="435"/>
      <c r="AT141" s="435"/>
      <c r="AU141" s="433"/>
      <c r="AV141" s="434"/>
      <c r="AW141" s="435"/>
      <c r="AX141" s="435"/>
      <c r="AY141" s="433"/>
      <c r="AZ141" s="434"/>
      <c r="BA141" s="435"/>
      <c r="BB141" s="435"/>
      <c r="BC141" s="433"/>
      <c r="BD141" s="434"/>
      <c r="BE141" s="435"/>
      <c r="BF141" s="435"/>
      <c r="BG141" s="433"/>
      <c r="BH141" s="434"/>
      <c r="BI141" s="435"/>
      <c r="BJ141" s="435"/>
      <c r="BK141" s="433"/>
      <c r="BL141" s="436"/>
      <c r="BM141" s="437"/>
      <c r="BN141" s="438"/>
      <c r="BO141" s="438"/>
      <c r="BP141" s="438"/>
      <c r="BQ141" s="438"/>
      <c r="BR141" s="438">
        <f>SUM(BR137,BR140)</f>
        <v>2336</v>
      </c>
      <c r="BS141" s="438">
        <f>SUM(BS137,BS140)</f>
        <v>2364</v>
      </c>
      <c r="BT141" s="438"/>
      <c r="BU141" s="438"/>
      <c r="BV141" s="438"/>
      <c r="BW141" s="438"/>
      <c r="BX141" s="438"/>
      <c r="BY141" s="834"/>
      <c r="BZ141" s="834"/>
      <c r="CA141" s="429"/>
      <c r="CB141" s="436"/>
      <c r="CC141" s="636"/>
      <c r="CD141" s="438"/>
      <c r="CE141" s="438"/>
      <c r="CF141" s="438"/>
      <c r="CG141" s="438"/>
      <c r="CH141" s="438"/>
      <c r="CI141" s="636">
        <f>SUM(CI137,CI140)</f>
        <v>2377</v>
      </c>
      <c r="CJ141" s="438"/>
      <c r="CK141" s="438"/>
      <c r="CL141" s="438"/>
      <c r="CM141" s="438"/>
      <c r="CN141" s="438"/>
      <c r="CO141" s="438"/>
      <c r="CP141" s="586"/>
    </row>
    <row r="142" spans="1:94" ht="14.25" customHeight="1">
      <c r="B142" s="63"/>
      <c r="X142" s="7"/>
      <c r="Y142" s="7"/>
      <c r="Z142" s="7"/>
      <c r="AB142" s="7"/>
      <c r="AD142" s="7"/>
      <c r="AF142" s="7"/>
      <c r="AR142" s="1125"/>
      <c r="AS142" s="1136"/>
      <c r="AT142" s="1197"/>
      <c r="AV142" s="1290"/>
      <c r="BR142" s="7"/>
      <c r="BX142" s="410"/>
      <c r="BY142" s="757"/>
      <c r="BZ142" s="757"/>
      <c r="CB142" s="410"/>
      <c r="CG142" s="7"/>
      <c r="CM142" s="410"/>
      <c r="CN142" s="410"/>
      <c r="CO142" s="410"/>
      <c r="CP142" s="410"/>
    </row>
    <row r="143" spans="1:94" ht="14.25" customHeight="1">
      <c r="A143" s="1"/>
      <c r="B143" s="146" t="s">
        <v>215</v>
      </c>
      <c r="C143" s="147"/>
      <c r="D143" s="333" t="str">
        <f t="shared" ref="D143:BK143" si="520">D$7</f>
        <v>F1Q06</v>
      </c>
      <c r="E143" s="334" t="str">
        <f t="shared" si="520"/>
        <v>F2Q06</v>
      </c>
      <c r="F143" s="334" t="str">
        <f t="shared" si="520"/>
        <v>F3Q06</v>
      </c>
      <c r="G143" s="334" t="str">
        <f t="shared" si="520"/>
        <v>F4Q06</v>
      </c>
      <c r="H143" s="333" t="str">
        <f t="shared" si="520"/>
        <v>F1Q07</v>
      </c>
      <c r="I143" s="334" t="str">
        <f t="shared" si="520"/>
        <v>F2Q07</v>
      </c>
      <c r="J143" s="334" t="str">
        <f t="shared" si="520"/>
        <v>F3Q07</v>
      </c>
      <c r="K143" s="334" t="str">
        <f t="shared" si="520"/>
        <v>F4Q07</v>
      </c>
      <c r="L143" s="333" t="str">
        <f t="shared" si="520"/>
        <v>F1Q08</v>
      </c>
      <c r="M143" s="334" t="str">
        <f t="shared" si="520"/>
        <v>F2Q08</v>
      </c>
      <c r="N143" s="334" t="str">
        <f t="shared" si="520"/>
        <v>F3Q08</v>
      </c>
      <c r="O143" s="334" t="str">
        <f t="shared" si="520"/>
        <v>F4Q08</v>
      </c>
      <c r="P143" s="333" t="str">
        <f t="shared" si="520"/>
        <v>F1Q09</v>
      </c>
      <c r="Q143" s="334" t="str">
        <f t="shared" si="520"/>
        <v>F2Q09</v>
      </c>
      <c r="R143" s="334" t="str">
        <f t="shared" si="520"/>
        <v>F3Q09</v>
      </c>
      <c r="S143" s="334" t="str">
        <f t="shared" si="520"/>
        <v>F4Q09</v>
      </c>
      <c r="T143" s="333" t="str">
        <f t="shared" si="520"/>
        <v>F1Q10</v>
      </c>
      <c r="U143" s="334" t="str">
        <f t="shared" si="520"/>
        <v>F2Q10</v>
      </c>
      <c r="V143" s="334" t="str">
        <f t="shared" si="520"/>
        <v>F3Q10</v>
      </c>
      <c r="W143" s="334" t="str">
        <f t="shared" si="520"/>
        <v>F4Q10</v>
      </c>
      <c r="X143" s="340" t="str">
        <f t="shared" si="520"/>
        <v>F1Q11</v>
      </c>
      <c r="Y143" s="341" t="str">
        <f t="shared" si="520"/>
        <v>F2Q11</v>
      </c>
      <c r="Z143" s="341" t="str">
        <f t="shared" si="520"/>
        <v>F3Q11</v>
      </c>
      <c r="AA143" s="334" t="str">
        <f t="shared" si="520"/>
        <v>F4Q11</v>
      </c>
      <c r="AB143" s="340" t="str">
        <f t="shared" si="520"/>
        <v>F1Q12</v>
      </c>
      <c r="AC143" s="341" t="str">
        <f t="shared" si="520"/>
        <v>F2Q12</v>
      </c>
      <c r="AD143" s="341" t="str">
        <f t="shared" si="520"/>
        <v>F3Q12</v>
      </c>
      <c r="AE143" s="334" t="str">
        <f t="shared" si="520"/>
        <v>F4Q12</v>
      </c>
      <c r="AF143" s="340" t="str">
        <f t="shared" si="520"/>
        <v>F1Q13</v>
      </c>
      <c r="AG143" s="334" t="str">
        <f t="shared" si="520"/>
        <v>F2Q13</v>
      </c>
      <c r="AH143" s="334" t="str">
        <f t="shared" si="520"/>
        <v>F3Q13</v>
      </c>
      <c r="AI143" s="334" t="str">
        <f t="shared" si="520"/>
        <v>F4Q13</v>
      </c>
      <c r="AJ143" s="334" t="str">
        <f t="shared" si="520"/>
        <v>F1Q14</v>
      </c>
      <c r="AK143" s="334" t="str">
        <f t="shared" si="520"/>
        <v>F2Q14A</v>
      </c>
      <c r="AL143" s="334" t="str">
        <f t="shared" si="520"/>
        <v>F3Q14A</v>
      </c>
      <c r="AM143" s="334" t="str">
        <f t="shared" si="520"/>
        <v>F4Q14A</v>
      </c>
      <c r="AN143" s="333" t="str">
        <f t="shared" si="520"/>
        <v>F1Q15A</v>
      </c>
      <c r="AO143" s="334" t="str">
        <f t="shared" si="520"/>
        <v>F2Q15A</v>
      </c>
      <c r="AP143" s="334" t="str">
        <f t="shared" si="520"/>
        <v>F3Q15A</v>
      </c>
      <c r="AQ143" s="335" t="str">
        <f t="shared" si="520"/>
        <v>F4Q15A</v>
      </c>
      <c r="AR143" s="333" t="str">
        <f t="shared" si="520"/>
        <v>F1Q16A</v>
      </c>
      <c r="AS143" s="334" t="str">
        <f t="shared" si="520"/>
        <v>F2Q16A</v>
      </c>
      <c r="AT143" s="334" t="str">
        <f t="shared" si="520"/>
        <v>F3Q16A</v>
      </c>
      <c r="AU143" s="335" t="str">
        <f t="shared" si="520"/>
        <v>F4Q16A</v>
      </c>
      <c r="AV143" s="1246" t="str">
        <f t="shared" si="520"/>
        <v>F1Q17A</v>
      </c>
      <c r="AW143" s="1247" t="str">
        <f t="shared" si="520"/>
        <v>F2Q17A</v>
      </c>
      <c r="AX143" s="334" t="str">
        <f t="shared" si="520"/>
        <v>F3Q17A</v>
      </c>
      <c r="AY143" s="335" t="str">
        <f t="shared" si="520"/>
        <v>F4Q17A</v>
      </c>
      <c r="AZ143" s="333" t="str">
        <f t="shared" si="520"/>
        <v>F1Q18A</v>
      </c>
      <c r="BA143" s="334" t="str">
        <f t="shared" si="520"/>
        <v>F2Q18E</v>
      </c>
      <c r="BB143" s="334" t="str">
        <f t="shared" si="520"/>
        <v>F3Q18E</v>
      </c>
      <c r="BC143" s="335" t="str">
        <f t="shared" si="520"/>
        <v>F4Q18E</v>
      </c>
      <c r="BD143" s="1246" t="str">
        <f t="shared" si="520"/>
        <v>F1Q19E</v>
      </c>
      <c r="BE143" s="1247" t="str">
        <f t="shared" si="520"/>
        <v>F2Q19E</v>
      </c>
      <c r="BF143" s="1247" t="str">
        <f t="shared" si="520"/>
        <v>F3Q19E</v>
      </c>
      <c r="BG143" s="1248" t="str">
        <f t="shared" si="520"/>
        <v>F4Q19E</v>
      </c>
      <c r="BH143" s="1246" t="str">
        <f t="shared" si="520"/>
        <v>F1Q20E</v>
      </c>
      <c r="BI143" s="1247" t="str">
        <f t="shared" si="520"/>
        <v>F2Q20E</v>
      </c>
      <c r="BJ143" s="1247" t="str">
        <f t="shared" si="520"/>
        <v>F3Q20E</v>
      </c>
      <c r="BK143" s="1248" t="str">
        <f t="shared" si="520"/>
        <v>F4Q20E</v>
      </c>
      <c r="BL143" s="19"/>
      <c r="BM143" s="334" t="str">
        <f t="shared" ref="BM143:CP143" si="521">BM$7</f>
        <v>FY2006</v>
      </c>
      <c r="BN143" s="334" t="str">
        <f t="shared" si="521"/>
        <v>FY2007</v>
      </c>
      <c r="BO143" s="334" t="str">
        <f t="shared" si="521"/>
        <v>FY2008</v>
      </c>
      <c r="BP143" s="334" t="str">
        <f t="shared" si="521"/>
        <v>FY2009</v>
      </c>
      <c r="BQ143" s="334" t="str">
        <f t="shared" si="521"/>
        <v>FY2010</v>
      </c>
      <c r="BR143" s="334" t="str">
        <f t="shared" si="521"/>
        <v>FY2011</v>
      </c>
      <c r="BS143" s="334" t="str">
        <f t="shared" si="521"/>
        <v>FY2012</v>
      </c>
      <c r="BT143" s="334" t="str">
        <f t="shared" si="521"/>
        <v>FY2013</v>
      </c>
      <c r="BU143" s="334" t="str">
        <f t="shared" si="521"/>
        <v>FY2014A</v>
      </c>
      <c r="BV143" s="334" t="str">
        <f t="shared" si="521"/>
        <v>FY2015A</v>
      </c>
      <c r="BW143" s="334" t="str">
        <f t="shared" si="521"/>
        <v>FY2016A</v>
      </c>
      <c r="BX143" s="334" t="str">
        <f t="shared" si="521"/>
        <v>FY2017A</v>
      </c>
      <c r="BY143" s="1247" t="str">
        <f t="shared" si="521"/>
        <v>FY2018E</v>
      </c>
      <c r="BZ143" s="1247" t="str">
        <f t="shared" si="521"/>
        <v>FY2019E</v>
      </c>
      <c r="CA143" s="1248" t="str">
        <f t="shared" si="521"/>
        <v>FY2020E</v>
      </c>
      <c r="CB143" s="447"/>
      <c r="CC143" s="333" t="str">
        <f t="shared" si="521"/>
        <v>CY2006</v>
      </c>
      <c r="CD143" s="334" t="str">
        <f t="shared" si="521"/>
        <v>CY2007</v>
      </c>
      <c r="CE143" s="334" t="str">
        <f t="shared" si="521"/>
        <v>CY2008</v>
      </c>
      <c r="CF143" s="334" t="str">
        <f t="shared" si="521"/>
        <v>CY2009</v>
      </c>
      <c r="CG143" s="334" t="str">
        <f t="shared" si="521"/>
        <v>CY2010</v>
      </c>
      <c r="CH143" s="334" t="str">
        <f t="shared" si="521"/>
        <v>CY2011</v>
      </c>
      <c r="CI143" s="333" t="str">
        <f t="shared" si="521"/>
        <v>CY2012</v>
      </c>
      <c r="CJ143" s="334" t="str">
        <f t="shared" si="521"/>
        <v>CY2013</v>
      </c>
      <c r="CK143" s="334" t="str">
        <f t="shared" si="521"/>
        <v>CY2014A</v>
      </c>
      <c r="CL143" s="334" t="str">
        <f t="shared" si="521"/>
        <v>CY2015A</v>
      </c>
      <c r="CM143" s="334" t="str">
        <f t="shared" si="521"/>
        <v>CY2016A</v>
      </c>
      <c r="CN143" s="1247" t="str">
        <f t="shared" si="521"/>
        <v>CY2017A</v>
      </c>
      <c r="CO143" s="1247" t="str">
        <f t="shared" si="521"/>
        <v>CY2018E</v>
      </c>
      <c r="CP143" s="1248" t="str">
        <f t="shared" si="521"/>
        <v>CY2019E</v>
      </c>
    </row>
    <row r="144" spans="1:94" ht="14.25" customHeight="1">
      <c r="B144" s="439" t="str">
        <f>B137</f>
        <v>10 main customers (including distributors)</v>
      </c>
      <c r="C144" s="440"/>
      <c r="D144" s="441"/>
      <c r="E144" s="442"/>
      <c r="F144" s="442"/>
      <c r="G144" s="443"/>
      <c r="H144" s="441"/>
      <c r="I144" s="442"/>
      <c r="J144" s="442"/>
      <c r="K144" s="443"/>
      <c r="L144" s="441"/>
      <c r="M144" s="442"/>
      <c r="N144" s="442"/>
      <c r="O144" s="443"/>
      <c r="P144" s="441"/>
      <c r="Q144" s="442"/>
      <c r="R144" s="442"/>
      <c r="S144" s="443"/>
      <c r="T144" s="441"/>
      <c r="U144" s="442"/>
      <c r="V144" s="442"/>
      <c r="W144" s="443"/>
      <c r="X144" s="441"/>
      <c r="Y144" s="442"/>
      <c r="Z144" s="442"/>
      <c r="AA144" s="443"/>
      <c r="AB144" s="441">
        <v>0.62</v>
      </c>
      <c r="AC144" s="442">
        <v>0.62</v>
      </c>
      <c r="AD144" s="442">
        <v>0.56999999999999995</v>
      </c>
      <c r="AE144" s="443">
        <f>AE137/AE$141</f>
        <v>0.66902912621359234</v>
      </c>
      <c r="AF144" s="441">
        <v>0.67</v>
      </c>
      <c r="AG144" s="442">
        <v>0.63</v>
      </c>
      <c r="AH144" s="442">
        <v>0.63</v>
      </c>
      <c r="AI144" s="444"/>
      <c r="AJ144" s="462">
        <v>0.63</v>
      </c>
      <c r="AK144" s="446"/>
      <c r="AL144" s="446"/>
      <c r="AM144" s="446"/>
      <c r="AN144" s="445"/>
      <c r="AO144" s="446"/>
      <c r="AP144" s="446"/>
      <c r="AQ144" s="444"/>
      <c r="AR144" s="445"/>
      <c r="AS144" s="446"/>
      <c r="AT144" s="446"/>
      <c r="AU144" s="444"/>
      <c r="AV144" s="445"/>
      <c r="AW144" s="446"/>
      <c r="AX144" s="446"/>
      <c r="AY144" s="444"/>
      <c r="AZ144" s="445"/>
      <c r="BA144" s="446"/>
      <c r="BB144" s="446"/>
      <c r="BC144" s="444"/>
      <c r="BD144" s="445"/>
      <c r="BE144" s="446"/>
      <c r="BF144" s="446"/>
      <c r="BG144" s="444"/>
      <c r="BH144" s="445"/>
      <c r="BI144" s="446"/>
      <c r="BJ144" s="446"/>
      <c r="BK144" s="444"/>
      <c r="BL144" s="447"/>
      <c r="BM144" s="448"/>
      <c r="BN144" s="448"/>
      <c r="BO144" s="448"/>
      <c r="BP144" s="449"/>
      <c r="BQ144" s="449"/>
      <c r="BR144" s="450">
        <v>0.54</v>
      </c>
      <c r="BS144" s="450">
        <v>0.62</v>
      </c>
      <c r="BT144" s="301"/>
      <c r="BU144" s="301"/>
      <c r="BV144" s="301"/>
      <c r="BW144" s="301"/>
      <c r="BX144" s="301"/>
      <c r="BY144" s="1284"/>
      <c r="BZ144" s="1284"/>
      <c r="CA144" s="453"/>
      <c r="CB144" s="1439"/>
      <c r="CC144" s="637"/>
      <c r="CD144" s="448"/>
      <c r="CE144" s="449"/>
      <c r="CF144" s="449"/>
      <c r="CG144" s="450"/>
      <c r="CH144" s="450"/>
      <c r="CI144" s="462">
        <f>CI137/CI$141</f>
        <v>0.6321161127471604</v>
      </c>
      <c r="CJ144" s="463"/>
      <c r="CK144" s="463"/>
      <c r="CL144" s="463"/>
      <c r="CM144" s="301"/>
      <c r="CN144" s="301"/>
      <c r="CO144" s="301"/>
      <c r="CP144" s="367"/>
    </row>
    <row r="145" spans="1:94" ht="14.25" customHeight="1">
      <c r="B145" s="35" t="str">
        <f>B138</f>
        <v>Foxconn Technology Group</v>
      </c>
      <c r="C145" s="455"/>
      <c r="D145" s="456"/>
      <c r="E145" s="450"/>
      <c r="F145" s="450"/>
      <c r="G145" s="457"/>
      <c r="H145" s="456"/>
      <c r="I145" s="450"/>
      <c r="J145" s="450"/>
      <c r="K145" s="457"/>
      <c r="L145" s="456"/>
      <c r="M145" s="450"/>
      <c r="N145" s="450"/>
      <c r="O145" s="457"/>
      <c r="P145" s="456"/>
      <c r="Q145" s="450"/>
      <c r="R145" s="450"/>
      <c r="S145" s="457"/>
      <c r="T145" s="456"/>
      <c r="U145" s="450"/>
      <c r="V145" s="450"/>
      <c r="W145" s="457"/>
      <c r="X145" s="456"/>
      <c r="Y145" s="450"/>
      <c r="Z145" s="450"/>
      <c r="AA145" s="457"/>
      <c r="AB145" s="456">
        <v>0.17</v>
      </c>
      <c r="AC145" s="450">
        <v>0.16</v>
      </c>
      <c r="AD145" s="450">
        <v>0.13</v>
      </c>
      <c r="AE145" s="457">
        <f>AE138/AE$141</f>
        <v>0.21855987055016177</v>
      </c>
      <c r="AF145" s="456">
        <v>0.21</v>
      </c>
      <c r="AG145" s="450">
        <v>0.18</v>
      </c>
      <c r="AH145" s="450">
        <v>0.16</v>
      </c>
      <c r="AI145" s="458"/>
      <c r="AJ145" s="462">
        <v>0.25</v>
      </c>
      <c r="AK145" s="460"/>
      <c r="AL145" s="460"/>
      <c r="AM145" s="460"/>
      <c r="AN145" s="459"/>
      <c r="AO145" s="460"/>
      <c r="AP145" s="460"/>
      <c r="AQ145" s="458"/>
      <c r="AR145" s="459"/>
      <c r="AS145" s="460"/>
      <c r="AT145" s="460"/>
      <c r="AU145" s="458"/>
      <c r="AV145" s="459"/>
      <c r="AW145" s="460"/>
      <c r="AX145" s="460"/>
      <c r="AY145" s="458"/>
      <c r="AZ145" s="459"/>
      <c r="BA145" s="460"/>
      <c r="BB145" s="460"/>
      <c r="BC145" s="458"/>
      <c r="BD145" s="459"/>
      <c r="BE145" s="460"/>
      <c r="BF145" s="460"/>
      <c r="BG145" s="458"/>
      <c r="BH145" s="459"/>
      <c r="BI145" s="460"/>
      <c r="BJ145" s="460"/>
      <c r="BK145" s="458"/>
      <c r="BL145" s="447"/>
      <c r="BM145" s="448"/>
      <c r="BN145" s="448"/>
      <c r="BO145" s="448"/>
      <c r="BP145" s="448"/>
      <c r="BQ145" s="448"/>
      <c r="BR145" s="450" t="s">
        <v>132</v>
      </c>
      <c r="BS145" s="450">
        <v>0.17</v>
      </c>
      <c r="BT145" s="301"/>
      <c r="BU145" s="301"/>
      <c r="BV145" s="301"/>
      <c r="BW145" s="301"/>
      <c r="BX145" s="301"/>
      <c r="BY145" s="452"/>
      <c r="BZ145" s="452"/>
      <c r="CA145" s="461"/>
      <c r="CB145" s="1439"/>
      <c r="CC145" s="637"/>
      <c r="CD145" s="448"/>
      <c r="CE145" s="448"/>
      <c r="CF145" s="448"/>
      <c r="CG145" s="450"/>
      <c r="CH145" s="450"/>
      <c r="CI145" s="462">
        <f>CI138/CI$141</f>
        <v>0.17969289019772824</v>
      </c>
      <c r="CJ145" s="463"/>
      <c r="CK145" s="463"/>
      <c r="CL145" s="463"/>
      <c r="CM145" s="301"/>
      <c r="CN145" s="301"/>
      <c r="CO145" s="301"/>
      <c r="CP145" s="367"/>
    </row>
    <row r="146" spans="1:94" ht="14.25" customHeight="1">
      <c r="B146" s="363" t="s">
        <v>346</v>
      </c>
      <c r="C146" s="455"/>
      <c r="D146" s="456"/>
      <c r="E146" s="450"/>
      <c r="F146" s="450"/>
      <c r="G146" s="457"/>
      <c r="H146" s="456"/>
      <c r="I146" s="450"/>
      <c r="J146" s="450"/>
      <c r="K146" s="457"/>
      <c r="L146" s="456"/>
      <c r="M146" s="450"/>
      <c r="N146" s="450"/>
      <c r="O146" s="457"/>
      <c r="P146" s="456"/>
      <c r="Q146" s="450"/>
      <c r="R146" s="450"/>
      <c r="S146" s="457"/>
      <c r="T146" s="456"/>
      <c r="U146" s="450"/>
      <c r="V146" s="450"/>
      <c r="W146" s="457"/>
      <c r="X146" s="456"/>
      <c r="Y146" s="450"/>
      <c r="Z146" s="450"/>
      <c r="AA146" s="457"/>
      <c r="AB146" s="456">
        <v>0.28999999999999998</v>
      </c>
      <c r="AC146" s="450">
        <v>0.31</v>
      </c>
      <c r="AD146" s="679">
        <v>0.24</v>
      </c>
      <c r="AE146" s="680">
        <f>AE139/AE$141</f>
        <v>0.43511326860841404</v>
      </c>
      <c r="AF146" s="456">
        <v>0.31</v>
      </c>
      <c r="AG146" s="450">
        <v>0.3</v>
      </c>
      <c r="AH146" s="450">
        <v>0.3</v>
      </c>
      <c r="AI146" s="458"/>
      <c r="AJ146" s="462">
        <v>0.3</v>
      </c>
      <c r="AK146" s="460"/>
      <c r="AL146" s="460"/>
      <c r="AM146" s="460"/>
      <c r="AN146" s="459"/>
      <c r="AO146" s="460"/>
      <c r="AP146" s="460"/>
      <c r="AQ146" s="458"/>
      <c r="AR146" s="459"/>
      <c r="AS146" s="460"/>
      <c r="AT146" s="460"/>
      <c r="AU146" s="458"/>
      <c r="AV146" s="459"/>
      <c r="AW146" s="460"/>
      <c r="AX146" s="460"/>
      <c r="AY146" s="458"/>
      <c r="AZ146" s="459"/>
      <c r="BA146" s="460"/>
      <c r="BB146" s="460"/>
      <c r="BC146" s="458"/>
      <c r="BD146" s="459"/>
      <c r="BE146" s="460"/>
      <c r="BF146" s="460"/>
      <c r="BG146" s="458"/>
      <c r="BH146" s="459"/>
      <c r="BI146" s="460"/>
      <c r="BJ146" s="460"/>
      <c r="BK146" s="458"/>
      <c r="BL146" s="447"/>
      <c r="BM146" s="448"/>
      <c r="BN146" s="448"/>
      <c r="BO146" s="448"/>
      <c r="BP146" s="448"/>
      <c r="BQ146" s="448"/>
      <c r="BR146" s="450">
        <v>0.37</v>
      </c>
      <c r="BS146" s="450">
        <v>0.32</v>
      </c>
      <c r="BT146" s="301"/>
      <c r="BU146" s="301"/>
      <c r="BV146" s="301"/>
      <c r="BW146" s="301"/>
      <c r="BX146" s="301"/>
      <c r="BY146" s="452"/>
      <c r="BZ146" s="452"/>
      <c r="CA146" s="461"/>
      <c r="CB146" s="1439"/>
      <c r="CC146" s="637"/>
      <c r="CD146" s="448"/>
      <c r="CE146" s="448"/>
      <c r="CF146" s="448"/>
      <c r="CG146" s="450"/>
      <c r="CH146" s="450"/>
      <c r="CI146" s="462"/>
      <c r="CJ146" s="463"/>
      <c r="CK146" s="463"/>
      <c r="CL146" s="463"/>
      <c r="CM146" s="301"/>
      <c r="CN146" s="301"/>
      <c r="CO146" s="301"/>
      <c r="CP146" s="367"/>
    </row>
    <row r="147" spans="1:94" ht="14.25" customHeight="1">
      <c r="B147" s="517" t="str">
        <f>B140</f>
        <v>Other customers</v>
      </c>
      <c r="C147" s="455"/>
      <c r="D147" s="462"/>
      <c r="E147" s="463"/>
      <c r="F147" s="463"/>
      <c r="G147" s="457"/>
      <c r="H147" s="462"/>
      <c r="I147" s="463"/>
      <c r="J147" s="463"/>
      <c r="K147" s="457"/>
      <c r="L147" s="462"/>
      <c r="M147" s="463"/>
      <c r="N147" s="463"/>
      <c r="O147" s="457"/>
      <c r="P147" s="462"/>
      <c r="Q147" s="463"/>
      <c r="R147" s="463"/>
      <c r="S147" s="457"/>
      <c r="T147" s="462"/>
      <c r="U147" s="463"/>
      <c r="V147" s="463"/>
      <c r="W147" s="457"/>
      <c r="X147" s="462"/>
      <c r="Y147" s="463"/>
      <c r="Z147" s="463"/>
      <c r="AA147" s="457"/>
      <c r="AB147" s="462">
        <f t="shared" ref="AB147:AG147" si="522">1-AB144</f>
        <v>0.38</v>
      </c>
      <c r="AC147" s="463">
        <f t="shared" si="522"/>
        <v>0.38</v>
      </c>
      <c r="AD147" s="463">
        <f t="shared" si="522"/>
        <v>0.43000000000000005</v>
      </c>
      <c r="AE147" s="457">
        <f t="shared" si="522"/>
        <v>0.33097087378640766</v>
      </c>
      <c r="AF147" s="462">
        <f t="shared" si="522"/>
        <v>0.32999999999999996</v>
      </c>
      <c r="AG147" s="463">
        <f t="shared" si="522"/>
        <v>0.37</v>
      </c>
      <c r="AH147" s="463">
        <f>1-AH144</f>
        <v>0.37</v>
      </c>
      <c r="AI147" s="458"/>
      <c r="AJ147" s="772">
        <f>1-AJ144</f>
        <v>0.37</v>
      </c>
      <c r="AK147" s="460"/>
      <c r="AL147" s="460"/>
      <c r="AM147" s="460"/>
      <c r="AN147" s="459"/>
      <c r="AO147" s="460"/>
      <c r="AP147" s="460"/>
      <c r="AQ147" s="458"/>
      <c r="AR147" s="459"/>
      <c r="AS147" s="460"/>
      <c r="AT147" s="460"/>
      <c r="AU147" s="458"/>
      <c r="AV147" s="459"/>
      <c r="AW147" s="460"/>
      <c r="AX147" s="460"/>
      <c r="AY147" s="458"/>
      <c r="AZ147" s="459"/>
      <c r="BA147" s="460"/>
      <c r="BB147" s="460"/>
      <c r="BC147" s="458"/>
      <c r="BD147" s="459"/>
      <c r="BE147" s="460"/>
      <c r="BF147" s="460"/>
      <c r="BG147" s="458"/>
      <c r="BH147" s="459"/>
      <c r="BI147" s="460"/>
      <c r="BJ147" s="460"/>
      <c r="BK147" s="458"/>
      <c r="BL147" s="447"/>
      <c r="BM147" s="301"/>
      <c r="BN147" s="241"/>
      <c r="BO147" s="241"/>
      <c r="BP147" s="241"/>
      <c r="BQ147" s="241"/>
      <c r="BR147" s="451">
        <f>1-BR144</f>
        <v>0.45999999999999996</v>
      </c>
      <c r="BS147" s="451">
        <f>1-BS144</f>
        <v>0.38</v>
      </c>
      <c r="BT147" s="301"/>
      <c r="BU147" s="301"/>
      <c r="BV147" s="301"/>
      <c r="BW147" s="301"/>
      <c r="BX147" s="301"/>
      <c r="BY147" s="452"/>
      <c r="BZ147" s="452"/>
      <c r="CA147" s="461"/>
      <c r="CB147" s="1439"/>
      <c r="CC147" s="629"/>
      <c r="CD147" s="241"/>
      <c r="CE147" s="241"/>
      <c r="CF147" s="241"/>
      <c r="CG147" s="451"/>
      <c r="CH147" s="451"/>
      <c r="CI147" s="772">
        <f>1-CI144</f>
        <v>0.3678838872528396</v>
      </c>
      <c r="CJ147" s="451"/>
      <c r="CK147" s="451"/>
      <c r="CL147" s="451"/>
      <c r="CM147" s="301"/>
      <c r="CN147" s="301"/>
      <c r="CO147" s="301"/>
      <c r="CP147" s="367"/>
    </row>
    <row r="148" spans="1:94" s="99" customFormat="1" ht="14.25" customHeight="1">
      <c r="B148" s="464" t="s">
        <v>214</v>
      </c>
      <c r="C148" s="429"/>
      <c r="D148" s="465"/>
      <c r="E148" s="466"/>
      <c r="F148" s="466"/>
      <c r="G148" s="467"/>
      <c r="H148" s="465"/>
      <c r="I148" s="466"/>
      <c r="J148" s="466"/>
      <c r="K148" s="467"/>
      <c r="L148" s="465"/>
      <c r="M148" s="466"/>
      <c r="N148" s="466"/>
      <c r="O148" s="467"/>
      <c r="P148" s="465"/>
      <c r="Q148" s="466"/>
      <c r="R148" s="466"/>
      <c r="S148" s="467"/>
      <c r="T148" s="465"/>
      <c r="U148" s="466"/>
      <c r="V148" s="466"/>
      <c r="W148" s="467"/>
      <c r="X148" s="465"/>
      <c r="Y148" s="466"/>
      <c r="Z148" s="466"/>
      <c r="AA148" s="467"/>
      <c r="AB148" s="465">
        <f t="shared" ref="AB148:AJ148" si="523">SUM(AB144,AB147)</f>
        <v>1</v>
      </c>
      <c r="AC148" s="466">
        <f t="shared" si="523"/>
        <v>1</v>
      </c>
      <c r="AD148" s="466">
        <f t="shared" si="523"/>
        <v>1</v>
      </c>
      <c r="AE148" s="467">
        <f t="shared" si="523"/>
        <v>1</v>
      </c>
      <c r="AF148" s="465">
        <f t="shared" si="523"/>
        <v>1</v>
      </c>
      <c r="AG148" s="466">
        <f t="shared" si="523"/>
        <v>1</v>
      </c>
      <c r="AH148" s="466">
        <f t="shared" si="523"/>
        <v>1</v>
      </c>
      <c r="AI148" s="468"/>
      <c r="AJ148" s="470">
        <f t="shared" si="523"/>
        <v>1</v>
      </c>
      <c r="AK148" s="470"/>
      <c r="AL148" s="470"/>
      <c r="AM148" s="470"/>
      <c r="AN148" s="469"/>
      <c r="AO148" s="470"/>
      <c r="AP148" s="470"/>
      <c r="AQ148" s="468"/>
      <c r="AR148" s="469"/>
      <c r="AS148" s="470"/>
      <c r="AT148" s="470"/>
      <c r="AU148" s="468"/>
      <c r="AV148" s="469"/>
      <c r="AW148" s="470"/>
      <c r="AX148" s="470"/>
      <c r="AY148" s="468"/>
      <c r="AZ148" s="469"/>
      <c r="BA148" s="470"/>
      <c r="BB148" s="470"/>
      <c r="BC148" s="468"/>
      <c r="BD148" s="469"/>
      <c r="BE148" s="470"/>
      <c r="BF148" s="470"/>
      <c r="BG148" s="468"/>
      <c r="BH148" s="469"/>
      <c r="BI148" s="470"/>
      <c r="BJ148" s="470"/>
      <c r="BK148" s="468"/>
      <c r="BL148" s="436"/>
      <c r="BM148" s="471"/>
      <c r="BN148" s="472"/>
      <c r="BO148" s="472"/>
      <c r="BP148" s="472"/>
      <c r="BQ148" s="472"/>
      <c r="BR148" s="472">
        <f>SUM(BR144,BR147)</f>
        <v>1</v>
      </c>
      <c r="BS148" s="472">
        <f>SUM(BS144,BS147)</f>
        <v>1</v>
      </c>
      <c r="BT148" s="471"/>
      <c r="BU148" s="471"/>
      <c r="BV148" s="471"/>
      <c r="BW148" s="471"/>
      <c r="BX148" s="471"/>
      <c r="BY148" s="834"/>
      <c r="BZ148" s="834"/>
      <c r="CA148" s="429"/>
      <c r="CB148" s="436"/>
      <c r="CC148" s="638"/>
      <c r="CD148" s="472"/>
      <c r="CE148" s="472"/>
      <c r="CF148" s="472"/>
      <c r="CG148" s="472"/>
      <c r="CH148" s="472"/>
      <c r="CI148" s="638">
        <f>SUM(CI144,CI147)</f>
        <v>1</v>
      </c>
      <c r="CJ148" s="472"/>
      <c r="CK148" s="472"/>
      <c r="CL148" s="472"/>
      <c r="CM148" s="471"/>
      <c r="CN148" s="471"/>
      <c r="CO148" s="471"/>
      <c r="CP148" s="587"/>
    </row>
    <row r="149" spans="1:94" ht="14.25" customHeight="1">
      <c r="B149" s="410"/>
      <c r="AR149" s="1125"/>
      <c r="AS149" s="1136"/>
      <c r="AT149" s="1197"/>
      <c r="AV149" s="1290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13"/>
      <c r="BY149" s="757"/>
      <c r="BZ149" s="757"/>
      <c r="CB149" s="410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13"/>
      <c r="CN149" s="13"/>
      <c r="CO149" s="13"/>
      <c r="CP149" s="13"/>
    </row>
    <row r="150" spans="1:94" ht="14.25" customHeight="1">
      <c r="B150" s="410"/>
      <c r="AR150" s="1125"/>
      <c r="AS150" s="1136"/>
      <c r="AT150" s="1197"/>
      <c r="AV150" s="1290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13"/>
      <c r="BY150" s="757"/>
      <c r="BZ150" s="757"/>
      <c r="CB150" s="410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13"/>
      <c r="CN150" s="13"/>
      <c r="CO150" s="13"/>
      <c r="CP150" s="13"/>
    </row>
    <row r="151" spans="1:94" ht="14.25" customHeight="1">
      <c r="B151" s="410"/>
      <c r="AR151" s="1125"/>
      <c r="AS151" s="1136"/>
      <c r="AT151" s="1197"/>
      <c r="AV151" s="1290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13"/>
      <c r="BY151" s="757"/>
      <c r="BZ151" s="757"/>
      <c r="CB151" s="410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13"/>
      <c r="CN151" s="13"/>
      <c r="CO151" s="13"/>
      <c r="CP151" s="13"/>
    </row>
    <row r="152" spans="1:94" ht="14.25" customHeight="1">
      <c r="A152" s="1"/>
      <c r="B152" s="146" t="s">
        <v>219</v>
      </c>
      <c r="C152" s="147"/>
      <c r="D152" s="333" t="str">
        <f t="shared" ref="D152:AI152" si="524">D161</f>
        <v>F1Q06</v>
      </c>
      <c r="E152" s="334" t="str">
        <f t="shared" si="524"/>
        <v>F2Q06</v>
      </c>
      <c r="F152" s="334" t="str">
        <f t="shared" si="524"/>
        <v>F3Q06</v>
      </c>
      <c r="G152" s="334" t="str">
        <f t="shared" si="524"/>
        <v>F4Q06</v>
      </c>
      <c r="H152" s="333" t="str">
        <f t="shared" si="524"/>
        <v>F1Q07</v>
      </c>
      <c r="I152" s="334" t="str">
        <f t="shared" si="524"/>
        <v>F2Q07</v>
      </c>
      <c r="J152" s="334" t="str">
        <f t="shared" si="524"/>
        <v>F3Q07</v>
      </c>
      <c r="K152" s="334" t="str">
        <f t="shared" si="524"/>
        <v>F4Q07</v>
      </c>
      <c r="L152" s="333" t="str">
        <f t="shared" si="524"/>
        <v>F1Q08</v>
      </c>
      <c r="M152" s="334" t="str">
        <f t="shared" si="524"/>
        <v>F2Q08</v>
      </c>
      <c r="N152" s="334" t="str">
        <f t="shared" si="524"/>
        <v>F3Q08</v>
      </c>
      <c r="O152" s="335" t="str">
        <f t="shared" si="524"/>
        <v>F4Q08</v>
      </c>
      <c r="P152" s="333" t="str">
        <f t="shared" si="524"/>
        <v>F1Q09</v>
      </c>
      <c r="Q152" s="334" t="str">
        <f t="shared" si="524"/>
        <v>F2Q09</v>
      </c>
      <c r="R152" s="334" t="str">
        <f t="shared" si="524"/>
        <v>F3Q09</v>
      </c>
      <c r="S152" s="335" t="str">
        <f t="shared" si="524"/>
        <v>F4Q09</v>
      </c>
      <c r="T152" s="333" t="str">
        <f t="shared" si="524"/>
        <v>F1Q10</v>
      </c>
      <c r="U152" s="334" t="str">
        <f t="shared" si="524"/>
        <v>F2Q10</v>
      </c>
      <c r="V152" s="334" t="str">
        <f t="shared" si="524"/>
        <v>F3Q10</v>
      </c>
      <c r="W152" s="335" t="str">
        <f t="shared" si="524"/>
        <v>F4Q10</v>
      </c>
      <c r="X152" s="340" t="str">
        <f t="shared" si="524"/>
        <v>F1Q11</v>
      </c>
      <c r="Y152" s="341" t="str">
        <f t="shared" si="524"/>
        <v>F2Q11</v>
      </c>
      <c r="Z152" s="341" t="str">
        <f t="shared" si="524"/>
        <v>F3Q11</v>
      </c>
      <c r="AA152" s="335" t="str">
        <f t="shared" si="524"/>
        <v>F4Q11</v>
      </c>
      <c r="AB152" s="340" t="str">
        <f t="shared" si="524"/>
        <v>F1Q12</v>
      </c>
      <c r="AC152" s="341" t="str">
        <f t="shared" si="524"/>
        <v>F2Q12</v>
      </c>
      <c r="AD152" s="341" t="str">
        <f t="shared" si="524"/>
        <v>F3Q12</v>
      </c>
      <c r="AE152" s="335" t="str">
        <f t="shared" si="524"/>
        <v>F4Q12</v>
      </c>
      <c r="AF152" s="341" t="str">
        <f t="shared" si="524"/>
        <v>F1Q13</v>
      </c>
      <c r="AG152" s="334" t="str">
        <f t="shared" si="524"/>
        <v>F2Q13</v>
      </c>
      <c r="AH152" s="334" t="str">
        <f t="shared" si="524"/>
        <v>F3Q13</v>
      </c>
      <c r="AI152" s="335" t="str">
        <f t="shared" si="524"/>
        <v>F4Q13</v>
      </c>
      <c r="AJ152" s="333" t="str">
        <f t="shared" ref="AJ152:BY152" si="525">AJ161</f>
        <v>F1Q14</v>
      </c>
      <c r="AK152" s="334" t="str">
        <f t="shared" si="525"/>
        <v>F2Q14A</v>
      </c>
      <c r="AL152" s="334" t="str">
        <f t="shared" si="525"/>
        <v>F3Q14A</v>
      </c>
      <c r="AM152" s="335" t="str">
        <f t="shared" si="525"/>
        <v>F4Q14A</v>
      </c>
      <c r="AN152" s="333" t="str">
        <f t="shared" si="525"/>
        <v>F1Q15A</v>
      </c>
      <c r="AO152" s="334" t="str">
        <f t="shared" si="525"/>
        <v>F2Q15A</v>
      </c>
      <c r="AP152" s="334" t="str">
        <f t="shared" si="525"/>
        <v>F3Q15A</v>
      </c>
      <c r="AQ152" s="335" t="str">
        <f t="shared" si="525"/>
        <v>F4Q15A</v>
      </c>
      <c r="AR152" s="333" t="str">
        <f t="shared" ref="AR152:AT152" si="526">AR161</f>
        <v>F1Q16A</v>
      </c>
      <c r="AS152" s="334" t="str">
        <f t="shared" si="526"/>
        <v>F2Q16A</v>
      </c>
      <c r="AT152" s="334" t="str">
        <f t="shared" si="526"/>
        <v>F3Q16A</v>
      </c>
      <c r="AU152" s="335" t="str">
        <f t="shared" si="525"/>
        <v>F4Q16A</v>
      </c>
      <c r="AV152" s="1246" t="str">
        <f t="shared" si="525"/>
        <v>F1Q17A</v>
      </c>
      <c r="AW152" s="1247" t="str">
        <f t="shared" si="525"/>
        <v>F2Q17A</v>
      </c>
      <c r="AX152" s="334" t="str">
        <f t="shared" si="525"/>
        <v>F3Q17A</v>
      </c>
      <c r="AY152" s="335" t="str">
        <f t="shared" si="525"/>
        <v>F4Q17A</v>
      </c>
      <c r="AZ152" s="333" t="str">
        <f t="shared" ref="AZ152:BC152" si="527">AZ161</f>
        <v>F1Q18A</v>
      </c>
      <c r="BA152" s="334" t="str">
        <f t="shared" si="527"/>
        <v>F2Q18E</v>
      </c>
      <c r="BB152" s="334" t="str">
        <f t="shared" si="527"/>
        <v>F3Q18E</v>
      </c>
      <c r="BC152" s="335" t="str">
        <f t="shared" si="527"/>
        <v>F4Q18E</v>
      </c>
      <c r="BD152" s="1246" t="str">
        <f t="shared" ref="BD152:BG152" si="528">BD161</f>
        <v>F1Q19E</v>
      </c>
      <c r="BE152" s="1247" t="str">
        <f t="shared" si="528"/>
        <v>F2Q19E</v>
      </c>
      <c r="BF152" s="1247" t="str">
        <f t="shared" si="528"/>
        <v>F3Q19E</v>
      </c>
      <c r="BG152" s="1248" t="str">
        <f t="shared" si="528"/>
        <v>F4Q19E</v>
      </c>
      <c r="BH152" s="1246" t="str">
        <f t="shared" ref="BH152:BK152" si="529">BH161</f>
        <v>F1Q20E</v>
      </c>
      <c r="BI152" s="1247" t="str">
        <f t="shared" si="529"/>
        <v>F2Q20E</v>
      </c>
      <c r="BJ152" s="1247" t="str">
        <f t="shared" si="529"/>
        <v>F3Q20E</v>
      </c>
      <c r="BK152" s="1248" t="str">
        <f t="shared" si="529"/>
        <v>F4Q20E</v>
      </c>
      <c r="BL152" s="778"/>
      <c r="BM152" s="334" t="str">
        <f t="shared" si="525"/>
        <v>FY2006</v>
      </c>
      <c r="BN152" s="334" t="str">
        <f t="shared" si="525"/>
        <v>FY2007</v>
      </c>
      <c r="BO152" s="334" t="str">
        <f t="shared" si="525"/>
        <v>FY2008</v>
      </c>
      <c r="BP152" s="334" t="str">
        <f t="shared" si="525"/>
        <v>FY2009</v>
      </c>
      <c r="BQ152" s="334" t="str">
        <f t="shared" si="525"/>
        <v>FY2010</v>
      </c>
      <c r="BR152" s="334" t="str">
        <f t="shared" si="525"/>
        <v>FY2011</v>
      </c>
      <c r="BS152" s="334" t="str">
        <f t="shared" si="525"/>
        <v>FY2012</v>
      </c>
      <c r="BT152" s="334" t="str">
        <f t="shared" si="525"/>
        <v>FY2013</v>
      </c>
      <c r="BU152" s="334" t="str">
        <f t="shared" si="525"/>
        <v>FY2014A</v>
      </c>
      <c r="BV152" s="334" t="str">
        <f t="shared" si="525"/>
        <v>FY2015A</v>
      </c>
      <c r="BW152" s="334" t="str">
        <f t="shared" si="525"/>
        <v>FY2016A</v>
      </c>
      <c r="BX152" s="334" t="str">
        <f t="shared" si="525"/>
        <v>FY2017A</v>
      </c>
      <c r="BY152" s="1247" t="str">
        <f t="shared" si="525"/>
        <v>FY2018E</v>
      </c>
      <c r="BZ152" s="1247" t="str">
        <f t="shared" ref="BZ152" si="530">BZ161</f>
        <v>FY2019E</v>
      </c>
      <c r="CA152" s="1248" t="str">
        <f t="shared" ref="CA152" si="531">CA161</f>
        <v>FY2020E</v>
      </c>
      <c r="CB152" s="1440"/>
      <c r="CC152" s="333" t="str">
        <f t="shared" ref="CC152:CM152" si="532">CC161</f>
        <v>CY2006</v>
      </c>
      <c r="CD152" s="334" t="str">
        <f t="shared" si="532"/>
        <v>CY2007</v>
      </c>
      <c r="CE152" s="334" t="str">
        <f t="shared" si="532"/>
        <v>CY2008</v>
      </c>
      <c r="CF152" s="334" t="str">
        <f t="shared" si="532"/>
        <v>CY2009</v>
      </c>
      <c r="CG152" s="334" t="str">
        <f t="shared" si="532"/>
        <v>CY2010</v>
      </c>
      <c r="CH152" s="334" t="str">
        <f t="shared" si="532"/>
        <v>CY2011</v>
      </c>
      <c r="CI152" s="333" t="str">
        <f t="shared" si="532"/>
        <v>CY2012</v>
      </c>
      <c r="CJ152" s="334" t="str">
        <f t="shared" si="532"/>
        <v>CY2013</v>
      </c>
      <c r="CK152" s="334" t="str">
        <f t="shared" si="532"/>
        <v>CY2014A</v>
      </c>
      <c r="CL152" s="334" t="str">
        <f t="shared" si="532"/>
        <v>CY2015A</v>
      </c>
      <c r="CM152" s="334" t="str">
        <f t="shared" si="532"/>
        <v>CY2016A</v>
      </c>
      <c r="CN152" s="1247" t="str">
        <f t="shared" ref="CN152:CO152" si="533">CN161</f>
        <v>CY2017A</v>
      </c>
      <c r="CO152" s="1247" t="str">
        <f t="shared" si="533"/>
        <v>CY2018E</v>
      </c>
      <c r="CP152" s="1248" t="str">
        <f t="shared" ref="CP152" si="534">CP161</f>
        <v>CY2019E</v>
      </c>
    </row>
    <row r="153" spans="1:94" ht="14.25" customHeight="1">
      <c r="B153" s="439" t="s">
        <v>242</v>
      </c>
      <c r="C153" s="440"/>
      <c r="D153" s="474"/>
      <c r="E153" s="475"/>
      <c r="F153" s="475"/>
      <c r="G153" s="476"/>
      <c r="H153" s="474"/>
      <c r="I153" s="475"/>
      <c r="J153" s="413"/>
      <c r="K153" s="423"/>
      <c r="L153" s="422"/>
      <c r="M153" s="851">
        <v>322</v>
      </c>
      <c r="N153" s="851">
        <v>306</v>
      </c>
      <c r="O153" s="852">
        <v>335</v>
      </c>
      <c r="P153" s="853">
        <v>239</v>
      </c>
      <c r="Q153" s="854">
        <v>207</v>
      </c>
      <c r="R153" s="854">
        <v>231</v>
      </c>
      <c r="S153" s="855">
        <v>266</v>
      </c>
      <c r="T153" s="853">
        <v>275</v>
      </c>
      <c r="U153" s="854">
        <v>286</v>
      </c>
      <c r="V153" s="854">
        <v>272</v>
      </c>
      <c r="W153" s="856">
        <v>242</v>
      </c>
      <c r="X153" s="853">
        <v>248</v>
      </c>
      <c r="Y153" s="854">
        <v>336</v>
      </c>
      <c r="Z153" s="854">
        <v>359</v>
      </c>
      <c r="AA153" s="856">
        <v>402.56449999999995</v>
      </c>
      <c r="AB153" s="853">
        <v>388.5</v>
      </c>
      <c r="AC153" s="854">
        <v>488.46899999999999</v>
      </c>
      <c r="AD153" s="854">
        <v>534.6</v>
      </c>
      <c r="AE153" s="856">
        <v>492.6</v>
      </c>
      <c r="AF153" s="857">
        <v>478.73100000000017</v>
      </c>
      <c r="AG153" s="858">
        <v>438</v>
      </c>
      <c r="AH153" s="858">
        <v>457</v>
      </c>
      <c r="AI153" s="859">
        <v>469.60899999999998</v>
      </c>
      <c r="AJ153" s="1189"/>
      <c r="AK153" s="1188"/>
      <c r="AL153" s="815">
        <f>AL172*$AL$113</f>
        <v>411.84000000000003</v>
      </c>
      <c r="AM153" s="876">
        <f>AM172*$AM$158</f>
        <v>466.9</v>
      </c>
      <c r="AN153" s="875">
        <f>AN172*$AN$158</f>
        <v>480.53</v>
      </c>
      <c r="AO153" s="815">
        <f>AO172*$AO$158</f>
        <v>460.6</v>
      </c>
      <c r="AP153" s="815">
        <f>AP172*$AP$158</f>
        <v>595</v>
      </c>
      <c r="AQ153" s="876">
        <f>AQ172*$AQ$158</f>
        <v>648.54999999999995</v>
      </c>
      <c r="AR153" s="875">
        <f>AR172*$AR$158</f>
        <v>677.16</v>
      </c>
      <c r="AS153" s="815">
        <f>AS172*$AS$158</f>
        <v>997.36000000000013</v>
      </c>
      <c r="AT153" s="815">
        <f>AT172*$AP$158</f>
        <v>595</v>
      </c>
      <c r="AU153" s="876">
        <f>AU172*$AQ$158</f>
        <v>259.42</v>
      </c>
      <c r="AV153" s="875"/>
      <c r="AW153" s="815"/>
      <c r="AX153" s="480"/>
      <c r="AY153" s="478"/>
      <c r="AZ153" s="479"/>
      <c r="BA153" s="480"/>
      <c r="BB153" s="480"/>
      <c r="BC153" s="478"/>
      <c r="BD153" s="479"/>
      <c r="BE153" s="480"/>
      <c r="BF153" s="480"/>
      <c r="BG153" s="478"/>
      <c r="BH153" s="479"/>
      <c r="BI153" s="480"/>
      <c r="BJ153" s="480"/>
      <c r="BK153" s="478"/>
      <c r="BL153" s="447"/>
      <c r="BM153" s="419"/>
      <c r="BN153" s="419"/>
      <c r="BO153" s="419">
        <f>SUM(L153:O153)</f>
        <v>963</v>
      </c>
      <c r="BP153" s="420">
        <f>SUM(P153:S153)</f>
        <v>943</v>
      </c>
      <c r="BQ153" s="420">
        <f>SUM(T153:W153)</f>
        <v>1075</v>
      </c>
      <c r="BR153" s="420">
        <f>SUM(X153:AA153)</f>
        <v>1345.5645</v>
      </c>
      <c r="BS153" s="420">
        <f>SUM(AB153:AE153)</f>
        <v>1904.1689999999999</v>
      </c>
      <c r="BT153" s="419"/>
      <c r="BU153" s="419"/>
      <c r="BV153" s="419"/>
      <c r="BW153" s="419"/>
      <c r="BX153" s="419"/>
      <c r="BY153" s="641"/>
      <c r="BZ153" s="641"/>
      <c r="CA153" s="440"/>
      <c r="CB153" s="447"/>
      <c r="CC153" s="635"/>
      <c r="CD153" s="419"/>
      <c r="CE153" s="420">
        <f>SUM(M153:P153)</f>
        <v>1202</v>
      </c>
      <c r="CF153" s="420">
        <f>SUM(Q153:T153)</f>
        <v>979</v>
      </c>
      <c r="CG153" s="420">
        <f>SUM(U153:X153)</f>
        <v>1048</v>
      </c>
      <c r="CH153" s="420">
        <f>SUM(Y153:AB153)</f>
        <v>1486.0645</v>
      </c>
      <c r="CI153" s="635">
        <f>SUM(AC153:AF153)</f>
        <v>1994.4</v>
      </c>
      <c r="CJ153" s="419"/>
      <c r="CK153" s="419"/>
      <c r="CL153" s="419"/>
      <c r="CM153" s="419"/>
      <c r="CN153" s="419"/>
      <c r="CO153" s="419"/>
      <c r="CP153" s="585"/>
    </row>
    <row r="154" spans="1:94" ht="14.25" customHeight="1">
      <c r="B154" s="21" t="s">
        <v>158</v>
      </c>
      <c r="C154" s="455"/>
      <c r="D154" s="482"/>
      <c r="E154" s="483"/>
      <c r="F154" s="483"/>
      <c r="G154" s="476"/>
      <c r="H154" s="482"/>
      <c r="I154" s="483"/>
      <c r="J154" s="423"/>
      <c r="K154" s="423"/>
      <c r="L154" s="422">
        <v>112.56000000000002</v>
      </c>
      <c r="M154" s="423">
        <v>119.19</v>
      </c>
      <c r="N154" s="423">
        <v>136.09</v>
      </c>
      <c r="O154" s="424">
        <v>151.98000000000002</v>
      </c>
      <c r="P154" s="482">
        <v>124</v>
      </c>
      <c r="Q154" s="483">
        <v>141</v>
      </c>
      <c r="R154" s="483">
        <v>168</v>
      </c>
      <c r="S154" s="476">
        <v>189</v>
      </c>
      <c r="T154" s="484">
        <v>173</v>
      </c>
      <c r="U154" s="483">
        <v>197</v>
      </c>
      <c r="V154" s="483">
        <v>207</v>
      </c>
      <c r="W154" s="476">
        <v>219</v>
      </c>
      <c r="X154" s="482">
        <v>202</v>
      </c>
      <c r="Y154" s="483">
        <v>203</v>
      </c>
      <c r="Z154" s="483">
        <v>223</v>
      </c>
      <c r="AA154" s="476">
        <v>259</v>
      </c>
      <c r="AB154" s="482">
        <v>254</v>
      </c>
      <c r="AC154" s="483">
        <v>255</v>
      </c>
      <c r="AD154" s="483">
        <v>241</v>
      </c>
      <c r="AE154" s="476">
        <v>314</v>
      </c>
      <c r="AF154" s="483">
        <v>308</v>
      </c>
      <c r="AG154" s="483">
        <v>279</v>
      </c>
      <c r="AH154" s="483">
        <v>288</v>
      </c>
      <c r="AI154" s="483">
        <v>346.86</v>
      </c>
      <c r="AJ154" s="877">
        <f t="shared" ref="AJ154:AJ157" si="535">AJ173*$AJ$113</f>
        <v>349</v>
      </c>
      <c r="AK154" s="814">
        <f t="shared" ref="AK154:AK155" si="536">AK173*$AK$113</f>
        <v>350.5</v>
      </c>
      <c r="AL154" s="814">
        <f>AL173*$AL$113</f>
        <v>360.36</v>
      </c>
      <c r="AM154" s="878">
        <f t="shared" ref="AM154:AM155" si="537">AM173*$AM$158</f>
        <v>644</v>
      </c>
      <c r="AN154" s="877">
        <f t="shared" ref="AN154:AN155" si="538">AN173*$AN$158</f>
        <v>662.80000000000007</v>
      </c>
      <c r="AO154" s="814">
        <f t="shared" ref="AO154:AO155" si="539">AO173*$AO$158</f>
        <v>575.75</v>
      </c>
      <c r="AP154" s="814">
        <f t="shared" ref="AP154:AP155" si="540">AP173*$AP$158</f>
        <v>612.5</v>
      </c>
      <c r="AQ154" s="878">
        <f t="shared" ref="AQ154:AQ155" si="541">AQ173*$AQ$158</f>
        <v>685.61</v>
      </c>
      <c r="AR154" s="877">
        <f t="shared" ref="AR154:AR155" si="542">AR173*$AR$158</f>
        <v>588.06000000000006</v>
      </c>
      <c r="AS154" s="814">
        <f t="shared" ref="AS154:AS155" si="543">AS173*$AS$158</f>
        <v>1246.6999999999998</v>
      </c>
      <c r="AT154" s="814">
        <f t="shared" ref="AT154:AT155" si="544">AT173*$AP$158</f>
        <v>612.5</v>
      </c>
      <c r="AU154" s="878">
        <f t="shared" ref="AU154:AU155" si="545">AU173*$AQ$158</f>
        <v>592.96</v>
      </c>
      <c r="AV154" s="877"/>
      <c r="AW154" s="814"/>
      <c r="AX154" s="487"/>
      <c r="AY154" s="485"/>
      <c r="AZ154" s="486"/>
      <c r="BA154" s="487"/>
      <c r="BB154" s="487"/>
      <c r="BC154" s="485"/>
      <c r="BD154" s="486"/>
      <c r="BE154" s="487"/>
      <c r="BF154" s="487"/>
      <c r="BG154" s="485"/>
      <c r="BH154" s="486"/>
      <c r="BI154" s="487"/>
      <c r="BJ154" s="487"/>
      <c r="BK154" s="485"/>
      <c r="BL154" s="447"/>
      <c r="BM154" s="419"/>
      <c r="BN154" s="419"/>
      <c r="BO154" s="419">
        <f>SUM(L154:O154)</f>
        <v>519.82000000000005</v>
      </c>
      <c r="BP154" s="419">
        <f>SUM(P154:S154)</f>
        <v>622</v>
      </c>
      <c r="BQ154" s="419">
        <f>SUM(T154:W154)</f>
        <v>796</v>
      </c>
      <c r="BR154" s="419">
        <f>SUM(X154:AA154)</f>
        <v>887</v>
      </c>
      <c r="BS154" s="419">
        <f>SUM(AB154:AE154)</f>
        <v>1064</v>
      </c>
      <c r="BT154" s="419"/>
      <c r="BU154" s="419"/>
      <c r="BV154" s="419"/>
      <c r="BW154" s="419"/>
      <c r="BX154" s="419"/>
      <c r="BY154" s="410"/>
      <c r="BZ154" s="410"/>
      <c r="CA154" s="455"/>
      <c r="CB154" s="447"/>
      <c r="CC154" s="635"/>
      <c r="CD154" s="419"/>
      <c r="CE154" s="419">
        <f>SUM(M154:P154)</f>
        <v>531.26</v>
      </c>
      <c r="CF154" s="419">
        <f>SUM(Q154:T154)</f>
        <v>671</v>
      </c>
      <c r="CG154" s="419">
        <f>SUM(U154:X154)</f>
        <v>825</v>
      </c>
      <c r="CH154" s="419">
        <f>SUM(Y154:AB154)</f>
        <v>939</v>
      </c>
      <c r="CI154" s="635">
        <f>SUM(AC154:AF154)</f>
        <v>1118</v>
      </c>
      <c r="CJ154" s="419"/>
      <c r="CK154" s="419"/>
      <c r="CL154" s="419"/>
      <c r="CM154" s="419"/>
      <c r="CN154" s="419"/>
      <c r="CO154" s="419"/>
      <c r="CP154" s="585"/>
    </row>
    <row r="155" spans="1:94" ht="14.25" customHeight="1">
      <c r="B155" s="21" t="s">
        <v>15</v>
      </c>
      <c r="C155" s="455"/>
      <c r="D155" s="482"/>
      <c r="E155" s="483"/>
      <c r="F155" s="483"/>
      <c r="G155" s="476"/>
      <c r="H155" s="482"/>
      <c r="I155" s="483"/>
      <c r="J155" s="423"/>
      <c r="K155" s="423"/>
      <c r="L155" s="422">
        <v>116.58</v>
      </c>
      <c r="M155" s="423">
        <v>241.89</v>
      </c>
      <c r="N155" s="423">
        <v>258.52999999999997</v>
      </c>
      <c r="O155" s="424">
        <v>253.75</v>
      </c>
      <c r="P155" s="482">
        <v>217</v>
      </c>
      <c r="Q155" s="483">
        <v>186</v>
      </c>
      <c r="R155" s="483">
        <v>186</v>
      </c>
      <c r="S155" s="476">
        <v>199</v>
      </c>
      <c r="T155" s="484">
        <v>215</v>
      </c>
      <c r="U155" s="483">
        <v>237</v>
      </c>
      <c r="V155" s="483">
        <v>245</v>
      </c>
      <c r="W155" s="476">
        <v>262</v>
      </c>
      <c r="X155" s="482">
        <v>272</v>
      </c>
      <c r="Y155" s="483">
        <v>272</v>
      </c>
      <c r="Z155" s="483">
        <v>286</v>
      </c>
      <c r="AA155" s="476">
        <v>294</v>
      </c>
      <c r="AB155" s="482">
        <v>269.3</v>
      </c>
      <c r="AC155" s="483">
        <v>275.02199999999999</v>
      </c>
      <c r="AD155" s="483">
        <v>271.93594999999999</v>
      </c>
      <c r="AE155" s="476">
        <v>264.84899999999999</v>
      </c>
      <c r="AF155" s="483">
        <v>238.39305000000002</v>
      </c>
      <c r="AG155" s="483">
        <v>246</v>
      </c>
      <c r="AH155" s="483">
        <v>307.18299999999999</v>
      </c>
      <c r="AI155" s="483">
        <v>352.37300000000005</v>
      </c>
      <c r="AJ155" s="877">
        <f t="shared" si="535"/>
        <v>172.14</v>
      </c>
      <c r="AK155" s="814">
        <f t="shared" si="536"/>
        <v>217.31</v>
      </c>
      <c r="AL155" s="814">
        <f>AL174*$AL$113</f>
        <v>347.49</v>
      </c>
      <c r="AM155" s="878">
        <f t="shared" si="537"/>
        <v>354.2</v>
      </c>
      <c r="AN155" s="877">
        <f t="shared" si="538"/>
        <v>347.96999999999997</v>
      </c>
      <c r="AO155" s="814">
        <f t="shared" si="539"/>
        <v>378.35</v>
      </c>
      <c r="AP155" s="814">
        <f t="shared" si="540"/>
        <v>367.5</v>
      </c>
      <c r="AQ155" s="878">
        <f t="shared" si="541"/>
        <v>370.6</v>
      </c>
      <c r="AR155" s="877">
        <f t="shared" si="542"/>
        <v>392.04</v>
      </c>
      <c r="AS155" s="814">
        <f t="shared" si="543"/>
        <v>819.26</v>
      </c>
      <c r="AT155" s="814">
        <f t="shared" si="544"/>
        <v>367.5</v>
      </c>
      <c r="AU155" s="878">
        <f t="shared" si="545"/>
        <v>926.5</v>
      </c>
      <c r="AV155" s="877"/>
      <c r="AW155" s="814"/>
      <c r="AX155" s="487"/>
      <c r="AY155" s="485"/>
      <c r="AZ155" s="486"/>
      <c r="BA155" s="487"/>
      <c r="BB155" s="487"/>
      <c r="BC155" s="485"/>
      <c r="BD155" s="486"/>
      <c r="BE155" s="487"/>
      <c r="BF155" s="487"/>
      <c r="BG155" s="485"/>
      <c r="BH155" s="486"/>
      <c r="BI155" s="487"/>
      <c r="BJ155" s="487"/>
      <c r="BK155" s="485"/>
      <c r="BL155" s="447"/>
      <c r="BM155" s="419"/>
      <c r="BN155" s="419"/>
      <c r="BO155" s="419">
        <f>SUM(L155:O155)</f>
        <v>870.75</v>
      </c>
      <c r="BP155" s="419">
        <f>SUM(P155:S155)</f>
        <v>788</v>
      </c>
      <c r="BQ155" s="419">
        <f>SUM(T155:W155)</f>
        <v>959</v>
      </c>
      <c r="BR155" s="419">
        <f>SUM(X155:AA155)</f>
        <v>1124</v>
      </c>
      <c r="BS155" s="419">
        <f>SUM(AB155:AE155)</f>
        <v>1081.1069499999999</v>
      </c>
      <c r="BT155" s="419"/>
      <c r="BU155" s="419"/>
      <c r="BV155" s="419"/>
      <c r="BW155" s="419"/>
      <c r="BX155" s="419"/>
      <c r="BY155" s="410"/>
      <c r="BZ155" s="410"/>
      <c r="CA155" s="455"/>
      <c r="CB155" s="447"/>
      <c r="CC155" s="635"/>
      <c r="CD155" s="419"/>
      <c r="CE155" s="419">
        <f>SUM(M155:P155)</f>
        <v>971.17</v>
      </c>
      <c r="CF155" s="419">
        <f>SUM(Q155:T155)</f>
        <v>786</v>
      </c>
      <c r="CG155" s="419">
        <f>SUM(U155:X155)</f>
        <v>1016</v>
      </c>
      <c r="CH155" s="419">
        <f>SUM(Y155:AB155)</f>
        <v>1121.3</v>
      </c>
      <c r="CI155" s="635">
        <f>SUM(AC155:AF155)</f>
        <v>1050.1999999999998</v>
      </c>
      <c r="CJ155" s="419"/>
      <c r="CK155" s="419"/>
      <c r="CL155" s="419"/>
      <c r="CM155" s="419"/>
      <c r="CN155" s="419"/>
      <c r="CO155" s="419"/>
      <c r="CP155" s="585"/>
    </row>
    <row r="156" spans="1:94" ht="14.25" customHeight="1">
      <c r="B156" s="21" t="s">
        <v>16</v>
      </c>
      <c r="C156" s="455"/>
      <c r="D156" s="482"/>
      <c r="E156" s="483"/>
      <c r="F156" s="483"/>
      <c r="G156" s="476"/>
      <c r="H156" s="482"/>
      <c r="I156" s="483"/>
      <c r="J156" s="423"/>
      <c r="K156" s="423"/>
      <c r="L156" s="422">
        <v>120.6</v>
      </c>
      <c r="M156" s="423">
        <v>127.41</v>
      </c>
      <c r="N156" s="423">
        <v>136.09</v>
      </c>
      <c r="O156" s="424">
        <v>129.63</v>
      </c>
      <c r="P156" s="482">
        <v>104</v>
      </c>
      <c r="Q156" s="483">
        <v>66</v>
      </c>
      <c r="R156" s="483">
        <v>70</v>
      </c>
      <c r="S156" s="476">
        <v>92</v>
      </c>
      <c r="T156" s="484">
        <v>117</v>
      </c>
      <c r="U156" s="483">
        <v>147</v>
      </c>
      <c r="V156" s="483">
        <v>170</v>
      </c>
      <c r="W156" s="476">
        <v>171</v>
      </c>
      <c r="X156" s="482">
        <v>166</v>
      </c>
      <c r="Y156" s="483">
        <v>167</v>
      </c>
      <c r="Z156" s="483">
        <v>178</v>
      </c>
      <c r="AA156" s="476">
        <v>161</v>
      </c>
      <c r="AB156" s="482">
        <v>114</v>
      </c>
      <c r="AC156" s="483">
        <v>124</v>
      </c>
      <c r="AD156" s="483">
        <v>148</v>
      </c>
      <c r="AE156" s="476">
        <v>132</v>
      </c>
      <c r="AF156" s="483">
        <v>125</v>
      </c>
      <c r="AG156" s="483">
        <v>130</v>
      </c>
      <c r="AH156" s="483">
        <v>154</v>
      </c>
      <c r="AI156" s="483">
        <v>147.6</v>
      </c>
      <c r="AJ156" s="877">
        <f t="shared" si="535"/>
        <v>55.86</v>
      </c>
      <c r="AK156" s="814">
        <f>AK176*$AK$113</f>
        <v>133.19</v>
      </c>
      <c r="AL156" s="814">
        <f>AL176*$AL$113</f>
        <v>167.31</v>
      </c>
      <c r="AM156" s="878">
        <f>AM176*$AM$158</f>
        <v>144.9</v>
      </c>
      <c r="AN156" s="877">
        <f>AN176*$AN$158</f>
        <v>165.70000000000002</v>
      </c>
      <c r="AO156" s="814">
        <f>AO176*$AO$158</f>
        <v>230.3</v>
      </c>
      <c r="AP156" s="814">
        <f>AP176*$AP$158</f>
        <v>175</v>
      </c>
      <c r="AQ156" s="878">
        <f>AQ176*$AQ$158</f>
        <v>148.24</v>
      </c>
      <c r="AR156" s="877">
        <f>AR176*$AR$158</f>
        <v>124.74000000000001</v>
      </c>
      <c r="AS156" s="814">
        <f>AS176*$AS$158</f>
        <v>498.68000000000006</v>
      </c>
      <c r="AT156" s="814">
        <f>AT176*$AP$158</f>
        <v>175</v>
      </c>
      <c r="AU156" s="878">
        <f>AU176*$AQ$158</f>
        <v>74.12</v>
      </c>
      <c r="AV156" s="877"/>
      <c r="AW156" s="814"/>
      <c r="AX156" s="487"/>
      <c r="AY156" s="485"/>
      <c r="AZ156" s="486"/>
      <c r="BA156" s="487"/>
      <c r="BB156" s="487"/>
      <c r="BC156" s="485"/>
      <c r="BD156" s="486"/>
      <c r="BE156" s="487"/>
      <c r="BF156" s="487"/>
      <c r="BG156" s="485"/>
      <c r="BH156" s="486"/>
      <c r="BI156" s="487"/>
      <c r="BJ156" s="487"/>
      <c r="BK156" s="485"/>
      <c r="BL156" s="447"/>
      <c r="BM156" s="419"/>
      <c r="BN156" s="419"/>
      <c r="BO156" s="419">
        <f>SUM(L156:O156)</f>
        <v>513.73</v>
      </c>
      <c r="BP156" s="419">
        <f>SUM(P156:S156)</f>
        <v>332</v>
      </c>
      <c r="BQ156" s="419">
        <f>SUM(T156:W156)</f>
        <v>605</v>
      </c>
      <c r="BR156" s="419">
        <f>SUM(X156:AA156)</f>
        <v>672</v>
      </c>
      <c r="BS156" s="419">
        <f>SUM(AB156:AE156)</f>
        <v>518</v>
      </c>
      <c r="BT156" s="419"/>
      <c r="BU156" s="419"/>
      <c r="BV156" s="419"/>
      <c r="BW156" s="419"/>
      <c r="BX156" s="419"/>
      <c r="BY156" s="410"/>
      <c r="BZ156" s="410"/>
      <c r="CA156" s="455"/>
      <c r="CB156" s="447"/>
      <c r="CC156" s="635"/>
      <c r="CD156" s="419"/>
      <c r="CE156" s="419">
        <f>SUM(M156:P156)</f>
        <v>497.13</v>
      </c>
      <c r="CF156" s="419">
        <f>SUM(Q156:T156)</f>
        <v>345</v>
      </c>
      <c r="CG156" s="419">
        <f>SUM(U156:X156)</f>
        <v>654</v>
      </c>
      <c r="CH156" s="419">
        <f>SUM(Y156:AB156)</f>
        <v>620</v>
      </c>
      <c r="CI156" s="635">
        <f>SUM(AC156:AF156)</f>
        <v>529</v>
      </c>
      <c r="CJ156" s="419"/>
      <c r="CK156" s="419"/>
      <c r="CL156" s="419"/>
      <c r="CM156" s="419"/>
      <c r="CN156" s="419"/>
      <c r="CO156" s="419"/>
      <c r="CP156" s="585"/>
    </row>
    <row r="157" spans="1:94" ht="14.25" customHeight="1">
      <c r="B157" s="21"/>
      <c r="C157" s="455"/>
      <c r="D157" s="482"/>
      <c r="E157" s="483"/>
      <c r="F157" s="483"/>
      <c r="G157" s="492"/>
      <c r="H157" s="482"/>
      <c r="I157" s="483"/>
      <c r="J157" s="423"/>
      <c r="K157" s="423"/>
      <c r="L157" s="422">
        <v>0</v>
      </c>
      <c r="M157" s="423">
        <v>14</v>
      </c>
      <c r="N157" s="423">
        <v>16</v>
      </c>
      <c r="O157" s="424">
        <v>23</v>
      </c>
      <c r="P157" s="482">
        <v>21</v>
      </c>
      <c r="Q157" s="483">
        <v>22</v>
      </c>
      <c r="R157" s="483">
        <v>14</v>
      </c>
      <c r="S157" s="476">
        <v>11</v>
      </c>
      <c r="T157" s="482">
        <v>11</v>
      </c>
      <c r="U157" s="483">
        <v>16</v>
      </c>
      <c r="V157" s="483">
        <v>23</v>
      </c>
      <c r="W157" s="476">
        <v>29</v>
      </c>
      <c r="X157" s="482">
        <v>25</v>
      </c>
      <c r="Y157" s="483">
        <v>25</v>
      </c>
      <c r="Z157" s="483">
        <v>24</v>
      </c>
      <c r="AA157" s="476">
        <v>27.345500000000001</v>
      </c>
      <c r="AB157" s="482">
        <v>27.34</v>
      </c>
      <c r="AC157" s="483">
        <v>26.933</v>
      </c>
      <c r="AD157" s="483">
        <v>26.037049999999965</v>
      </c>
      <c r="AE157" s="476">
        <v>25.513000000000002</v>
      </c>
      <c r="AF157" s="483">
        <v>26.01695000000003</v>
      </c>
      <c r="AG157" s="483">
        <v>38</v>
      </c>
      <c r="AH157" s="483">
        <v>28.4</v>
      </c>
      <c r="AI157" s="483">
        <v>28.501000000000001</v>
      </c>
      <c r="AJ157" s="877">
        <f t="shared" si="535"/>
        <v>132</v>
      </c>
      <c r="AK157" s="757"/>
      <c r="AL157" s="757"/>
      <c r="AM157" s="763"/>
      <c r="AN157" s="764"/>
      <c r="AO157" s="757"/>
      <c r="AP157" s="757"/>
      <c r="AQ157" s="763"/>
      <c r="AR157" s="764"/>
      <c r="AS157" s="757"/>
      <c r="AT157" s="757"/>
      <c r="AU157" s="763"/>
      <c r="AV157" s="764"/>
      <c r="AW157" s="757"/>
      <c r="AX157" s="487"/>
      <c r="AY157" s="485"/>
      <c r="AZ157" s="486"/>
      <c r="BA157" s="487"/>
      <c r="BB157" s="487"/>
      <c r="BC157" s="485"/>
      <c r="BD157" s="486"/>
      <c r="BE157" s="487"/>
      <c r="BF157" s="487"/>
      <c r="BG157" s="485"/>
      <c r="BH157" s="486"/>
      <c r="BI157" s="487"/>
      <c r="BJ157" s="487"/>
      <c r="BK157" s="485"/>
      <c r="BL157" s="447"/>
      <c r="BM157" s="419"/>
      <c r="BN157" s="419"/>
      <c r="BO157" s="419">
        <f>SUM(L157:O157)</f>
        <v>53</v>
      </c>
      <c r="BP157" s="419">
        <f>SUM(P157:S157)</f>
        <v>68</v>
      </c>
      <c r="BQ157" s="419">
        <f>SUM(T157:W157)</f>
        <v>79</v>
      </c>
      <c r="BR157" s="419">
        <f>SUM(X157:AA157)</f>
        <v>101.3455</v>
      </c>
      <c r="BS157" s="419">
        <f>SUM(AB157:AE157)</f>
        <v>105.82304999999997</v>
      </c>
      <c r="BT157" s="419"/>
      <c r="BU157" s="419"/>
      <c r="BV157" s="419"/>
      <c r="BW157" s="419"/>
      <c r="BX157" s="419"/>
      <c r="BY157" s="410"/>
      <c r="BZ157" s="410"/>
      <c r="CA157" s="455"/>
      <c r="CB157" s="447"/>
      <c r="CC157" s="635"/>
      <c r="CD157" s="419"/>
      <c r="CE157" s="419">
        <f>SUM(M157:P157)</f>
        <v>74</v>
      </c>
      <c r="CF157" s="419">
        <f>SUM(Q157:T157)</f>
        <v>58</v>
      </c>
      <c r="CG157" s="419">
        <f>SUM(U157:X157)</f>
        <v>93</v>
      </c>
      <c r="CH157" s="419">
        <f>SUM(Y157:AB157)</f>
        <v>103.6855</v>
      </c>
      <c r="CI157" s="635">
        <f>SUM(AC157:AF157)</f>
        <v>104.5</v>
      </c>
      <c r="CJ157" s="419"/>
      <c r="CK157" s="419"/>
      <c r="CL157" s="419"/>
      <c r="CM157" s="419"/>
      <c r="CN157" s="419"/>
      <c r="CO157" s="419"/>
      <c r="CP157" s="585"/>
    </row>
    <row r="158" spans="1:94" s="99" customFormat="1" ht="14.25" customHeight="1">
      <c r="B158" s="428" t="s">
        <v>214</v>
      </c>
      <c r="C158" s="429"/>
      <c r="D158" s="430"/>
      <c r="E158" s="431"/>
      <c r="F158" s="431"/>
      <c r="G158" s="432"/>
      <c r="H158" s="430"/>
      <c r="I158" s="431"/>
      <c r="J158" s="431"/>
      <c r="K158" s="431"/>
      <c r="L158" s="811">
        <f t="shared" ref="L158:AQ158" si="546">L108</f>
        <v>402</v>
      </c>
      <c r="M158" s="812">
        <f t="shared" si="546"/>
        <v>410.99999999999994</v>
      </c>
      <c r="N158" s="812">
        <f t="shared" si="546"/>
        <v>439.00000000000006</v>
      </c>
      <c r="O158" s="813">
        <f t="shared" si="546"/>
        <v>447</v>
      </c>
      <c r="P158" s="811">
        <f t="shared" si="546"/>
        <v>368</v>
      </c>
      <c r="Q158" s="812">
        <f t="shared" si="546"/>
        <v>325</v>
      </c>
      <c r="R158" s="812">
        <f t="shared" si="546"/>
        <v>363</v>
      </c>
      <c r="S158" s="813">
        <f t="shared" si="546"/>
        <v>428</v>
      </c>
      <c r="T158" s="811">
        <f t="shared" si="546"/>
        <v>456</v>
      </c>
      <c r="U158" s="812">
        <f t="shared" si="546"/>
        <v>515</v>
      </c>
      <c r="V158" s="812">
        <f t="shared" si="546"/>
        <v>550</v>
      </c>
      <c r="W158" s="813">
        <f t="shared" si="546"/>
        <v>572</v>
      </c>
      <c r="X158" s="811">
        <f t="shared" si="546"/>
        <v>550</v>
      </c>
      <c r="Y158" s="812">
        <f t="shared" si="546"/>
        <v>560</v>
      </c>
      <c r="Z158" s="812">
        <f t="shared" si="546"/>
        <v>603</v>
      </c>
      <c r="AA158" s="813">
        <f t="shared" si="546"/>
        <v>623</v>
      </c>
      <c r="AB158" s="811">
        <f t="shared" si="546"/>
        <v>563</v>
      </c>
      <c r="AC158" s="812">
        <f t="shared" si="546"/>
        <v>577</v>
      </c>
      <c r="AD158" s="812">
        <f t="shared" si="546"/>
        <v>606</v>
      </c>
      <c r="AE158" s="813">
        <f t="shared" si="546"/>
        <v>618</v>
      </c>
      <c r="AF158" s="812">
        <f t="shared" si="546"/>
        <v>576</v>
      </c>
      <c r="AG158" s="812">
        <f t="shared" si="546"/>
        <v>562</v>
      </c>
      <c r="AH158" s="812">
        <f t="shared" si="546"/>
        <v>644</v>
      </c>
      <c r="AI158" s="812">
        <f t="shared" si="546"/>
        <v>738</v>
      </c>
      <c r="AJ158" s="811">
        <f t="shared" si="546"/>
        <v>632.86</v>
      </c>
      <c r="AK158" s="812">
        <f t="shared" si="546"/>
        <v>701</v>
      </c>
      <c r="AL158" s="812">
        <f t="shared" si="546"/>
        <v>1287</v>
      </c>
      <c r="AM158" s="813">
        <f t="shared" si="546"/>
        <v>1610</v>
      </c>
      <c r="AN158" s="811">
        <f t="shared" si="546"/>
        <v>1657</v>
      </c>
      <c r="AO158" s="812">
        <f t="shared" si="546"/>
        <v>1645</v>
      </c>
      <c r="AP158" s="812">
        <f t="shared" si="546"/>
        <v>1750</v>
      </c>
      <c r="AQ158" s="813">
        <f t="shared" si="546"/>
        <v>1853</v>
      </c>
      <c r="AR158" s="811">
        <f t="shared" ref="AR158:AU158" si="547">AR108</f>
        <v>1782</v>
      </c>
      <c r="AS158" s="812">
        <f t="shared" si="547"/>
        <v>3562</v>
      </c>
      <c r="AT158" s="812">
        <f t="shared" si="547"/>
        <v>3802</v>
      </c>
      <c r="AU158" s="813">
        <f t="shared" si="547"/>
        <v>4146</v>
      </c>
      <c r="AV158" s="811"/>
      <c r="AW158" s="812"/>
      <c r="AX158" s="435"/>
      <c r="AY158" s="433"/>
      <c r="AZ158" s="434"/>
      <c r="BA158" s="435"/>
      <c r="BB158" s="435"/>
      <c r="BC158" s="433"/>
      <c r="BD158" s="434"/>
      <c r="BE158" s="435"/>
      <c r="BF158" s="435"/>
      <c r="BG158" s="433"/>
      <c r="BH158" s="434"/>
      <c r="BI158" s="435"/>
      <c r="BJ158" s="435"/>
      <c r="BK158" s="433"/>
      <c r="BL158" s="436"/>
      <c r="BM158" s="437"/>
      <c r="BN158" s="438"/>
      <c r="BO158" s="438">
        <f>SUM(BO153:BO157)</f>
        <v>2920.3</v>
      </c>
      <c r="BP158" s="438">
        <f>SUM(BP153:BP157)</f>
        <v>2753</v>
      </c>
      <c r="BQ158" s="438">
        <f>SUM(BQ153:BQ157)</f>
        <v>3514</v>
      </c>
      <c r="BR158" s="438">
        <f>SUM(BR153:BR157)</f>
        <v>4129.91</v>
      </c>
      <c r="BS158" s="438">
        <f>SUM(BS153:BS157)</f>
        <v>4673.0989999999993</v>
      </c>
      <c r="BT158" s="438"/>
      <c r="BU158" s="438"/>
      <c r="BV158" s="438"/>
      <c r="BW158" s="438"/>
      <c r="BX158" s="438"/>
      <c r="BY158" s="834"/>
      <c r="BZ158" s="834"/>
      <c r="CA158" s="429"/>
      <c r="CB158" s="436"/>
      <c r="CC158" s="636"/>
      <c r="CD158" s="438"/>
      <c r="CE158" s="438">
        <f>SUM(CE153:CE157)</f>
        <v>3275.56</v>
      </c>
      <c r="CF158" s="438">
        <f>SUM(CF153:CF157)</f>
        <v>2839</v>
      </c>
      <c r="CG158" s="438">
        <f>SUM(CG153:CG157)</f>
        <v>3636</v>
      </c>
      <c r="CH158" s="438">
        <f>SUM(CH153:CH157)</f>
        <v>4270.0499999999993</v>
      </c>
      <c r="CI158" s="636">
        <f>SUM(CI153:CI157)</f>
        <v>4796.1000000000004</v>
      </c>
      <c r="CJ158" s="438"/>
      <c r="CK158" s="438"/>
      <c r="CL158" s="438"/>
      <c r="CM158" s="438"/>
      <c r="CN158" s="438"/>
      <c r="CO158" s="438"/>
      <c r="CP158" s="586"/>
    </row>
    <row r="159" spans="1:94" ht="14.25" customHeight="1">
      <c r="B159" s="63"/>
      <c r="X159" s="7"/>
      <c r="Y159" s="7"/>
      <c r="Z159" s="7"/>
      <c r="AB159" s="7"/>
      <c r="AC159" s="7"/>
      <c r="AD159" s="7"/>
      <c r="AF159" s="7"/>
      <c r="AH159" s="7"/>
      <c r="AI159" s="751"/>
      <c r="AJ159" s="751"/>
      <c r="AK159" s="751"/>
      <c r="AL159" s="751"/>
      <c r="AM159" s="751"/>
      <c r="AN159" s="751"/>
      <c r="AO159" s="751"/>
      <c r="AP159" s="751"/>
      <c r="AQ159" s="751"/>
      <c r="AR159" s="751"/>
      <c r="AS159" s="751"/>
      <c r="AT159" s="751"/>
      <c r="AU159" s="751"/>
      <c r="AV159" s="751"/>
      <c r="AW159" s="751"/>
      <c r="AX159" s="751"/>
      <c r="AY159" s="751"/>
      <c r="AZ159" s="751"/>
      <c r="BA159" s="751"/>
      <c r="BB159" s="751"/>
      <c r="BC159" s="751"/>
      <c r="BD159" s="751"/>
      <c r="BE159" s="751"/>
      <c r="BF159" s="751"/>
      <c r="BG159" s="751"/>
      <c r="BH159" s="751"/>
      <c r="BI159" s="751"/>
      <c r="BJ159" s="751"/>
      <c r="BK159" s="751"/>
      <c r="BL159" s="410"/>
      <c r="BM159" s="410"/>
      <c r="BN159" s="410"/>
      <c r="BO159" s="410"/>
      <c r="BP159" s="410"/>
      <c r="BQ159" s="410"/>
      <c r="BR159" s="410"/>
      <c r="BS159" s="410"/>
      <c r="BT159" s="410"/>
      <c r="BU159" s="410"/>
      <c r="BV159" s="410"/>
      <c r="BW159" s="410"/>
      <c r="BX159" s="410"/>
      <c r="BY159" s="757"/>
      <c r="BZ159" s="757"/>
      <c r="CB159" s="410"/>
      <c r="CC159" s="410"/>
      <c r="CD159" s="410"/>
      <c r="CE159" s="410"/>
      <c r="CF159" s="410"/>
      <c r="CG159" s="410"/>
      <c r="CH159" s="410"/>
      <c r="CI159" s="410"/>
      <c r="CJ159" s="410"/>
      <c r="CK159" s="410"/>
      <c r="CL159" s="410"/>
      <c r="CM159" s="410"/>
      <c r="CN159" s="410"/>
      <c r="CO159" s="410"/>
      <c r="CP159" s="410"/>
    </row>
    <row r="160" spans="1:94" ht="14.25" customHeight="1">
      <c r="B160" s="410"/>
      <c r="AR160" s="1125"/>
      <c r="AS160" s="1136"/>
      <c r="AT160" s="1197"/>
      <c r="AV160" s="1290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13"/>
      <c r="BY160" s="757"/>
      <c r="BZ160" s="757"/>
      <c r="CB160" s="410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13"/>
      <c r="CN160" s="13"/>
      <c r="CO160" s="13"/>
      <c r="CP160" s="13"/>
    </row>
    <row r="161" spans="1:94" ht="14.25" customHeight="1">
      <c r="A161" s="1"/>
      <c r="B161" s="146" t="s">
        <v>219</v>
      </c>
      <c r="C161" s="147"/>
      <c r="D161" s="333" t="str">
        <f t="shared" ref="D161:AY161" si="548">D7</f>
        <v>F1Q06</v>
      </c>
      <c r="E161" s="334" t="str">
        <f t="shared" si="548"/>
        <v>F2Q06</v>
      </c>
      <c r="F161" s="334" t="str">
        <f t="shared" si="548"/>
        <v>F3Q06</v>
      </c>
      <c r="G161" s="334" t="str">
        <f t="shared" si="548"/>
        <v>F4Q06</v>
      </c>
      <c r="H161" s="333" t="str">
        <f t="shared" si="548"/>
        <v>F1Q07</v>
      </c>
      <c r="I161" s="334" t="str">
        <f t="shared" si="548"/>
        <v>F2Q07</v>
      </c>
      <c r="J161" s="334" t="str">
        <f t="shared" si="548"/>
        <v>F3Q07</v>
      </c>
      <c r="K161" s="334" t="str">
        <f t="shared" si="548"/>
        <v>F4Q07</v>
      </c>
      <c r="L161" s="333" t="str">
        <f t="shared" si="548"/>
        <v>F1Q08</v>
      </c>
      <c r="M161" s="334" t="str">
        <f t="shared" si="548"/>
        <v>F2Q08</v>
      </c>
      <c r="N161" s="334" t="str">
        <f t="shared" si="548"/>
        <v>F3Q08</v>
      </c>
      <c r="O161" s="334" t="str">
        <f t="shared" si="548"/>
        <v>F4Q08</v>
      </c>
      <c r="P161" s="333" t="str">
        <f t="shared" si="548"/>
        <v>F1Q09</v>
      </c>
      <c r="Q161" s="334" t="str">
        <f t="shared" si="548"/>
        <v>F2Q09</v>
      </c>
      <c r="R161" s="334" t="str">
        <f t="shared" si="548"/>
        <v>F3Q09</v>
      </c>
      <c r="S161" s="334" t="str">
        <f t="shared" si="548"/>
        <v>F4Q09</v>
      </c>
      <c r="T161" s="333" t="str">
        <f t="shared" si="548"/>
        <v>F1Q10</v>
      </c>
      <c r="U161" s="334" t="str">
        <f t="shared" si="548"/>
        <v>F2Q10</v>
      </c>
      <c r="V161" s="334" t="str">
        <f t="shared" si="548"/>
        <v>F3Q10</v>
      </c>
      <c r="W161" s="334" t="str">
        <f t="shared" si="548"/>
        <v>F4Q10</v>
      </c>
      <c r="X161" s="340" t="str">
        <f t="shared" si="548"/>
        <v>F1Q11</v>
      </c>
      <c r="Y161" s="341" t="str">
        <f t="shared" si="548"/>
        <v>F2Q11</v>
      </c>
      <c r="Z161" s="341" t="str">
        <f t="shared" si="548"/>
        <v>F3Q11</v>
      </c>
      <c r="AA161" s="334" t="str">
        <f t="shared" si="548"/>
        <v>F4Q11</v>
      </c>
      <c r="AB161" s="340" t="str">
        <f t="shared" si="548"/>
        <v>F1Q12</v>
      </c>
      <c r="AC161" s="341" t="str">
        <f t="shared" si="548"/>
        <v>F2Q12</v>
      </c>
      <c r="AD161" s="341" t="str">
        <f t="shared" si="548"/>
        <v>F3Q12</v>
      </c>
      <c r="AE161" s="334" t="str">
        <f t="shared" si="548"/>
        <v>F4Q12</v>
      </c>
      <c r="AF161" s="340" t="str">
        <f t="shared" si="548"/>
        <v>F1Q13</v>
      </c>
      <c r="AG161" s="334" t="str">
        <f t="shared" si="548"/>
        <v>F2Q13</v>
      </c>
      <c r="AH161" s="334" t="str">
        <f t="shared" si="548"/>
        <v>F3Q13</v>
      </c>
      <c r="AI161" s="335" t="str">
        <f t="shared" si="548"/>
        <v>F4Q13</v>
      </c>
      <c r="AJ161" s="334" t="str">
        <f t="shared" si="548"/>
        <v>F1Q14</v>
      </c>
      <c r="AK161" s="334" t="str">
        <f t="shared" si="548"/>
        <v>F2Q14A</v>
      </c>
      <c r="AL161" s="334" t="str">
        <f t="shared" si="548"/>
        <v>F3Q14A</v>
      </c>
      <c r="AM161" s="334" t="str">
        <f t="shared" si="548"/>
        <v>F4Q14A</v>
      </c>
      <c r="AN161" s="334" t="str">
        <f t="shared" si="548"/>
        <v>F1Q15A</v>
      </c>
      <c r="AO161" s="334" t="str">
        <f t="shared" si="548"/>
        <v>F2Q15A</v>
      </c>
      <c r="AP161" s="334" t="str">
        <f t="shared" si="548"/>
        <v>F3Q15A</v>
      </c>
      <c r="AQ161" s="335" t="str">
        <f t="shared" si="548"/>
        <v>F4Q15A</v>
      </c>
      <c r="AR161" s="334" t="str">
        <f t="shared" ref="AR161:AT161" si="549">AR7</f>
        <v>F1Q16A</v>
      </c>
      <c r="AS161" s="334" t="str">
        <f t="shared" si="549"/>
        <v>F2Q16A</v>
      </c>
      <c r="AT161" s="334" t="str">
        <f t="shared" si="549"/>
        <v>F3Q16A</v>
      </c>
      <c r="AU161" s="335" t="str">
        <f t="shared" si="548"/>
        <v>F4Q16A</v>
      </c>
      <c r="AV161" s="1247" t="str">
        <f t="shared" si="548"/>
        <v>F1Q17A</v>
      </c>
      <c r="AW161" s="1247" t="str">
        <f t="shared" si="548"/>
        <v>F2Q17A</v>
      </c>
      <c r="AX161" s="334" t="str">
        <f t="shared" si="548"/>
        <v>F3Q17A</v>
      </c>
      <c r="AY161" s="335" t="str">
        <f t="shared" si="548"/>
        <v>F4Q17A</v>
      </c>
      <c r="AZ161" s="333" t="str">
        <f t="shared" ref="AZ161:BC161" si="550">AZ7</f>
        <v>F1Q18A</v>
      </c>
      <c r="BA161" s="334" t="str">
        <f t="shared" si="550"/>
        <v>F2Q18E</v>
      </c>
      <c r="BB161" s="334" t="str">
        <f t="shared" si="550"/>
        <v>F3Q18E</v>
      </c>
      <c r="BC161" s="335" t="str">
        <f t="shared" si="550"/>
        <v>F4Q18E</v>
      </c>
      <c r="BD161" s="1246" t="str">
        <f t="shared" ref="BD161:BG161" si="551">BD7</f>
        <v>F1Q19E</v>
      </c>
      <c r="BE161" s="1247" t="str">
        <f t="shared" si="551"/>
        <v>F2Q19E</v>
      </c>
      <c r="BF161" s="1247" t="str">
        <f t="shared" si="551"/>
        <v>F3Q19E</v>
      </c>
      <c r="BG161" s="1248" t="str">
        <f t="shared" si="551"/>
        <v>F4Q19E</v>
      </c>
      <c r="BH161" s="1246" t="str">
        <f t="shared" ref="BH161:BK161" si="552">BH7</f>
        <v>F1Q20E</v>
      </c>
      <c r="BI161" s="1247" t="str">
        <f t="shared" si="552"/>
        <v>F2Q20E</v>
      </c>
      <c r="BJ161" s="1247" t="str">
        <f t="shared" si="552"/>
        <v>F3Q20E</v>
      </c>
      <c r="BK161" s="1248" t="str">
        <f t="shared" si="552"/>
        <v>F4Q20E</v>
      </c>
      <c r="BL161" s="19"/>
      <c r="BM161" s="334" t="str">
        <f t="shared" ref="BM161:BY161" si="553">BM7</f>
        <v>FY2006</v>
      </c>
      <c r="BN161" s="334" t="str">
        <f t="shared" si="553"/>
        <v>FY2007</v>
      </c>
      <c r="BO161" s="334" t="str">
        <f t="shared" si="553"/>
        <v>FY2008</v>
      </c>
      <c r="BP161" s="334" t="str">
        <f t="shared" si="553"/>
        <v>FY2009</v>
      </c>
      <c r="BQ161" s="334" t="str">
        <f t="shared" si="553"/>
        <v>FY2010</v>
      </c>
      <c r="BR161" s="334" t="str">
        <f t="shared" si="553"/>
        <v>FY2011</v>
      </c>
      <c r="BS161" s="334" t="str">
        <f t="shared" si="553"/>
        <v>FY2012</v>
      </c>
      <c r="BT161" s="334" t="str">
        <f t="shared" si="553"/>
        <v>FY2013</v>
      </c>
      <c r="BU161" s="334" t="str">
        <f t="shared" si="553"/>
        <v>FY2014A</v>
      </c>
      <c r="BV161" s="334" t="str">
        <f t="shared" si="553"/>
        <v>FY2015A</v>
      </c>
      <c r="BW161" s="334" t="str">
        <f t="shared" si="553"/>
        <v>FY2016A</v>
      </c>
      <c r="BX161" s="334" t="str">
        <f t="shared" si="553"/>
        <v>FY2017A</v>
      </c>
      <c r="BY161" s="1247" t="str">
        <f t="shared" si="553"/>
        <v>FY2018E</v>
      </c>
      <c r="BZ161" s="1247" t="str">
        <f t="shared" ref="BZ161" si="554">BZ7</f>
        <v>FY2019E</v>
      </c>
      <c r="CA161" s="1248" t="str">
        <f t="shared" ref="CA161" si="555">CA7</f>
        <v>FY2020E</v>
      </c>
      <c r="CB161" s="447"/>
      <c r="CC161" s="333" t="str">
        <f t="shared" ref="CC161:CM161" si="556">CC7</f>
        <v>CY2006</v>
      </c>
      <c r="CD161" s="334" t="str">
        <f t="shared" si="556"/>
        <v>CY2007</v>
      </c>
      <c r="CE161" s="334" t="str">
        <f t="shared" si="556"/>
        <v>CY2008</v>
      </c>
      <c r="CF161" s="334" t="str">
        <f t="shared" si="556"/>
        <v>CY2009</v>
      </c>
      <c r="CG161" s="334" t="str">
        <f t="shared" si="556"/>
        <v>CY2010</v>
      </c>
      <c r="CH161" s="334" t="str">
        <f t="shared" si="556"/>
        <v>CY2011</v>
      </c>
      <c r="CI161" s="333" t="str">
        <f t="shared" si="556"/>
        <v>CY2012</v>
      </c>
      <c r="CJ161" s="334" t="str">
        <f t="shared" si="556"/>
        <v>CY2013</v>
      </c>
      <c r="CK161" s="334" t="str">
        <f t="shared" si="556"/>
        <v>CY2014A</v>
      </c>
      <c r="CL161" s="334" t="str">
        <f t="shared" si="556"/>
        <v>CY2015A</v>
      </c>
      <c r="CM161" s="334" t="str">
        <f t="shared" si="556"/>
        <v>CY2016A</v>
      </c>
      <c r="CN161" s="1247" t="str">
        <f t="shared" ref="CN161:CO161" si="557">CN7</f>
        <v>CY2017A</v>
      </c>
      <c r="CO161" s="1247" t="str">
        <f t="shared" si="557"/>
        <v>CY2018E</v>
      </c>
      <c r="CP161" s="1248" t="str">
        <f t="shared" ref="CP161" si="558">CP7</f>
        <v>CY2019E</v>
      </c>
    </row>
    <row r="162" spans="1:94" ht="14.25" customHeight="1">
      <c r="B162" s="473" t="s">
        <v>158</v>
      </c>
      <c r="C162" s="440"/>
      <c r="D162" s="474"/>
      <c r="E162" s="475"/>
      <c r="F162" s="475"/>
      <c r="G162" s="476"/>
      <c r="H162" s="474"/>
      <c r="I162" s="475"/>
      <c r="J162" s="413">
        <f t="shared" ref="J162:O162" si="559">J173*J$113</f>
        <v>102.87</v>
      </c>
      <c r="K162" s="424">
        <f t="shared" si="559"/>
        <v>109.48</v>
      </c>
      <c r="L162" s="412">
        <f t="shared" si="559"/>
        <v>112.56000000000002</v>
      </c>
      <c r="M162" s="413">
        <f t="shared" si="559"/>
        <v>119.19</v>
      </c>
      <c r="N162" s="413">
        <f t="shared" si="559"/>
        <v>136.09</v>
      </c>
      <c r="O162" s="424">
        <f t="shared" si="559"/>
        <v>151.98000000000002</v>
      </c>
      <c r="P162" s="474">
        <v>124</v>
      </c>
      <c r="Q162" s="475">
        <v>141</v>
      </c>
      <c r="R162" s="475">
        <v>168</v>
      </c>
      <c r="S162" s="476">
        <f>622-R162-Q162-P162</f>
        <v>189</v>
      </c>
      <c r="T162" s="474">
        <v>173</v>
      </c>
      <c r="U162" s="475">
        <v>197</v>
      </c>
      <c r="V162" s="475">
        <v>207</v>
      </c>
      <c r="W162" s="477">
        <f>796-V162-U162-T162</f>
        <v>219</v>
      </c>
      <c r="X162" s="474">
        <v>202</v>
      </c>
      <c r="Y162" s="475">
        <v>203</v>
      </c>
      <c r="Z162" s="475">
        <v>223</v>
      </c>
      <c r="AA162" s="477">
        <f>887-Z162-Y162-X162</f>
        <v>259</v>
      </c>
      <c r="AB162" s="474">
        <v>254</v>
      </c>
      <c r="AC162" s="475">
        <v>255</v>
      </c>
      <c r="AD162" s="475">
        <v>241</v>
      </c>
      <c r="AE162" s="477">
        <f>1064-AD162-AC162-AB162</f>
        <v>314</v>
      </c>
      <c r="AF162" s="482">
        <v>308</v>
      </c>
      <c r="AG162" s="483">
        <v>279</v>
      </c>
      <c r="AH162" s="483">
        <v>288</v>
      </c>
      <c r="AI162" s="492">
        <v>346.86</v>
      </c>
      <c r="AJ162" s="420">
        <v>349</v>
      </c>
      <c r="AK162" s="420">
        <f>AK173*AK$113</f>
        <v>350.5</v>
      </c>
      <c r="AL162" s="420"/>
      <c r="AM162" s="420"/>
      <c r="AN162" s="420"/>
      <c r="AQ162" s="807"/>
      <c r="AR162" s="420"/>
      <c r="AS162" s="1136"/>
      <c r="AT162" s="1197"/>
      <c r="AU162" s="807"/>
      <c r="AV162" s="420"/>
      <c r="BL162" s="447"/>
      <c r="BM162" s="419"/>
      <c r="BN162" s="419"/>
      <c r="BO162" s="419">
        <f>SUM(L162:O162)</f>
        <v>519.82000000000005</v>
      </c>
      <c r="BP162" s="420">
        <f>SUM(P162:S162)</f>
        <v>622</v>
      </c>
      <c r="BQ162" s="420">
        <f>SUM(T162:W162)</f>
        <v>796</v>
      </c>
      <c r="BR162" s="420">
        <f>SUM(X162:AA162)</f>
        <v>887</v>
      </c>
      <c r="BS162" s="420">
        <f>SUM(AB162:AE162)</f>
        <v>1064</v>
      </c>
      <c r="BT162" s="419"/>
      <c r="BU162" s="419"/>
      <c r="BV162" s="419"/>
      <c r="BW162" s="419"/>
      <c r="BX162" s="419"/>
      <c r="BY162" s="641"/>
      <c r="BZ162" s="641"/>
      <c r="CA162" s="440"/>
      <c r="CB162" s="447"/>
      <c r="CC162" s="635"/>
      <c r="CD162" s="419"/>
      <c r="CE162" s="420">
        <f>SUM(M162:P162)</f>
        <v>531.26</v>
      </c>
      <c r="CF162" s="420">
        <f>SUM(Q162:T162)</f>
        <v>671</v>
      </c>
      <c r="CG162" s="420">
        <f>SUM(U162:X162)</f>
        <v>825</v>
      </c>
      <c r="CH162" s="420">
        <f>SUM(Y162:AB162)</f>
        <v>939</v>
      </c>
      <c r="CI162" s="635">
        <f>SUM(AC162:AF162)</f>
        <v>1118</v>
      </c>
      <c r="CJ162" s="419"/>
      <c r="CK162" s="419"/>
      <c r="CL162" s="419"/>
      <c r="CM162" s="419"/>
      <c r="CN162" s="419"/>
      <c r="CO162" s="419"/>
      <c r="CP162" s="585"/>
    </row>
    <row r="163" spans="1:94" ht="14.25" customHeight="1">
      <c r="B163" s="481" t="s">
        <v>14</v>
      </c>
      <c r="C163" s="455"/>
      <c r="D163" s="482"/>
      <c r="E163" s="483"/>
      <c r="F163" s="483"/>
      <c r="G163" s="476"/>
      <c r="H163" s="482"/>
      <c r="I163" s="483"/>
      <c r="J163" s="423">
        <f t="shared" ref="J163:O166" si="560">J174*J$113</f>
        <v>102.87</v>
      </c>
      <c r="K163" s="424">
        <f t="shared" si="560"/>
        <v>101.66</v>
      </c>
      <c r="L163" s="422">
        <f t="shared" si="560"/>
        <v>116.58</v>
      </c>
      <c r="M163" s="423">
        <f t="shared" si="560"/>
        <v>119.19</v>
      </c>
      <c r="N163" s="423">
        <f t="shared" si="560"/>
        <v>118.53</v>
      </c>
      <c r="O163" s="424">
        <f t="shared" si="560"/>
        <v>111.75</v>
      </c>
      <c r="P163" s="482">
        <v>103</v>
      </c>
      <c r="Q163" s="483">
        <v>90</v>
      </c>
      <c r="R163" s="483">
        <v>87</v>
      </c>
      <c r="S163" s="476">
        <f>384-R163-Q163-P163</f>
        <v>104</v>
      </c>
      <c r="T163" s="484">
        <v>120</v>
      </c>
      <c r="U163" s="483">
        <v>123</v>
      </c>
      <c r="V163" s="483">
        <v>123</v>
      </c>
      <c r="W163" s="476">
        <f>509-V163-U163-T163</f>
        <v>143</v>
      </c>
      <c r="X163" s="482">
        <v>153</v>
      </c>
      <c r="Y163" s="483">
        <v>160</v>
      </c>
      <c r="Z163" s="483">
        <v>169</v>
      </c>
      <c r="AA163" s="476">
        <f>659-Z163-Y163-X163</f>
        <v>177</v>
      </c>
      <c r="AB163" s="482">
        <v>162</v>
      </c>
      <c r="AC163" s="483">
        <v>168</v>
      </c>
      <c r="AD163" s="483">
        <v>173</v>
      </c>
      <c r="AE163" s="476">
        <f>662-AD163-AC163-AB163</f>
        <v>159</v>
      </c>
      <c r="AF163" s="482">
        <v>143</v>
      </c>
      <c r="AG163" s="483">
        <v>153</v>
      </c>
      <c r="AH163" s="483">
        <v>202</v>
      </c>
      <c r="AI163" s="492">
        <v>187.68</v>
      </c>
      <c r="AJ163" s="419">
        <f>228-AJ164</f>
        <v>172.14</v>
      </c>
      <c r="AK163" s="419">
        <f>AK174*AK$113</f>
        <v>217.31</v>
      </c>
      <c r="AL163" s="419"/>
      <c r="AM163" s="419"/>
      <c r="AN163" s="419"/>
      <c r="AO163" s="487"/>
      <c r="AP163" s="487"/>
      <c r="AQ163" s="485"/>
      <c r="AR163" s="419"/>
      <c r="AS163" s="487"/>
      <c r="AT163" s="487"/>
      <c r="AU163" s="485"/>
      <c r="AV163" s="419"/>
      <c r="AW163" s="487"/>
      <c r="AX163" s="487"/>
      <c r="AY163" s="485"/>
      <c r="AZ163" s="486"/>
      <c r="BA163" s="487"/>
      <c r="BB163" s="487"/>
      <c r="BC163" s="485"/>
      <c r="BD163" s="486"/>
      <c r="BE163" s="487"/>
      <c r="BF163" s="487"/>
      <c r="BG163" s="485"/>
      <c r="BH163" s="486"/>
      <c r="BI163" s="487"/>
      <c r="BJ163" s="487"/>
      <c r="BK163" s="485"/>
      <c r="BL163" s="447"/>
      <c r="BM163" s="419"/>
      <c r="BN163" s="419"/>
      <c r="BO163" s="419">
        <f>SUM(L163:O163)</f>
        <v>466.04999999999995</v>
      </c>
      <c r="BP163" s="419">
        <f>SUM(P163:S163)</f>
        <v>384</v>
      </c>
      <c r="BQ163" s="419">
        <f>SUM(T163:W163)</f>
        <v>509</v>
      </c>
      <c r="BR163" s="419">
        <f>SUM(X163:AA163)</f>
        <v>659</v>
      </c>
      <c r="BS163" s="419">
        <f>SUM(AB163:AE163)</f>
        <v>662</v>
      </c>
      <c r="BT163" s="419"/>
      <c r="BU163" s="419"/>
      <c r="BV163" s="419"/>
      <c r="BW163" s="419"/>
      <c r="BX163" s="419"/>
      <c r="BY163" s="410"/>
      <c r="BZ163" s="410"/>
      <c r="CA163" s="455"/>
      <c r="CB163" s="447"/>
      <c r="CC163" s="635"/>
      <c r="CD163" s="419"/>
      <c r="CE163" s="419">
        <f>SUM(M163:P163)</f>
        <v>452.47</v>
      </c>
      <c r="CF163" s="419">
        <f>SUM(Q163:T163)</f>
        <v>401</v>
      </c>
      <c r="CG163" s="419">
        <f>SUM(U163:X163)</f>
        <v>542</v>
      </c>
      <c r="CH163" s="419">
        <f>SUM(Y163:AB163)</f>
        <v>668</v>
      </c>
      <c r="CI163" s="635">
        <f>SUM(AC163:AF163)</f>
        <v>643</v>
      </c>
      <c r="CJ163" s="419"/>
      <c r="CK163" s="419"/>
      <c r="CL163" s="419"/>
      <c r="CM163" s="419"/>
      <c r="CN163" s="419"/>
      <c r="CO163" s="419"/>
      <c r="CP163" s="585"/>
    </row>
    <row r="164" spans="1:94" ht="14.25" customHeight="1">
      <c r="B164" s="481" t="s">
        <v>350</v>
      </c>
      <c r="C164" s="455"/>
      <c r="D164" s="482"/>
      <c r="E164" s="483"/>
      <c r="F164" s="483"/>
      <c r="G164" s="476"/>
      <c r="H164" s="482"/>
      <c r="I164" s="483"/>
      <c r="J164" s="423">
        <f t="shared" si="560"/>
        <v>0</v>
      </c>
      <c r="K164" s="424">
        <f t="shared" si="560"/>
        <v>0</v>
      </c>
      <c r="L164" s="422">
        <f t="shared" si="560"/>
        <v>0</v>
      </c>
      <c r="M164" s="423">
        <f t="shared" si="560"/>
        <v>0</v>
      </c>
      <c r="N164" s="423">
        <f t="shared" si="560"/>
        <v>0</v>
      </c>
      <c r="O164" s="424">
        <f t="shared" si="560"/>
        <v>0</v>
      </c>
      <c r="P164" s="482">
        <v>0</v>
      </c>
      <c r="Q164" s="483">
        <v>0</v>
      </c>
      <c r="R164" s="483">
        <v>0</v>
      </c>
      <c r="S164" s="476">
        <f>0-R164-Q164-P164</f>
        <v>0</v>
      </c>
      <c r="T164" s="484">
        <v>0</v>
      </c>
      <c r="U164" s="483">
        <v>0</v>
      </c>
      <c r="V164" s="483">
        <v>0</v>
      </c>
      <c r="W164" s="476">
        <f>0-V164-U164-T164</f>
        <v>0</v>
      </c>
      <c r="X164" s="482">
        <v>0</v>
      </c>
      <c r="Y164" s="483">
        <v>0</v>
      </c>
      <c r="Z164" s="483">
        <v>0</v>
      </c>
      <c r="AA164" s="476">
        <f>0-Z164-Y164-X164</f>
        <v>0</v>
      </c>
      <c r="AB164" s="482">
        <v>0</v>
      </c>
      <c r="AC164" s="483">
        <v>0</v>
      </c>
      <c r="AD164" s="483">
        <v>0</v>
      </c>
      <c r="AE164" s="476">
        <f>0-AD164-AC164-AB164</f>
        <v>0</v>
      </c>
      <c r="AF164" s="482">
        <v>0</v>
      </c>
      <c r="AG164" s="483">
        <v>0</v>
      </c>
      <c r="AH164" s="483">
        <v>0</v>
      </c>
      <c r="AI164" s="492">
        <v>55.86</v>
      </c>
      <c r="AJ164" s="419">
        <v>55.86</v>
      </c>
      <c r="AK164" s="419">
        <f>AK175*AK$113</f>
        <v>0</v>
      </c>
      <c r="AL164" s="419"/>
      <c r="AM164" s="419"/>
      <c r="AN164" s="419"/>
      <c r="AO164" s="487"/>
      <c r="AP164" s="487"/>
      <c r="AQ164" s="485"/>
      <c r="AR164" s="419"/>
      <c r="AS164" s="487"/>
      <c r="AT164" s="487"/>
      <c r="AU164" s="485"/>
      <c r="AV164" s="419"/>
      <c r="AW164" s="487"/>
      <c r="AX164" s="487"/>
      <c r="AY164" s="485"/>
      <c r="AZ164" s="486"/>
      <c r="BA164" s="487"/>
      <c r="BB164" s="487"/>
      <c r="BC164" s="485"/>
      <c r="BD164" s="486"/>
      <c r="BE164" s="487"/>
      <c r="BF164" s="487"/>
      <c r="BG164" s="485"/>
      <c r="BH164" s="486"/>
      <c r="BI164" s="487"/>
      <c r="BJ164" s="487"/>
      <c r="BK164" s="485"/>
      <c r="BL164" s="447"/>
      <c r="BM164" s="419"/>
      <c r="BN164" s="419"/>
      <c r="BO164" s="419">
        <f>SUM(L164:O164)</f>
        <v>0</v>
      </c>
      <c r="BP164" s="419">
        <f>SUM(P164:S164)</f>
        <v>0</v>
      </c>
      <c r="BQ164" s="419">
        <f>SUM(T164:W164)</f>
        <v>0</v>
      </c>
      <c r="BR164" s="419">
        <f>SUM(X164:AA164)</f>
        <v>0</v>
      </c>
      <c r="BS164" s="419">
        <f>SUM(AB164:AE164)</f>
        <v>0</v>
      </c>
      <c r="BT164" s="419"/>
      <c r="BU164" s="419"/>
      <c r="BV164" s="419"/>
      <c r="BW164" s="419"/>
      <c r="BX164" s="419"/>
      <c r="BY164" s="410"/>
      <c r="BZ164" s="410"/>
      <c r="CA164" s="455"/>
      <c r="CB164" s="447"/>
      <c r="CC164" s="635"/>
      <c r="CD164" s="419"/>
      <c r="CE164" s="419">
        <f>SUM(M164:P164)</f>
        <v>0</v>
      </c>
      <c r="CF164" s="419">
        <f>SUM(Q164:T164)</f>
        <v>0</v>
      </c>
      <c r="CG164" s="419">
        <f>SUM(U164:X164)</f>
        <v>0</v>
      </c>
      <c r="CH164" s="419">
        <f>SUM(Y164:AB164)</f>
        <v>0</v>
      </c>
      <c r="CI164" s="635">
        <f>SUM(AC164:AF164)</f>
        <v>0</v>
      </c>
      <c r="CJ164" s="419"/>
      <c r="CK164" s="419"/>
      <c r="CL164" s="419"/>
      <c r="CM164" s="419"/>
      <c r="CN164" s="419"/>
      <c r="CO164" s="419"/>
      <c r="CP164" s="585"/>
    </row>
    <row r="165" spans="1:94" ht="14.25" customHeight="1">
      <c r="B165" s="481" t="s">
        <v>159</v>
      </c>
      <c r="C165" s="455"/>
      <c r="D165" s="482"/>
      <c r="E165" s="483"/>
      <c r="F165" s="483"/>
      <c r="G165" s="476"/>
      <c r="H165" s="482"/>
      <c r="I165" s="483"/>
      <c r="J165" s="423">
        <f t="shared" si="560"/>
        <v>121.92</v>
      </c>
      <c r="K165" s="424">
        <f t="shared" si="560"/>
        <v>121.21</v>
      </c>
      <c r="L165" s="422">
        <f t="shared" si="560"/>
        <v>120.6</v>
      </c>
      <c r="M165" s="423">
        <f t="shared" si="560"/>
        <v>127.41</v>
      </c>
      <c r="N165" s="423">
        <f t="shared" si="560"/>
        <v>136.09</v>
      </c>
      <c r="O165" s="424">
        <f t="shared" si="560"/>
        <v>129.63</v>
      </c>
      <c r="P165" s="482">
        <v>104</v>
      </c>
      <c r="Q165" s="483">
        <v>66</v>
      </c>
      <c r="R165" s="483">
        <v>70</v>
      </c>
      <c r="S165" s="476">
        <f>332-R165-Q165-P165</f>
        <v>92</v>
      </c>
      <c r="T165" s="484">
        <v>117</v>
      </c>
      <c r="U165" s="483">
        <v>147</v>
      </c>
      <c r="V165" s="483">
        <v>170</v>
      </c>
      <c r="W165" s="476">
        <f>605-V165-U165-T165</f>
        <v>171</v>
      </c>
      <c r="X165" s="482">
        <v>166</v>
      </c>
      <c r="Y165" s="483">
        <v>167</v>
      </c>
      <c r="Z165" s="483">
        <v>178</v>
      </c>
      <c r="AA165" s="476">
        <f>672-Z165-Y165-X165</f>
        <v>161</v>
      </c>
      <c r="AB165" s="482">
        <v>114</v>
      </c>
      <c r="AC165" s="483">
        <v>124</v>
      </c>
      <c r="AD165" s="483">
        <v>148</v>
      </c>
      <c r="AE165" s="476">
        <f>518-AD165-AC165-AB165</f>
        <v>132</v>
      </c>
      <c r="AF165" s="482">
        <v>125</v>
      </c>
      <c r="AG165" s="483">
        <v>130</v>
      </c>
      <c r="AH165" s="483">
        <v>154</v>
      </c>
      <c r="AI165" s="492">
        <v>147.6</v>
      </c>
      <c r="AJ165" s="419">
        <v>132</v>
      </c>
      <c r="AK165" s="419">
        <f>AK176*AK$113</f>
        <v>133.19</v>
      </c>
      <c r="AL165" s="419"/>
      <c r="AM165" s="419"/>
      <c r="AN165" s="419"/>
      <c r="AO165" s="487"/>
      <c r="AP165" s="487"/>
      <c r="AQ165" s="485"/>
      <c r="AR165" s="419"/>
      <c r="AS165" s="487"/>
      <c r="AT165" s="487"/>
      <c r="AU165" s="485"/>
      <c r="AV165" s="419"/>
      <c r="AW165" s="487"/>
      <c r="AX165" s="487"/>
      <c r="AY165" s="485"/>
      <c r="AZ165" s="486"/>
      <c r="BA165" s="487"/>
      <c r="BB165" s="487"/>
      <c r="BC165" s="485"/>
      <c r="BD165" s="486"/>
      <c r="BE165" s="487"/>
      <c r="BF165" s="487"/>
      <c r="BG165" s="485"/>
      <c r="BH165" s="486"/>
      <c r="BI165" s="487"/>
      <c r="BJ165" s="487"/>
      <c r="BK165" s="485"/>
      <c r="BL165" s="447"/>
      <c r="BM165" s="419"/>
      <c r="BN165" s="419"/>
      <c r="BO165" s="419">
        <f>SUM(L165:O165)</f>
        <v>513.73</v>
      </c>
      <c r="BP165" s="419">
        <f>SUM(P165:S165)</f>
        <v>332</v>
      </c>
      <c r="BQ165" s="419">
        <f>SUM(T165:W165)</f>
        <v>605</v>
      </c>
      <c r="BR165" s="419">
        <f>SUM(X165:AA165)</f>
        <v>672</v>
      </c>
      <c r="BS165" s="419">
        <f>SUM(AB165:AE165)</f>
        <v>518</v>
      </c>
      <c r="BT165" s="419"/>
      <c r="BU165" s="419"/>
      <c r="BV165" s="419"/>
      <c r="BW165" s="419"/>
      <c r="BX165" s="419"/>
      <c r="BY165" s="410"/>
      <c r="BZ165" s="410"/>
      <c r="CA165" s="455"/>
      <c r="CB165" s="447"/>
      <c r="CC165" s="635"/>
      <c r="CD165" s="419"/>
      <c r="CE165" s="419">
        <f>SUM(M165:P165)</f>
        <v>497.13</v>
      </c>
      <c r="CF165" s="419">
        <f>SUM(Q165:T165)</f>
        <v>345</v>
      </c>
      <c r="CG165" s="419">
        <f>SUM(U165:X165)</f>
        <v>654</v>
      </c>
      <c r="CH165" s="419">
        <f>SUM(Y165:AB165)</f>
        <v>620</v>
      </c>
      <c r="CI165" s="635">
        <f>SUM(AC165:AF165)</f>
        <v>529</v>
      </c>
      <c r="CJ165" s="419"/>
      <c r="CK165" s="419"/>
      <c r="CL165" s="419"/>
      <c r="CM165" s="419"/>
      <c r="CN165" s="419"/>
      <c r="CO165" s="419"/>
      <c r="CP165" s="585"/>
    </row>
    <row r="166" spans="1:94" ht="14.25" customHeight="1">
      <c r="B166" s="481" t="s">
        <v>160</v>
      </c>
      <c r="C166" s="455"/>
      <c r="D166" s="482"/>
      <c r="E166" s="483"/>
      <c r="F166" s="483"/>
      <c r="G166" s="492"/>
      <c r="H166" s="482"/>
      <c r="I166" s="483"/>
      <c r="J166" s="423">
        <f t="shared" si="560"/>
        <v>53.34</v>
      </c>
      <c r="K166" s="424">
        <f t="shared" si="560"/>
        <v>58.65</v>
      </c>
      <c r="L166" s="422">
        <f t="shared" si="560"/>
        <v>52.260000000000005</v>
      </c>
      <c r="M166" s="423">
        <f t="shared" si="560"/>
        <v>45.21</v>
      </c>
      <c r="N166" s="423">
        <f t="shared" si="560"/>
        <v>48.29</v>
      </c>
      <c r="O166" s="424">
        <f t="shared" si="560"/>
        <v>53.64</v>
      </c>
      <c r="P166" s="482">
        <v>37</v>
      </c>
      <c r="Q166" s="483">
        <v>28</v>
      </c>
      <c r="R166" s="483">
        <v>38</v>
      </c>
      <c r="S166" s="476">
        <f>146-R166-Q166-P166</f>
        <v>43</v>
      </c>
      <c r="T166" s="482">
        <v>46</v>
      </c>
      <c r="U166" s="483">
        <v>48</v>
      </c>
      <c r="V166" s="483">
        <v>50</v>
      </c>
      <c r="W166" s="476">
        <f>183-V166-U166-T166</f>
        <v>39</v>
      </c>
      <c r="X166" s="482">
        <v>29</v>
      </c>
      <c r="Y166" s="483">
        <v>30</v>
      </c>
      <c r="Z166" s="483">
        <v>33</v>
      </c>
      <c r="AA166" s="476">
        <f>118-Z166-Y166-X166</f>
        <v>26</v>
      </c>
      <c r="AB166" s="482">
        <v>33</v>
      </c>
      <c r="AC166" s="483">
        <v>30</v>
      </c>
      <c r="AD166" s="483">
        <v>44</v>
      </c>
      <c r="AE166" s="476">
        <f>120-AD166-AC166-AB166</f>
        <v>13</v>
      </c>
      <c r="AF166" s="482">
        <v>0</v>
      </c>
      <c r="AG166" s="483">
        <v>0</v>
      </c>
      <c r="AH166" s="483">
        <v>0</v>
      </c>
      <c r="AI166" s="492">
        <v>0</v>
      </c>
      <c r="AJ166" s="497">
        <v>0</v>
      </c>
      <c r="AK166" s="497">
        <f>AK177*AK$113</f>
        <v>0</v>
      </c>
      <c r="AL166" s="497"/>
      <c r="AM166" s="497"/>
      <c r="AN166" s="497"/>
      <c r="AO166" s="487"/>
      <c r="AP166" s="487"/>
      <c r="AQ166" s="485"/>
      <c r="AR166" s="497"/>
      <c r="AS166" s="487"/>
      <c r="AT166" s="487"/>
      <c r="AU166" s="485"/>
      <c r="AV166" s="497"/>
      <c r="AW166" s="487"/>
      <c r="AX166" s="487"/>
      <c r="AY166" s="485"/>
      <c r="AZ166" s="486"/>
      <c r="BA166" s="487"/>
      <c r="BB166" s="487"/>
      <c r="BC166" s="485"/>
      <c r="BD166" s="486"/>
      <c r="BE166" s="487"/>
      <c r="BF166" s="487"/>
      <c r="BG166" s="485"/>
      <c r="BH166" s="486"/>
      <c r="BI166" s="487"/>
      <c r="BJ166" s="487"/>
      <c r="BK166" s="485"/>
      <c r="BL166" s="447"/>
      <c r="BM166" s="419"/>
      <c r="BN166" s="419"/>
      <c r="BO166" s="419">
        <f>SUM(L166:O166)</f>
        <v>199.39999999999998</v>
      </c>
      <c r="BP166" s="419">
        <f>SUM(P166:S166)</f>
        <v>146</v>
      </c>
      <c r="BQ166" s="419">
        <f>SUM(T166:W166)</f>
        <v>183</v>
      </c>
      <c r="BR166" s="419">
        <f>SUM(X166:AA166)</f>
        <v>118</v>
      </c>
      <c r="BS166" s="419">
        <f>SUM(AB166:AE166)</f>
        <v>120</v>
      </c>
      <c r="BT166" s="419"/>
      <c r="BU166" s="419"/>
      <c r="BV166" s="419"/>
      <c r="BW166" s="419"/>
      <c r="BX166" s="419"/>
      <c r="BY166" s="410"/>
      <c r="BZ166" s="410"/>
      <c r="CA166" s="455"/>
      <c r="CB166" s="447"/>
      <c r="CC166" s="635"/>
      <c r="CD166" s="419"/>
      <c r="CE166" s="419">
        <f>SUM(M166:P166)</f>
        <v>184.14</v>
      </c>
      <c r="CF166" s="419">
        <f>SUM(Q166:T166)</f>
        <v>155</v>
      </c>
      <c r="CG166" s="419">
        <f>SUM(U166:X166)</f>
        <v>166</v>
      </c>
      <c r="CH166" s="419">
        <f>SUM(Y166:AB166)</f>
        <v>122</v>
      </c>
      <c r="CI166" s="635">
        <f>SUM(AC166:AF166)</f>
        <v>87</v>
      </c>
      <c r="CJ166" s="419"/>
      <c r="CK166" s="419"/>
      <c r="CL166" s="419"/>
      <c r="CM166" s="419"/>
      <c r="CN166" s="419"/>
      <c r="CO166" s="419"/>
      <c r="CP166" s="585"/>
    </row>
    <row r="167" spans="1:94" s="99" customFormat="1" ht="14.25" customHeight="1">
      <c r="B167" s="428" t="s">
        <v>214</v>
      </c>
      <c r="C167" s="429"/>
      <c r="D167" s="430"/>
      <c r="E167" s="431"/>
      <c r="F167" s="431"/>
      <c r="G167" s="432"/>
      <c r="H167" s="430"/>
      <c r="I167" s="431"/>
      <c r="J167" s="431">
        <f t="shared" ref="J167:AK167" si="561">SUM(J162:J166)</f>
        <v>381</v>
      </c>
      <c r="K167" s="432">
        <f t="shared" si="561"/>
        <v>390.99999999999994</v>
      </c>
      <c r="L167" s="430">
        <f t="shared" si="561"/>
        <v>402</v>
      </c>
      <c r="M167" s="431">
        <f t="shared" si="561"/>
        <v>410.99999999999994</v>
      </c>
      <c r="N167" s="431">
        <f t="shared" si="561"/>
        <v>439.00000000000006</v>
      </c>
      <c r="O167" s="432">
        <f t="shared" si="561"/>
        <v>447</v>
      </c>
      <c r="P167" s="430">
        <f t="shared" si="561"/>
        <v>368</v>
      </c>
      <c r="Q167" s="431">
        <f t="shared" si="561"/>
        <v>325</v>
      </c>
      <c r="R167" s="431">
        <f t="shared" si="561"/>
        <v>363</v>
      </c>
      <c r="S167" s="432">
        <f t="shared" si="561"/>
        <v>428</v>
      </c>
      <c r="T167" s="430">
        <f t="shared" si="561"/>
        <v>456</v>
      </c>
      <c r="U167" s="431">
        <f t="shared" si="561"/>
        <v>515</v>
      </c>
      <c r="V167" s="431">
        <f t="shared" si="561"/>
        <v>550</v>
      </c>
      <c r="W167" s="432">
        <f t="shared" si="561"/>
        <v>572</v>
      </c>
      <c r="X167" s="430">
        <f t="shared" si="561"/>
        <v>550</v>
      </c>
      <c r="Y167" s="431">
        <f t="shared" si="561"/>
        <v>560</v>
      </c>
      <c r="Z167" s="431">
        <f t="shared" si="561"/>
        <v>603</v>
      </c>
      <c r="AA167" s="432">
        <f t="shared" si="561"/>
        <v>623</v>
      </c>
      <c r="AB167" s="430">
        <f t="shared" si="561"/>
        <v>563</v>
      </c>
      <c r="AC167" s="431">
        <f t="shared" si="561"/>
        <v>577</v>
      </c>
      <c r="AD167" s="431">
        <f t="shared" si="561"/>
        <v>606</v>
      </c>
      <c r="AE167" s="432">
        <f t="shared" si="561"/>
        <v>618</v>
      </c>
      <c r="AF167" s="430">
        <f t="shared" si="561"/>
        <v>576</v>
      </c>
      <c r="AG167" s="431">
        <f t="shared" si="561"/>
        <v>562</v>
      </c>
      <c r="AH167" s="431">
        <f t="shared" si="561"/>
        <v>644</v>
      </c>
      <c r="AI167" s="432">
        <f t="shared" si="561"/>
        <v>738</v>
      </c>
      <c r="AJ167" s="431">
        <f t="shared" si="561"/>
        <v>709</v>
      </c>
      <c r="AK167" s="431">
        <f t="shared" si="561"/>
        <v>701</v>
      </c>
      <c r="AL167" s="431"/>
      <c r="AM167" s="431"/>
      <c r="AN167" s="431"/>
      <c r="AO167" s="435"/>
      <c r="AP167" s="435"/>
      <c r="AQ167" s="433"/>
      <c r="AR167" s="431"/>
      <c r="AS167" s="435"/>
      <c r="AT167" s="435"/>
      <c r="AU167" s="433"/>
      <c r="AV167" s="431"/>
      <c r="AW167" s="435"/>
      <c r="AX167" s="435"/>
      <c r="AY167" s="433"/>
      <c r="AZ167" s="434"/>
      <c r="BA167" s="435"/>
      <c r="BB167" s="435"/>
      <c r="BC167" s="433"/>
      <c r="BD167" s="434"/>
      <c r="BE167" s="435"/>
      <c r="BF167" s="435"/>
      <c r="BG167" s="433"/>
      <c r="BH167" s="434"/>
      <c r="BI167" s="435"/>
      <c r="BJ167" s="435"/>
      <c r="BK167" s="433"/>
      <c r="BL167" s="436"/>
      <c r="BM167" s="437"/>
      <c r="BN167" s="438"/>
      <c r="BO167" s="438">
        <f>SUM(BO162:BO166)</f>
        <v>1699</v>
      </c>
      <c r="BP167" s="438">
        <f>SUM(BP162:BP166)</f>
        <v>1484</v>
      </c>
      <c r="BQ167" s="438">
        <f>SUM(BQ162:BQ166)</f>
        <v>2093</v>
      </c>
      <c r="BR167" s="438">
        <f>SUM(BR162:BR166)</f>
        <v>2336</v>
      </c>
      <c r="BS167" s="438">
        <f>SUM(BS162:BS166)</f>
        <v>2364</v>
      </c>
      <c r="BT167" s="438"/>
      <c r="BU167" s="438"/>
      <c r="BV167" s="438"/>
      <c r="BW167" s="438"/>
      <c r="BX167" s="438"/>
      <c r="BY167" s="834"/>
      <c r="BZ167" s="834"/>
      <c r="CA167" s="429"/>
      <c r="CB167" s="436"/>
      <c r="CC167" s="636"/>
      <c r="CD167" s="438"/>
      <c r="CE167" s="438">
        <f>SUM(CE162:CE166)</f>
        <v>1665</v>
      </c>
      <c r="CF167" s="438">
        <f>SUM(CF162:CF166)</f>
        <v>1572</v>
      </c>
      <c r="CG167" s="438">
        <f>SUM(CG162:CG166)</f>
        <v>2187</v>
      </c>
      <c r="CH167" s="438">
        <f>SUM(CH162:CH166)</f>
        <v>2349</v>
      </c>
      <c r="CI167" s="636">
        <f>SUM(CI162:CI166)</f>
        <v>2377</v>
      </c>
      <c r="CJ167" s="438"/>
      <c r="CK167" s="438"/>
      <c r="CL167" s="438"/>
      <c r="CM167" s="438"/>
      <c r="CN167" s="438"/>
      <c r="CO167" s="438"/>
      <c r="CP167" s="586"/>
    </row>
    <row r="168" spans="1:94" ht="14.25" customHeight="1">
      <c r="B168" s="63"/>
      <c r="X168" s="7"/>
      <c r="Y168" s="7"/>
      <c r="Z168" s="7"/>
      <c r="AB168" s="7"/>
      <c r="AC168" s="7"/>
      <c r="AD168" s="7"/>
      <c r="AF168" s="7"/>
      <c r="AH168" s="7"/>
      <c r="AR168" s="1125"/>
      <c r="AS168" s="1136"/>
      <c r="AT168" s="1197"/>
      <c r="AV168" s="1290"/>
      <c r="BL168" s="410"/>
      <c r="BM168" s="410"/>
      <c r="BN168" s="410"/>
      <c r="BO168" s="410"/>
      <c r="BP168" s="410"/>
      <c r="BQ168" s="410"/>
      <c r="BR168" s="410"/>
      <c r="BS168" s="410"/>
      <c r="BT168" s="410"/>
      <c r="BU168" s="410"/>
      <c r="BV168" s="410"/>
      <c r="BW168" s="410"/>
      <c r="BX168" s="410"/>
      <c r="BY168" s="757"/>
      <c r="BZ168" s="757"/>
      <c r="CB168" s="410"/>
      <c r="CC168" s="410"/>
      <c r="CD168" s="410"/>
      <c r="CE168" s="410"/>
      <c r="CF168" s="410"/>
      <c r="CG168" s="410"/>
      <c r="CH168" s="410"/>
      <c r="CI168" s="410"/>
      <c r="CJ168" s="410"/>
      <c r="CK168" s="410"/>
      <c r="CL168" s="410"/>
      <c r="CM168" s="410"/>
      <c r="CN168" s="410"/>
      <c r="CO168" s="410"/>
      <c r="CP168" s="410"/>
    </row>
    <row r="169" spans="1:94" s="7" customFormat="1" ht="14.25" customHeight="1">
      <c r="B169" s="290" t="s">
        <v>115</v>
      </c>
      <c r="C169" s="291"/>
      <c r="D169" s="488"/>
      <c r="E169" s="489"/>
      <c r="F169" s="489"/>
      <c r="G169" s="489"/>
      <c r="H169" s="488"/>
      <c r="I169" s="489"/>
      <c r="J169" s="489" t="str">
        <f t="shared" ref="J169:AK169" si="562">IF(ABS(J167-J113)&lt;1,"OK",J167-J113)</f>
        <v>OK</v>
      </c>
      <c r="K169" s="489" t="str">
        <f t="shared" si="562"/>
        <v>OK</v>
      </c>
      <c r="L169" s="488" t="str">
        <f t="shared" si="562"/>
        <v>OK</v>
      </c>
      <c r="M169" s="489" t="str">
        <f t="shared" si="562"/>
        <v>OK</v>
      </c>
      <c r="N169" s="489" t="str">
        <f t="shared" si="562"/>
        <v>OK</v>
      </c>
      <c r="O169" s="489" t="str">
        <f t="shared" si="562"/>
        <v>OK</v>
      </c>
      <c r="P169" s="488" t="str">
        <f t="shared" si="562"/>
        <v>OK</v>
      </c>
      <c r="Q169" s="489" t="str">
        <f t="shared" si="562"/>
        <v>OK</v>
      </c>
      <c r="R169" s="489" t="str">
        <f t="shared" si="562"/>
        <v>OK</v>
      </c>
      <c r="S169" s="489" t="str">
        <f t="shared" si="562"/>
        <v>OK</v>
      </c>
      <c r="T169" s="488" t="str">
        <f t="shared" si="562"/>
        <v>OK</v>
      </c>
      <c r="U169" s="489" t="str">
        <f t="shared" si="562"/>
        <v>OK</v>
      </c>
      <c r="V169" s="489" t="str">
        <f t="shared" si="562"/>
        <v>OK</v>
      </c>
      <c r="W169" s="489" t="str">
        <f t="shared" si="562"/>
        <v>OK</v>
      </c>
      <c r="X169" s="488" t="str">
        <f t="shared" si="562"/>
        <v>OK</v>
      </c>
      <c r="Y169" s="489" t="str">
        <f t="shared" si="562"/>
        <v>OK</v>
      </c>
      <c r="Z169" s="489" t="str">
        <f t="shared" si="562"/>
        <v>OK</v>
      </c>
      <c r="AA169" s="489" t="str">
        <f t="shared" si="562"/>
        <v>OK</v>
      </c>
      <c r="AB169" s="488" t="str">
        <f t="shared" si="562"/>
        <v>OK</v>
      </c>
      <c r="AC169" s="489" t="str">
        <f t="shared" si="562"/>
        <v>OK</v>
      </c>
      <c r="AD169" s="489" t="str">
        <f t="shared" si="562"/>
        <v>OK</v>
      </c>
      <c r="AE169" s="489" t="str">
        <f t="shared" si="562"/>
        <v>OK</v>
      </c>
      <c r="AF169" s="488" t="str">
        <f t="shared" si="562"/>
        <v>OK</v>
      </c>
      <c r="AG169" s="489" t="str">
        <f t="shared" si="562"/>
        <v>OK</v>
      </c>
      <c r="AH169" s="489" t="str">
        <f t="shared" si="562"/>
        <v>OK</v>
      </c>
      <c r="AI169" s="489" t="str">
        <f t="shared" si="562"/>
        <v>OK</v>
      </c>
      <c r="AJ169" s="489" t="str">
        <f t="shared" si="562"/>
        <v>OK</v>
      </c>
      <c r="AK169" s="489" t="str">
        <f t="shared" si="562"/>
        <v>OK</v>
      </c>
      <c r="AL169" s="489"/>
      <c r="AM169" s="489"/>
      <c r="AN169" s="489"/>
      <c r="AO169" s="293"/>
      <c r="AP169" s="293"/>
      <c r="AQ169" s="293"/>
      <c r="AR169" s="489"/>
      <c r="AS169" s="293"/>
      <c r="AT169" s="293"/>
      <c r="AU169" s="293"/>
      <c r="AV169" s="489"/>
      <c r="AW169" s="293"/>
      <c r="AX169" s="293"/>
      <c r="AY169" s="293"/>
      <c r="AZ169" s="292"/>
      <c r="BA169" s="293"/>
      <c r="BB169" s="293"/>
      <c r="BC169" s="293"/>
      <c r="BD169" s="292"/>
      <c r="BE169" s="293"/>
      <c r="BF169" s="293"/>
      <c r="BG169" s="293"/>
      <c r="BH169" s="292"/>
      <c r="BI169" s="293"/>
      <c r="BJ169" s="293"/>
      <c r="BK169" s="293"/>
      <c r="BL169" s="19"/>
      <c r="BM169" s="293"/>
      <c r="BN169" s="293"/>
      <c r="BO169" s="293" t="str">
        <f>IF(ABS(BO167-BO113)&lt;1,"OK",BO167-BO113)</f>
        <v>OK</v>
      </c>
      <c r="BP169" s="293" t="str">
        <f>IF(ABS(BP167-BP113)&lt;1,"OK",BP167-BP113)</f>
        <v>OK</v>
      </c>
      <c r="BQ169" s="490" t="str">
        <f>IF(ABS(BQ167-BQ113)&lt;1,"OK",BQ167-BQ113)</f>
        <v>OK</v>
      </c>
      <c r="BR169" s="490" t="str">
        <f>IF(ABS(BR167-BR113)&lt;1,"OK",BR167-BR113)</f>
        <v>OK</v>
      </c>
      <c r="BS169" s="490" t="str">
        <f>IF(ABS(BS167-BS113)&lt;1,"OK",BS167-BS113)</f>
        <v>OK</v>
      </c>
      <c r="BT169" s="293"/>
      <c r="BU169" s="293"/>
      <c r="BV169" s="293"/>
      <c r="BW169" s="293"/>
      <c r="BX169" s="293"/>
      <c r="BY169" s="987"/>
      <c r="BZ169" s="987"/>
      <c r="CA169" s="491"/>
      <c r="CB169" s="19"/>
      <c r="CC169" s="292"/>
      <c r="CD169" s="293"/>
      <c r="CE169" s="293" t="str">
        <f>IF(ABS(CE167-CE113)&lt;1,"OK",CE167-CE113)</f>
        <v>OK</v>
      </c>
      <c r="CF169" s="490" t="str">
        <f>IF(ABS(CF167-CF113)&lt;1,"OK",CF167-CF113)</f>
        <v>OK</v>
      </c>
      <c r="CG169" s="490" t="str">
        <f>IF(ABS(CG167-CG113)&lt;1,"OK",CG167-CG113)</f>
        <v>OK</v>
      </c>
      <c r="CH169" s="490" t="str">
        <f>IF(ABS(CH167-CH113)&lt;1,"OK",CH167-CH113)</f>
        <v>OK</v>
      </c>
      <c r="CI169" s="773" t="str">
        <f>IF(ABS(CI167-CI113)&lt;1,"OK",CI167-CI113)</f>
        <v>OK</v>
      </c>
      <c r="CJ169" s="490"/>
      <c r="CK169" s="490"/>
      <c r="CL169" s="490"/>
      <c r="CM169" s="293"/>
      <c r="CN169" s="293"/>
      <c r="CO169" s="293"/>
      <c r="CP169" s="588"/>
    </row>
    <row r="170" spans="1:94" ht="14.25" customHeight="1">
      <c r="B170" s="63"/>
      <c r="X170" s="7"/>
      <c r="Y170" s="7"/>
      <c r="Z170" s="7"/>
      <c r="AB170" s="7"/>
      <c r="AC170" s="7"/>
      <c r="AD170" s="7"/>
      <c r="AF170" s="7"/>
      <c r="AH170" s="7"/>
      <c r="AR170" s="1125"/>
      <c r="AS170" s="1136"/>
      <c r="AT170" s="1197"/>
      <c r="AV170" s="1290"/>
      <c r="BX170" s="410"/>
      <c r="BY170" s="757"/>
      <c r="BZ170" s="757"/>
      <c r="CB170" s="410"/>
      <c r="CM170" s="410"/>
      <c r="CN170" s="410"/>
      <c r="CO170" s="410"/>
      <c r="CP170" s="410"/>
    </row>
    <row r="171" spans="1:94" ht="14.25" customHeight="1">
      <c r="A171" s="1"/>
      <c r="B171" s="146" t="s">
        <v>220</v>
      </c>
      <c r="C171" s="147"/>
      <c r="D171" s="333" t="str">
        <f t="shared" ref="D171:AY171" si="563">D7</f>
        <v>F1Q06</v>
      </c>
      <c r="E171" s="334" t="str">
        <f t="shared" si="563"/>
        <v>F2Q06</v>
      </c>
      <c r="F171" s="334" t="str">
        <f t="shared" si="563"/>
        <v>F3Q06</v>
      </c>
      <c r="G171" s="334" t="str">
        <f t="shared" si="563"/>
        <v>F4Q06</v>
      </c>
      <c r="H171" s="333" t="str">
        <f t="shared" si="563"/>
        <v>F1Q07</v>
      </c>
      <c r="I171" s="334" t="str">
        <f t="shared" si="563"/>
        <v>F2Q07</v>
      </c>
      <c r="J171" s="334" t="str">
        <f t="shared" si="563"/>
        <v>F3Q07</v>
      </c>
      <c r="K171" s="334" t="str">
        <f t="shared" si="563"/>
        <v>F4Q07</v>
      </c>
      <c r="L171" s="333" t="str">
        <f t="shared" si="563"/>
        <v>F1Q08</v>
      </c>
      <c r="M171" s="334" t="str">
        <f t="shared" si="563"/>
        <v>F2Q08</v>
      </c>
      <c r="N171" s="334" t="str">
        <f t="shared" si="563"/>
        <v>F3Q08</v>
      </c>
      <c r="O171" s="334" t="str">
        <f t="shared" si="563"/>
        <v>F4Q08</v>
      </c>
      <c r="P171" s="333" t="str">
        <f t="shared" si="563"/>
        <v>F1Q09</v>
      </c>
      <c r="Q171" s="334" t="str">
        <f t="shared" si="563"/>
        <v>F2Q09</v>
      </c>
      <c r="R171" s="334" t="str">
        <f t="shared" si="563"/>
        <v>F3Q09</v>
      </c>
      <c r="S171" s="334" t="str">
        <f t="shared" si="563"/>
        <v>F4Q09</v>
      </c>
      <c r="T171" s="333" t="str">
        <f t="shared" si="563"/>
        <v>F1Q10</v>
      </c>
      <c r="U171" s="334" t="str">
        <f t="shared" si="563"/>
        <v>F2Q10</v>
      </c>
      <c r="V171" s="334" t="str">
        <f t="shared" si="563"/>
        <v>F3Q10</v>
      </c>
      <c r="W171" s="334" t="str">
        <f t="shared" si="563"/>
        <v>F4Q10</v>
      </c>
      <c r="X171" s="340" t="str">
        <f t="shared" si="563"/>
        <v>F1Q11</v>
      </c>
      <c r="Y171" s="341" t="str">
        <f t="shared" si="563"/>
        <v>F2Q11</v>
      </c>
      <c r="Z171" s="341" t="str">
        <f t="shared" si="563"/>
        <v>F3Q11</v>
      </c>
      <c r="AA171" s="334" t="str">
        <f t="shared" si="563"/>
        <v>F4Q11</v>
      </c>
      <c r="AB171" s="340" t="str">
        <f t="shared" si="563"/>
        <v>F1Q12</v>
      </c>
      <c r="AC171" s="341" t="str">
        <f t="shared" si="563"/>
        <v>F2Q12</v>
      </c>
      <c r="AD171" s="341" t="str">
        <f t="shared" si="563"/>
        <v>F3Q12</v>
      </c>
      <c r="AE171" s="334" t="str">
        <f t="shared" si="563"/>
        <v>F4Q12</v>
      </c>
      <c r="AF171" s="340" t="str">
        <f t="shared" si="563"/>
        <v>F1Q13</v>
      </c>
      <c r="AG171" s="334" t="str">
        <f t="shared" si="563"/>
        <v>F2Q13</v>
      </c>
      <c r="AH171" s="341" t="str">
        <f t="shared" si="563"/>
        <v>F3Q13</v>
      </c>
      <c r="AI171" s="334" t="str">
        <f t="shared" si="563"/>
        <v>F4Q13</v>
      </c>
      <c r="AJ171" s="770" t="str">
        <f t="shared" si="563"/>
        <v>F1Q14</v>
      </c>
      <c r="AK171" s="342" t="str">
        <f t="shared" si="563"/>
        <v>F2Q14A</v>
      </c>
      <c r="AL171" s="342" t="str">
        <f t="shared" si="563"/>
        <v>F3Q14A</v>
      </c>
      <c r="AM171" s="343" t="str">
        <f t="shared" si="563"/>
        <v>F4Q14A</v>
      </c>
      <c r="AN171" s="770" t="str">
        <f t="shared" si="563"/>
        <v>F1Q15A</v>
      </c>
      <c r="AO171" s="334" t="str">
        <f t="shared" si="563"/>
        <v>F2Q15A</v>
      </c>
      <c r="AP171" s="334" t="str">
        <f t="shared" si="563"/>
        <v>F3Q15A</v>
      </c>
      <c r="AQ171" s="335" t="str">
        <f t="shared" si="563"/>
        <v>F4Q15A</v>
      </c>
      <c r="AR171" s="770" t="str">
        <f t="shared" ref="AR171:AT171" si="564">AR7</f>
        <v>F1Q16A</v>
      </c>
      <c r="AS171" s="334" t="str">
        <f t="shared" si="564"/>
        <v>F2Q16A</v>
      </c>
      <c r="AT171" s="334" t="str">
        <f t="shared" si="564"/>
        <v>F3Q16A</v>
      </c>
      <c r="AU171" s="335" t="str">
        <f t="shared" si="563"/>
        <v>F4Q16A</v>
      </c>
      <c r="AV171" s="1205" t="str">
        <f t="shared" si="563"/>
        <v>F1Q17A</v>
      </c>
      <c r="AW171" s="1247" t="str">
        <f t="shared" si="563"/>
        <v>F2Q17A</v>
      </c>
      <c r="AX171" s="334" t="str">
        <f t="shared" si="563"/>
        <v>F3Q17A</v>
      </c>
      <c r="AY171" s="335" t="str">
        <f t="shared" si="563"/>
        <v>F4Q17A</v>
      </c>
      <c r="AZ171" s="333" t="str">
        <f t="shared" ref="AZ171:BC171" si="565">AZ7</f>
        <v>F1Q18A</v>
      </c>
      <c r="BA171" s="334" t="str">
        <f t="shared" si="565"/>
        <v>F2Q18E</v>
      </c>
      <c r="BB171" s="334" t="str">
        <f t="shared" si="565"/>
        <v>F3Q18E</v>
      </c>
      <c r="BC171" s="335" t="str">
        <f t="shared" si="565"/>
        <v>F4Q18E</v>
      </c>
      <c r="BD171" s="1246" t="str">
        <f t="shared" ref="BD171:BG171" si="566">BD7</f>
        <v>F1Q19E</v>
      </c>
      <c r="BE171" s="1247" t="str">
        <f t="shared" si="566"/>
        <v>F2Q19E</v>
      </c>
      <c r="BF171" s="1247" t="str">
        <f t="shared" si="566"/>
        <v>F3Q19E</v>
      </c>
      <c r="BG171" s="1248" t="str">
        <f t="shared" si="566"/>
        <v>F4Q19E</v>
      </c>
      <c r="BH171" s="1246" t="str">
        <f t="shared" ref="BH171:BK171" si="567">BH7</f>
        <v>F1Q20E</v>
      </c>
      <c r="BI171" s="1247" t="str">
        <f t="shared" si="567"/>
        <v>F2Q20E</v>
      </c>
      <c r="BJ171" s="1247" t="str">
        <f t="shared" si="567"/>
        <v>F3Q20E</v>
      </c>
      <c r="BK171" s="1248" t="str">
        <f t="shared" si="567"/>
        <v>F4Q20E</v>
      </c>
      <c r="BL171" s="19"/>
      <c r="BM171" s="334" t="str">
        <f t="shared" ref="BM171:BY171" si="568">BM7</f>
        <v>FY2006</v>
      </c>
      <c r="BN171" s="334" t="str">
        <f t="shared" si="568"/>
        <v>FY2007</v>
      </c>
      <c r="BO171" s="334" t="str">
        <f t="shared" si="568"/>
        <v>FY2008</v>
      </c>
      <c r="BP171" s="334" t="str">
        <f t="shared" si="568"/>
        <v>FY2009</v>
      </c>
      <c r="BQ171" s="334" t="str">
        <f t="shared" si="568"/>
        <v>FY2010</v>
      </c>
      <c r="BR171" s="334" t="str">
        <f t="shared" si="568"/>
        <v>FY2011</v>
      </c>
      <c r="BS171" s="334" t="str">
        <f t="shared" si="568"/>
        <v>FY2012</v>
      </c>
      <c r="BT171" s="334" t="str">
        <f t="shared" si="568"/>
        <v>FY2013</v>
      </c>
      <c r="BU171" s="333" t="str">
        <f t="shared" si="568"/>
        <v>FY2014A</v>
      </c>
      <c r="BV171" s="334" t="str">
        <f t="shared" si="568"/>
        <v>FY2015A</v>
      </c>
      <c r="BW171" s="334" t="str">
        <f t="shared" si="568"/>
        <v>FY2016A</v>
      </c>
      <c r="BX171" s="334" t="str">
        <f t="shared" si="568"/>
        <v>FY2017A</v>
      </c>
      <c r="BY171" s="1247" t="str">
        <f t="shared" si="568"/>
        <v>FY2018E</v>
      </c>
      <c r="BZ171" s="1247" t="str">
        <f t="shared" ref="BZ171" si="569">BZ7</f>
        <v>FY2019E</v>
      </c>
      <c r="CA171" s="1248" t="str">
        <f t="shared" ref="CA171" si="570">CA7</f>
        <v>FY2020E</v>
      </c>
      <c r="CB171" s="447"/>
      <c r="CC171" s="333" t="str">
        <f t="shared" ref="CC171:CM171" si="571">CC7</f>
        <v>CY2006</v>
      </c>
      <c r="CD171" s="334" t="str">
        <f t="shared" si="571"/>
        <v>CY2007</v>
      </c>
      <c r="CE171" s="334" t="str">
        <f t="shared" si="571"/>
        <v>CY2008</v>
      </c>
      <c r="CF171" s="334" t="str">
        <f t="shared" si="571"/>
        <v>CY2009</v>
      </c>
      <c r="CG171" s="334" t="str">
        <f t="shared" si="571"/>
        <v>CY2010</v>
      </c>
      <c r="CH171" s="335" t="str">
        <f t="shared" si="571"/>
        <v>CY2011</v>
      </c>
      <c r="CI171" s="333" t="str">
        <f t="shared" si="571"/>
        <v>CY2012</v>
      </c>
      <c r="CJ171" s="334" t="str">
        <f t="shared" si="571"/>
        <v>CY2013</v>
      </c>
      <c r="CK171" s="334" t="str">
        <f t="shared" si="571"/>
        <v>CY2014A</v>
      </c>
      <c r="CL171" s="334" t="str">
        <f t="shared" si="571"/>
        <v>CY2015A</v>
      </c>
      <c r="CM171" s="334" t="str">
        <f t="shared" si="571"/>
        <v>CY2016A</v>
      </c>
      <c r="CN171" s="1247" t="str">
        <f t="shared" ref="CN171:CO171" si="572">CN7</f>
        <v>CY2017A</v>
      </c>
      <c r="CO171" s="1247" t="str">
        <f t="shared" si="572"/>
        <v>CY2018E</v>
      </c>
      <c r="CP171" s="1248" t="str">
        <f t="shared" ref="CP171" si="573">CP7</f>
        <v>CY2019E</v>
      </c>
    </row>
    <row r="172" spans="1:94" ht="14.25" customHeight="1">
      <c r="B172" s="439" t="s">
        <v>242</v>
      </c>
      <c r="C172" s="755"/>
      <c r="D172" s="755"/>
      <c r="E172" s="755"/>
      <c r="F172" s="755"/>
      <c r="G172" s="755"/>
      <c r="H172" s="782"/>
      <c r="I172" s="755"/>
      <c r="J172" s="816" t="s">
        <v>133</v>
      </c>
      <c r="K172" s="825" t="s">
        <v>133</v>
      </c>
      <c r="L172" s="828" t="s">
        <v>133</v>
      </c>
      <c r="M172" s="816" t="s">
        <v>133</v>
      </c>
      <c r="N172" s="816" t="s">
        <v>133</v>
      </c>
      <c r="O172" s="825" t="s">
        <v>133</v>
      </c>
      <c r="P172" s="828" t="s">
        <v>133</v>
      </c>
      <c r="Q172" s="816" t="s">
        <v>133</v>
      </c>
      <c r="R172" s="816" t="s">
        <v>133</v>
      </c>
      <c r="S172" s="825" t="s">
        <v>133</v>
      </c>
      <c r="T172" s="828" t="s">
        <v>133</v>
      </c>
      <c r="U172" s="816" t="s">
        <v>133</v>
      </c>
      <c r="V172" s="816" t="s">
        <v>133</v>
      </c>
      <c r="W172" s="825" t="s">
        <v>133</v>
      </c>
      <c r="X172" s="828" t="s">
        <v>133</v>
      </c>
      <c r="Y172" s="816" t="s">
        <v>133</v>
      </c>
      <c r="Z172" s="816" t="s">
        <v>133</v>
      </c>
      <c r="AA172" s="825" t="s">
        <v>133</v>
      </c>
      <c r="AB172" s="828" t="s">
        <v>133</v>
      </c>
      <c r="AC172" s="816" t="s">
        <v>133</v>
      </c>
      <c r="AD172" s="816" t="s">
        <v>133</v>
      </c>
      <c r="AE172" s="825" t="s">
        <v>133</v>
      </c>
      <c r="AF172" s="828" t="s">
        <v>133</v>
      </c>
      <c r="AG172" s="816" t="s">
        <v>133</v>
      </c>
      <c r="AH172" s="816" t="s">
        <v>133</v>
      </c>
      <c r="AI172" s="825" t="s">
        <v>133</v>
      </c>
      <c r="AJ172" s="879" t="s">
        <v>133</v>
      </c>
      <c r="AK172" s="817" t="s">
        <v>133</v>
      </c>
      <c r="AL172" s="817">
        <v>0.32</v>
      </c>
      <c r="AM172" s="880">
        <v>0.28999999999999998</v>
      </c>
      <c r="AN172" s="879">
        <v>0.28999999999999998</v>
      </c>
      <c r="AO172" s="817">
        <v>0.28000000000000003</v>
      </c>
      <c r="AP172" s="817">
        <v>0.34</v>
      </c>
      <c r="AQ172" s="880">
        <v>0.35</v>
      </c>
      <c r="AR172" s="879">
        <v>0.38</v>
      </c>
      <c r="AS172" s="817">
        <v>0.28000000000000003</v>
      </c>
      <c r="AT172" s="817">
        <v>0.34</v>
      </c>
      <c r="AU172" s="880">
        <v>0.14000000000000001</v>
      </c>
      <c r="AV172" s="879"/>
      <c r="AW172" s="817"/>
      <c r="AX172" s="755"/>
      <c r="AY172" s="807"/>
      <c r="AZ172" s="782"/>
      <c r="BA172" s="755"/>
      <c r="BB172" s="755"/>
      <c r="BC172" s="807"/>
      <c r="BD172" s="782"/>
      <c r="BE172" s="755"/>
      <c r="BF172" s="755"/>
      <c r="BG172" s="807"/>
      <c r="BH172" s="782"/>
      <c r="BI172" s="755"/>
      <c r="BJ172" s="755"/>
      <c r="BK172" s="807"/>
      <c r="BL172" s="895"/>
      <c r="BO172" s="1149"/>
      <c r="BP172" s="755"/>
      <c r="BQ172" s="755"/>
      <c r="BR172" s="755"/>
      <c r="BS172" s="755"/>
      <c r="BT172" s="755"/>
      <c r="BU172" s="782"/>
      <c r="BV172" s="755"/>
      <c r="BW172" s="755"/>
      <c r="BX172" s="757"/>
      <c r="BY172" s="755"/>
      <c r="BZ172" s="755"/>
      <c r="CA172" s="807"/>
      <c r="CB172" s="895"/>
      <c r="CC172" s="782"/>
      <c r="CD172" s="755"/>
      <c r="CE172" s="755"/>
      <c r="CF172" s="755"/>
      <c r="CG172" s="755"/>
      <c r="CH172" s="807"/>
      <c r="CI172" s="782"/>
      <c r="CJ172" s="755"/>
      <c r="CK172" s="755"/>
      <c r="CL172" s="755"/>
      <c r="CM172" s="755"/>
      <c r="CN172" s="755"/>
      <c r="CO172" s="755"/>
      <c r="CP172" s="807"/>
    </row>
    <row r="173" spans="1:94" ht="14.25" customHeight="1">
      <c r="B173" s="329" t="str">
        <f>B162</f>
        <v>Wireless communications</v>
      </c>
      <c r="C173" s="410"/>
      <c r="D173" s="806"/>
      <c r="E173" s="806"/>
      <c r="F173" s="806"/>
      <c r="G173" s="806"/>
      <c r="H173" s="808"/>
      <c r="I173" s="806"/>
      <c r="J173" s="818">
        <v>0.27</v>
      </c>
      <c r="K173" s="826">
        <v>0.28000000000000003</v>
      </c>
      <c r="L173" s="829">
        <v>0.28000000000000003</v>
      </c>
      <c r="M173" s="818">
        <v>0.28999999999999998</v>
      </c>
      <c r="N173" s="818">
        <v>0.31</v>
      </c>
      <c r="O173" s="826">
        <v>0.34</v>
      </c>
      <c r="P173" s="820">
        <f t="shared" ref="P173:AJ173" si="574">P162/P$167</f>
        <v>0.33695652173913043</v>
      </c>
      <c r="Q173" s="819">
        <f t="shared" si="574"/>
        <v>0.43384615384615383</v>
      </c>
      <c r="R173" s="819">
        <f t="shared" si="574"/>
        <v>0.46280991735537191</v>
      </c>
      <c r="S173" s="831">
        <f t="shared" si="574"/>
        <v>0.44158878504672899</v>
      </c>
      <c r="T173" s="820">
        <f t="shared" si="574"/>
        <v>0.37938596491228072</v>
      </c>
      <c r="U173" s="819">
        <f t="shared" si="574"/>
        <v>0.3825242718446602</v>
      </c>
      <c r="V173" s="819">
        <f t="shared" si="574"/>
        <v>0.37636363636363634</v>
      </c>
      <c r="W173" s="831">
        <f t="shared" si="574"/>
        <v>0.38286713286713286</v>
      </c>
      <c r="X173" s="820">
        <f t="shared" si="574"/>
        <v>0.36727272727272725</v>
      </c>
      <c r="Y173" s="819">
        <f t="shared" si="574"/>
        <v>0.36249999999999999</v>
      </c>
      <c r="Z173" s="819">
        <f t="shared" si="574"/>
        <v>0.36981757877280264</v>
      </c>
      <c r="AA173" s="831">
        <f t="shared" si="574"/>
        <v>0.4157303370786517</v>
      </c>
      <c r="AB173" s="820">
        <f t="shared" si="574"/>
        <v>0.45115452930728239</v>
      </c>
      <c r="AC173" s="819">
        <f t="shared" si="574"/>
        <v>0.44194107452339687</v>
      </c>
      <c r="AD173" s="819">
        <f t="shared" si="574"/>
        <v>0.39768976897689767</v>
      </c>
      <c r="AE173" s="831">
        <f t="shared" si="574"/>
        <v>0.50809061488673135</v>
      </c>
      <c r="AF173" s="820">
        <f t="shared" si="574"/>
        <v>0.53472222222222221</v>
      </c>
      <c r="AG173" s="819">
        <f t="shared" si="574"/>
        <v>0.49644128113879005</v>
      </c>
      <c r="AH173" s="819">
        <f t="shared" si="574"/>
        <v>0.44720496894409939</v>
      </c>
      <c r="AI173" s="831">
        <f t="shared" si="574"/>
        <v>0.47000000000000003</v>
      </c>
      <c r="AJ173" s="881">
        <f t="shared" si="574"/>
        <v>0.49224259520451341</v>
      </c>
      <c r="AK173" s="821">
        <v>0.5</v>
      </c>
      <c r="AL173" s="821">
        <v>0.28000000000000003</v>
      </c>
      <c r="AM173" s="882">
        <v>0.4</v>
      </c>
      <c r="AN173" s="881">
        <v>0.4</v>
      </c>
      <c r="AO173" s="821">
        <v>0.35</v>
      </c>
      <c r="AP173" s="821">
        <v>0.35</v>
      </c>
      <c r="AQ173" s="882">
        <v>0.37</v>
      </c>
      <c r="AR173" s="881">
        <v>0.33</v>
      </c>
      <c r="AS173" s="821">
        <v>0.35</v>
      </c>
      <c r="AT173" s="821">
        <v>0.35</v>
      </c>
      <c r="AU173" s="882">
        <v>0.32</v>
      </c>
      <c r="AV173" s="881"/>
      <c r="AW173" s="821"/>
      <c r="AX173" s="460"/>
      <c r="AY173" s="458"/>
      <c r="AZ173" s="459"/>
      <c r="BA173" s="460"/>
      <c r="BB173" s="460"/>
      <c r="BC173" s="458"/>
      <c r="BD173" s="459"/>
      <c r="BE173" s="460"/>
      <c r="BF173" s="460"/>
      <c r="BG173" s="458"/>
      <c r="BH173" s="459"/>
      <c r="BI173" s="460"/>
      <c r="BJ173" s="460"/>
      <c r="BK173" s="458"/>
      <c r="BL173" s="447"/>
      <c r="BM173" s="301"/>
      <c r="BN173" s="241"/>
      <c r="BO173" s="241">
        <f>BO162/'AVGO IS'!$BO$8</f>
        <v>0.30595644496762803</v>
      </c>
      <c r="BP173" s="1149">
        <f>BP162/'AVGO IS'!$BP$8</f>
        <v>0.41913746630727761</v>
      </c>
      <c r="BQ173" s="1149">
        <f>BQ162/'AVGO IS'!$BQ$8</f>
        <v>0.38031533683707597</v>
      </c>
      <c r="BR173" s="1149">
        <f>BR162/'AVGO IS'!$BR$8</f>
        <v>0.37970890410958902</v>
      </c>
      <c r="BS173" s="241">
        <f>BS162/'AVGO IS'!$BS$8</f>
        <v>0.45008460236886633</v>
      </c>
      <c r="BT173" s="301"/>
      <c r="BU173" s="632"/>
      <c r="BV173" s="301"/>
      <c r="BW173" s="301"/>
      <c r="BX173" s="301"/>
      <c r="BY173" s="452"/>
      <c r="BZ173" s="452"/>
      <c r="CA173" s="461"/>
      <c r="CB173" s="1439"/>
      <c r="CC173" s="629"/>
      <c r="CD173" s="241"/>
      <c r="CE173" s="241">
        <f>CE162/'AVGO IS'!CE$8</f>
        <v>0.31907507507507504</v>
      </c>
      <c r="CF173" s="241">
        <f>CF162/'AVGO IS'!CF$8</f>
        <v>0.42684478371501272</v>
      </c>
      <c r="CG173" s="1149">
        <f>CG162/'AVGO IS'!CG$8</f>
        <v>0.37722908093278462</v>
      </c>
      <c r="CH173" s="285">
        <f>CH162/'AVGO IS'!CH$8</f>
        <v>0.39974457215836529</v>
      </c>
      <c r="CI173" s="629">
        <f>CI162/'AVGO IS'!CI$8</f>
        <v>0.47034076567101391</v>
      </c>
      <c r="CJ173" s="241"/>
      <c r="CK173" s="241"/>
      <c r="CL173" s="241"/>
      <c r="CM173" s="301"/>
      <c r="CN173" s="301"/>
      <c r="CO173" s="301"/>
      <c r="CP173" s="367"/>
    </row>
    <row r="174" spans="1:94" ht="14.25" customHeight="1">
      <c r="B174" s="329" t="str">
        <f>B163</f>
        <v>Avago's Wired Infrastructure</v>
      </c>
      <c r="C174" s="410"/>
      <c r="D174" s="463"/>
      <c r="E174" s="463"/>
      <c r="F174" s="463"/>
      <c r="G174" s="463"/>
      <c r="H174" s="462"/>
      <c r="I174" s="463"/>
      <c r="J174" s="822">
        <v>0.27</v>
      </c>
      <c r="K174" s="827">
        <v>0.26</v>
      </c>
      <c r="L174" s="830">
        <v>0.28999999999999998</v>
      </c>
      <c r="M174" s="822">
        <v>0.28999999999999998</v>
      </c>
      <c r="N174" s="822">
        <v>0.27</v>
      </c>
      <c r="O174" s="827">
        <v>0.25</v>
      </c>
      <c r="P174" s="824">
        <f t="shared" ref="P174:AJ174" si="575">P163/P$167</f>
        <v>0.27989130434782611</v>
      </c>
      <c r="Q174" s="823">
        <f t="shared" si="575"/>
        <v>0.27692307692307694</v>
      </c>
      <c r="R174" s="823">
        <f t="shared" si="575"/>
        <v>0.23966942148760331</v>
      </c>
      <c r="S174" s="832">
        <f t="shared" si="575"/>
        <v>0.24299065420560748</v>
      </c>
      <c r="T174" s="824">
        <f t="shared" si="575"/>
        <v>0.26315789473684209</v>
      </c>
      <c r="U174" s="823">
        <f t="shared" si="575"/>
        <v>0.23883495145631067</v>
      </c>
      <c r="V174" s="823">
        <f t="shared" si="575"/>
        <v>0.22363636363636363</v>
      </c>
      <c r="W174" s="832">
        <f t="shared" si="575"/>
        <v>0.25</v>
      </c>
      <c r="X174" s="824">
        <f t="shared" si="575"/>
        <v>0.2781818181818182</v>
      </c>
      <c r="Y174" s="823">
        <f t="shared" si="575"/>
        <v>0.2857142857142857</v>
      </c>
      <c r="Z174" s="823">
        <f t="shared" si="575"/>
        <v>0.28026533996683251</v>
      </c>
      <c r="AA174" s="832">
        <f t="shared" si="575"/>
        <v>0.2841091492776886</v>
      </c>
      <c r="AB174" s="824">
        <f t="shared" si="575"/>
        <v>0.28774422735346361</v>
      </c>
      <c r="AC174" s="823">
        <f t="shared" si="575"/>
        <v>0.29116117850953205</v>
      </c>
      <c r="AD174" s="823">
        <f t="shared" si="575"/>
        <v>0.28547854785478549</v>
      </c>
      <c r="AE174" s="832">
        <f t="shared" si="575"/>
        <v>0.25728155339805825</v>
      </c>
      <c r="AF174" s="824">
        <f t="shared" si="575"/>
        <v>0.2482638888888889</v>
      </c>
      <c r="AG174" s="823">
        <f t="shared" si="575"/>
        <v>0.27224199288256229</v>
      </c>
      <c r="AH174" s="823">
        <f t="shared" si="575"/>
        <v>0.31366459627329191</v>
      </c>
      <c r="AI174" s="832">
        <f t="shared" si="575"/>
        <v>0.25430894308943092</v>
      </c>
      <c r="AJ174" s="881">
        <f t="shared" si="575"/>
        <v>0.24279266572637515</v>
      </c>
      <c r="AK174" s="821">
        <v>0.31</v>
      </c>
      <c r="AL174" s="821">
        <v>0.27</v>
      </c>
      <c r="AM174" s="882">
        <v>0.22</v>
      </c>
      <c r="AN174" s="881">
        <v>0.21</v>
      </c>
      <c r="AO174" s="821">
        <v>0.23</v>
      </c>
      <c r="AP174" s="821">
        <v>0.21</v>
      </c>
      <c r="AQ174" s="882">
        <v>0.2</v>
      </c>
      <c r="AR174" s="881">
        <v>0.22</v>
      </c>
      <c r="AS174" s="821">
        <v>0.23</v>
      </c>
      <c r="AT174" s="821">
        <v>0.21</v>
      </c>
      <c r="AU174" s="882">
        <v>0.5</v>
      </c>
      <c r="AV174" s="881"/>
      <c r="AW174" s="821"/>
      <c r="AX174" s="460"/>
      <c r="AY174" s="458"/>
      <c r="AZ174" s="459"/>
      <c r="BA174" s="460"/>
      <c r="BB174" s="460"/>
      <c r="BC174" s="458"/>
      <c r="BD174" s="459"/>
      <c r="BE174" s="460"/>
      <c r="BF174" s="460"/>
      <c r="BG174" s="458"/>
      <c r="BH174" s="459"/>
      <c r="BI174" s="460"/>
      <c r="BJ174" s="460"/>
      <c r="BK174" s="458"/>
      <c r="BL174" s="455"/>
      <c r="BM174" s="301"/>
      <c r="BN174" s="241"/>
      <c r="BO174" s="1149">
        <f>BO163/'AVGO IS'!$BO$8</f>
        <v>0.2743084167157151</v>
      </c>
      <c r="BP174" s="241">
        <f>BP163/'AVGO IS'!$BP$8</f>
        <v>0.2587601078167116</v>
      </c>
      <c r="BQ174" s="1149">
        <f>BQ163/'AVGO IS'!$BQ$8</f>
        <v>0.24319159101767798</v>
      </c>
      <c r="BR174" s="1149">
        <f>BR163/'AVGO IS'!$BR$8</f>
        <v>0.28210616438356162</v>
      </c>
      <c r="BS174" s="241">
        <f>BS163/'AVGO IS'!$BS$8</f>
        <v>0.28003384094754652</v>
      </c>
      <c r="BT174" s="301"/>
      <c r="BU174" s="632"/>
      <c r="BV174" s="301"/>
      <c r="BW174" s="301"/>
      <c r="BX174" s="301"/>
      <c r="BY174" s="452"/>
      <c r="BZ174" s="452"/>
      <c r="CA174" s="461"/>
      <c r="CB174" s="1439"/>
      <c r="CC174" s="629"/>
      <c r="CD174" s="241"/>
      <c r="CE174" s="241">
        <f>CE163/'AVGO IS'!CE$8</f>
        <v>0.27175375375375377</v>
      </c>
      <c r="CF174" s="241">
        <f>CF163/'AVGO IS'!CF$8</f>
        <v>0.25508905852417302</v>
      </c>
      <c r="CG174" s="1149">
        <f>CG163/'AVGO IS'!CG$8</f>
        <v>0.24782807498856882</v>
      </c>
      <c r="CH174" s="285">
        <f>CH163/'AVGO IS'!CH$8</f>
        <v>0.28437633035334187</v>
      </c>
      <c r="CI174" s="629">
        <f>CI163/'AVGO IS'!CI$8</f>
        <v>0.27050904501472445</v>
      </c>
      <c r="CJ174" s="241"/>
      <c r="CK174" s="241"/>
      <c r="CL174" s="241"/>
      <c r="CM174" s="301"/>
      <c r="CN174" s="301"/>
      <c r="CO174" s="301"/>
      <c r="CP174" s="367"/>
    </row>
    <row r="175" spans="1:94" ht="14.25" customHeight="1">
      <c r="B175" s="329" t="str">
        <f>B164</f>
        <v>CyOptics</v>
      </c>
      <c r="C175" s="410"/>
      <c r="D175" s="463"/>
      <c r="E175" s="463"/>
      <c r="F175" s="463"/>
      <c r="G175" s="463"/>
      <c r="H175" s="462"/>
      <c r="I175" s="463"/>
      <c r="J175" s="822">
        <v>0</v>
      </c>
      <c r="K175" s="827">
        <v>0</v>
      </c>
      <c r="L175" s="830">
        <v>0</v>
      </c>
      <c r="M175" s="822">
        <v>0</v>
      </c>
      <c r="N175" s="822">
        <v>0</v>
      </c>
      <c r="O175" s="827">
        <v>0</v>
      </c>
      <c r="P175" s="824">
        <f t="shared" ref="P175:AJ175" si="576">P164/P$167</f>
        <v>0</v>
      </c>
      <c r="Q175" s="823">
        <f t="shared" si="576"/>
        <v>0</v>
      </c>
      <c r="R175" s="823">
        <f t="shared" si="576"/>
        <v>0</v>
      </c>
      <c r="S175" s="832">
        <f t="shared" si="576"/>
        <v>0</v>
      </c>
      <c r="T175" s="824">
        <f t="shared" si="576"/>
        <v>0</v>
      </c>
      <c r="U175" s="823">
        <f t="shared" si="576"/>
        <v>0</v>
      </c>
      <c r="V175" s="823">
        <f t="shared" si="576"/>
        <v>0</v>
      </c>
      <c r="W175" s="832">
        <f t="shared" si="576"/>
        <v>0</v>
      </c>
      <c r="X175" s="824">
        <f t="shared" si="576"/>
        <v>0</v>
      </c>
      <c r="Y175" s="823">
        <f t="shared" si="576"/>
        <v>0</v>
      </c>
      <c r="Z175" s="823">
        <f t="shared" si="576"/>
        <v>0</v>
      </c>
      <c r="AA175" s="832">
        <f t="shared" si="576"/>
        <v>0</v>
      </c>
      <c r="AB175" s="824">
        <f t="shared" si="576"/>
        <v>0</v>
      </c>
      <c r="AC175" s="823">
        <f t="shared" si="576"/>
        <v>0</v>
      </c>
      <c r="AD175" s="823">
        <f t="shared" si="576"/>
        <v>0</v>
      </c>
      <c r="AE175" s="832">
        <f t="shared" si="576"/>
        <v>0</v>
      </c>
      <c r="AF175" s="824">
        <f t="shared" si="576"/>
        <v>0</v>
      </c>
      <c r="AG175" s="823">
        <f t="shared" si="576"/>
        <v>0</v>
      </c>
      <c r="AH175" s="823">
        <f t="shared" si="576"/>
        <v>0</v>
      </c>
      <c r="AI175" s="832">
        <f t="shared" si="576"/>
        <v>7.5691056910569099E-2</v>
      </c>
      <c r="AJ175" s="881">
        <f t="shared" si="576"/>
        <v>7.8787023977433007E-2</v>
      </c>
      <c r="AK175" s="821">
        <v>0</v>
      </c>
      <c r="AL175" s="821">
        <v>0</v>
      </c>
      <c r="AM175" s="882">
        <v>0</v>
      </c>
      <c r="AN175" s="881">
        <v>0</v>
      </c>
      <c r="AO175" s="821">
        <v>0</v>
      </c>
      <c r="AP175" s="821">
        <v>0</v>
      </c>
      <c r="AQ175" s="882">
        <v>0</v>
      </c>
      <c r="AR175" s="881">
        <v>0</v>
      </c>
      <c r="AS175" s="821">
        <v>0</v>
      </c>
      <c r="AT175" s="821">
        <v>0</v>
      </c>
      <c r="AU175" s="882">
        <v>0</v>
      </c>
      <c r="AV175" s="881"/>
      <c r="AW175" s="821"/>
      <c r="AX175" s="460"/>
      <c r="AY175" s="458"/>
      <c r="AZ175" s="459"/>
      <c r="BA175" s="460"/>
      <c r="BB175" s="460"/>
      <c r="BC175" s="458"/>
      <c r="BD175" s="459"/>
      <c r="BE175" s="460"/>
      <c r="BF175" s="460"/>
      <c r="BG175" s="458"/>
      <c r="BH175" s="459"/>
      <c r="BI175" s="460"/>
      <c r="BJ175" s="460"/>
      <c r="BK175" s="458"/>
      <c r="BL175" s="455"/>
      <c r="BM175" s="301"/>
      <c r="BN175" s="241"/>
      <c r="BO175" s="1149">
        <f>BO165/'AVGO IS'!BO$8</f>
        <v>0.3023719835197175</v>
      </c>
      <c r="BP175" s="241">
        <f>BP165/'AVGO IS'!BP$8</f>
        <v>0.22371967654986524</v>
      </c>
      <c r="BQ175" s="1149">
        <f>BQ165/'AVGO IS'!BQ$8</f>
        <v>0.28905876731963687</v>
      </c>
      <c r="BR175" s="1149">
        <f>BR165/'AVGO IS'!BR$8</f>
        <v>0.28767123287671231</v>
      </c>
      <c r="BS175" s="241">
        <f>BS165/'AVGO IS'!BS$8</f>
        <v>0.21912013536379019</v>
      </c>
      <c r="BT175" s="301"/>
      <c r="BU175" s="632"/>
      <c r="BV175" s="301"/>
      <c r="BW175" s="301"/>
      <c r="BX175" s="301"/>
      <c r="BY175" s="452"/>
      <c r="BZ175" s="452"/>
      <c r="CA175" s="461"/>
      <c r="CB175" s="1439"/>
      <c r="CC175" s="629"/>
      <c r="CD175" s="241"/>
      <c r="CE175" s="241">
        <f>CE165/'AVGO IS'!CE$8</f>
        <v>0.29857657657657655</v>
      </c>
      <c r="CF175" s="241">
        <f>CF165/'AVGO IS'!CF$8</f>
        <v>0.21946564885496184</v>
      </c>
      <c r="CG175" s="1149">
        <f>CG165/'AVGO IS'!CG$8</f>
        <v>0.29903978052126201</v>
      </c>
      <c r="CH175" s="285">
        <f>CH165/'AVGO IS'!CH$8</f>
        <v>0.26394210302256277</v>
      </c>
      <c r="CI175" s="629">
        <f>CI165/'AVGO IS'!CI$8</f>
        <v>0.22254943205721497</v>
      </c>
      <c r="CJ175" s="241"/>
      <c r="CK175" s="241"/>
      <c r="CL175" s="241"/>
      <c r="CM175" s="301"/>
      <c r="CN175" s="301"/>
      <c r="CO175" s="301"/>
      <c r="CP175" s="367"/>
    </row>
    <row r="176" spans="1:94" ht="14.25" customHeight="1">
      <c r="B176" s="329" t="str">
        <f>B156</f>
        <v>Industrial &amp; Other</v>
      </c>
      <c r="C176" s="410"/>
      <c r="D176" s="463"/>
      <c r="E176" s="463"/>
      <c r="F176" s="463"/>
      <c r="G176" s="463"/>
      <c r="H176" s="462"/>
      <c r="I176" s="463"/>
      <c r="J176" s="822">
        <v>0.32</v>
      </c>
      <c r="K176" s="827">
        <v>0.31</v>
      </c>
      <c r="L176" s="830">
        <v>0.3</v>
      </c>
      <c r="M176" s="822">
        <v>0.31</v>
      </c>
      <c r="N176" s="822">
        <v>0.31</v>
      </c>
      <c r="O176" s="827">
        <v>0.28999999999999998</v>
      </c>
      <c r="P176" s="824">
        <f t="shared" ref="P176:AJ176" si="577">P165/P$167</f>
        <v>0.28260869565217389</v>
      </c>
      <c r="Q176" s="823">
        <f t="shared" si="577"/>
        <v>0.20307692307692307</v>
      </c>
      <c r="R176" s="823">
        <f t="shared" si="577"/>
        <v>0.1928374655647383</v>
      </c>
      <c r="S176" s="832">
        <f t="shared" si="577"/>
        <v>0.21495327102803738</v>
      </c>
      <c r="T176" s="824">
        <f t="shared" si="577"/>
        <v>0.25657894736842107</v>
      </c>
      <c r="U176" s="823">
        <f t="shared" si="577"/>
        <v>0.28543689320388349</v>
      </c>
      <c r="V176" s="823">
        <f t="shared" si="577"/>
        <v>0.30909090909090908</v>
      </c>
      <c r="W176" s="832">
        <f t="shared" si="577"/>
        <v>0.29895104895104896</v>
      </c>
      <c r="X176" s="824">
        <f t="shared" si="577"/>
        <v>0.30181818181818182</v>
      </c>
      <c r="Y176" s="823">
        <f t="shared" si="577"/>
        <v>0.29821428571428571</v>
      </c>
      <c r="Z176" s="823">
        <f t="shared" si="577"/>
        <v>0.29519071310116085</v>
      </c>
      <c r="AA176" s="832">
        <f t="shared" si="577"/>
        <v>0.25842696629213485</v>
      </c>
      <c r="AB176" s="824">
        <f t="shared" si="577"/>
        <v>0.2024866785079929</v>
      </c>
      <c r="AC176" s="823">
        <f t="shared" si="577"/>
        <v>0.21490467937608318</v>
      </c>
      <c r="AD176" s="823">
        <f t="shared" si="577"/>
        <v>0.24422442244224424</v>
      </c>
      <c r="AE176" s="832">
        <f t="shared" si="577"/>
        <v>0.21359223300970873</v>
      </c>
      <c r="AF176" s="824">
        <f t="shared" si="577"/>
        <v>0.2170138888888889</v>
      </c>
      <c r="AG176" s="823">
        <f t="shared" si="577"/>
        <v>0.23131672597864769</v>
      </c>
      <c r="AH176" s="823">
        <f t="shared" si="577"/>
        <v>0.2391304347826087</v>
      </c>
      <c r="AI176" s="832">
        <f t="shared" si="577"/>
        <v>0.19999999999999998</v>
      </c>
      <c r="AJ176" s="881">
        <f t="shared" si="577"/>
        <v>0.18617771509167841</v>
      </c>
      <c r="AK176" s="821">
        <v>0.19</v>
      </c>
      <c r="AL176" s="821">
        <v>0.13</v>
      </c>
      <c r="AM176" s="882">
        <v>0.09</v>
      </c>
      <c r="AN176" s="881">
        <v>0.1</v>
      </c>
      <c r="AO176" s="821">
        <v>0.14000000000000001</v>
      </c>
      <c r="AP176" s="821">
        <v>0.1</v>
      </c>
      <c r="AQ176" s="882">
        <v>0.08</v>
      </c>
      <c r="AR176" s="881">
        <v>7.0000000000000007E-2</v>
      </c>
      <c r="AS176" s="821">
        <v>0.14000000000000001</v>
      </c>
      <c r="AT176" s="821">
        <v>0.1</v>
      </c>
      <c r="AU176" s="882">
        <v>0.04</v>
      </c>
      <c r="AV176" s="881"/>
      <c r="AW176" s="821"/>
      <c r="AX176" s="839"/>
      <c r="AY176" s="840"/>
      <c r="AZ176" s="838"/>
      <c r="BA176" s="839"/>
      <c r="BB176" s="839"/>
      <c r="BC176" s="840"/>
      <c r="BD176" s="838"/>
      <c r="BE176" s="839"/>
      <c r="BF176" s="839"/>
      <c r="BG176" s="840"/>
      <c r="BH176" s="838"/>
      <c r="BI176" s="839"/>
      <c r="BJ176" s="839"/>
      <c r="BK176" s="840"/>
      <c r="BL176" s="455"/>
      <c r="BM176" s="301"/>
      <c r="BN176" s="241"/>
      <c r="BO176" s="1149">
        <f>BO166/'AVGO IS'!BO$8</f>
        <v>0.11736315479693936</v>
      </c>
      <c r="BP176" s="241">
        <f>BP166/'AVGO IS'!BP$8</f>
        <v>9.8382749326145547E-2</v>
      </c>
      <c r="BQ176" s="1149">
        <f>BQ166/'AVGO IS'!BQ$8</f>
        <v>8.7434304825609169E-2</v>
      </c>
      <c r="BR176" s="1178">
        <f>BR166/'AVGO IS'!BR$8</f>
        <v>5.0513698630136987E-2</v>
      </c>
      <c r="BS176" s="267">
        <f>BS166/'AVGO IS'!BS$8</f>
        <v>5.0761421319796954E-2</v>
      </c>
      <c r="BT176" s="841"/>
      <c r="BU176" s="885"/>
      <c r="BV176" s="841"/>
      <c r="BW176" s="841"/>
      <c r="BX176" s="841"/>
      <c r="BY176" s="452"/>
      <c r="BZ176" s="452"/>
      <c r="CA176" s="461"/>
      <c r="CB176" s="1439"/>
      <c r="CC176" s="269"/>
      <c r="CD176" s="267"/>
      <c r="CE176" s="267">
        <f>CE166/'AVGO IS'!CE$8</f>
        <v>0.11059459459459459</v>
      </c>
      <c r="CF176" s="267">
        <f>CF166/'AVGO IS'!CF$8</f>
        <v>9.8600508905852424E-2</v>
      </c>
      <c r="CG176" s="1178">
        <f>CG166/'AVGO IS'!CG$8</f>
        <v>7.5903063557384548E-2</v>
      </c>
      <c r="CH176" s="268">
        <f>CH166/'AVGO IS'!CH$8</f>
        <v>5.1936994465730101E-2</v>
      </c>
      <c r="CI176" s="269">
        <f>CI166/'AVGO IS'!CI$8</f>
        <v>3.6600757257046694E-2</v>
      </c>
      <c r="CJ176" s="267"/>
      <c r="CK176" s="267"/>
      <c r="CL176" s="267"/>
      <c r="CM176" s="841"/>
      <c r="CN176" s="841"/>
      <c r="CO176" s="841"/>
      <c r="CP176" s="842"/>
    </row>
    <row r="177" spans="1:94" ht="14.25" hidden="1" customHeight="1">
      <c r="B177" s="329" t="str">
        <f>B166</f>
        <v>Consumer and Computing Peripherals</v>
      </c>
      <c r="C177" s="410"/>
      <c r="D177" s="463"/>
      <c r="E177" s="463"/>
      <c r="F177" s="463"/>
      <c r="G177" s="463"/>
      <c r="H177" s="462"/>
      <c r="I177" s="463"/>
      <c r="J177" s="822">
        <v>0.14000000000000001</v>
      </c>
      <c r="K177" s="827">
        <v>0.15</v>
      </c>
      <c r="L177" s="830">
        <v>0.13</v>
      </c>
      <c r="M177" s="822">
        <v>0.11</v>
      </c>
      <c r="N177" s="822">
        <v>0.11</v>
      </c>
      <c r="O177" s="827">
        <v>0.12</v>
      </c>
      <c r="P177" s="824">
        <f t="shared" ref="P177:AJ177" si="578">P166/P$167</f>
        <v>0.10054347826086957</v>
      </c>
      <c r="Q177" s="823">
        <f t="shared" si="578"/>
        <v>8.615384615384615E-2</v>
      </c>
      <c r="R177" s="823">
        <f t="shared" si="578"/>
        <v>0.1046831955922865</v>
      </c>
      <c r="S177" s="832">
        <f t="shared" si="578"/>
        <v>0.10046728971962617</v>
      </c>
      <c r="T177" s="824">
        <f t="shared" si="578"/>
        <v>0.10087719298245613</v>
      </c>
      <c r="U177" s="823">
        <f t="shared" si="578"/>
        <v>9.3203883495145634E-2</v>
      </c>
      <c r="V177" s="823">
        <f t="shared" si="578"/>
        <v>9.0909090909090912E-2</v>
      </c>
      <c r="W177" s="832">
        <f t="shared" si="578"/>
        <v>6.8181818181818177E-2</v>
      </c>
      <c r="X177" s="824">
        <f t="shared" si="578"/>
        <v>5.2727272727272727E-2</v>
      </c>
      <c r="Y177" s="823">
        <f t="shared" si="578"/>
        <v>5.3571428571428568E-2</v>
      </c>
      <c r="Z177" s="823">
        <f t="shared" si="578"/>
        <v>5.4726368159203981E-2</v>
      </c>
      <c r="AA177" s="832">
        <f t="shared" si="578"/>
        <v>4.1733547351524881E-2</v>
      </c>
      <c r="AB177" s="824">
        <f t="shared" si="578"/>
        <v>5.8614564831261103E-2</v>
      </c>
      <c r="AC177" s="823">
        <f t="shared" si="578"/>
        <v>5.1993067590987867E-2</v>
      </c>
      <c r="AD177" s="823">
        <f t="shared" si="578"/>
        <v>7.2607260726072612E-2</v>
      </c>
      <c r="AE177" s="832">
        <f t="shared" si="578"/>
        <v>2.1035598705501618E-2</v>
      </c>
      <c r="AF177" s="824">
        <f t="shared" si="578"/>
        <v>0</v>
      </c>
      <c r="AG177" s="823">
        <f t="shared" si="578"/>
        <v>0</v>
      </c>
      <c r="AH177" s="823">
        <f t="shared" si="578"/>
        <v>0</v>
      </c>
      <c r="AI177" s="832">
        <f t="shared" si="578"/>
        <v>0</v>
      </c>
      <c r="AJ177" s="881">
        <f t="shared" si="578"/>
        <v>0</v>
      </c>
      <c r="AK177" s="821">
        <v>0</v>
      </c>
      <c r="AL177" s="821">
        <v>0</v>
      </c>
      <c r="AM177" s="882">
        <v>0</v>
      </c>
      <c r="AN177" s="881">
        <v>0</v>
      </c>
      <c r="AO177" s="821">
        <v>0</v>
      </c>
      <c r="AP177" s="821"/>
      <c r="AQ177" s="882">
        <v>0</v>
      </c>
      <c r="AR177" s="881">
        <v>0</v>
      </c>
      <c r="AS177" s="821">
        <v>0</v>
      </c>
      <c r="AT177" s="821"/>
      <c r="AU177" s="882">
        <v>0</v>
      </c>
      <c r="AV177" s="881"/>
      <c r="AW177" s="821"/>
      <c r="AX177" s="460"/>
      <c r="AY177" s="458"/>
      <c r="AZ177" s="459"/>
      <c r="BA177" s="460"/>
      <c r="BB177" s="460"/>
      <c r="BC177" s="458"/>
      <c r="BD177" s="459"/>
      <c r="BE177" s="460"/>
      <c r="BF177" s="460"/>
      <c r="BG177" s="458"/>
      <c r="BH177" s="459"/>
      <c r="BI177" s="460"/>
      <c r="BJ177" s="460"/>
      <c r="BK177" s="458"/>
      <c r="BL177" s="447"/>
      <c r="BM177" s="301"/>
      <c r="BN177" s="241"/>
      <c r="BO177" s="241" t="e">
        <f>BO166/#REF!</f>
        <v>#REF!</v>
      </c>
      <c r="BP177" s="241" t="e">
        <f>BP166/#REF!</f>
        <v>#REF!</v>
      </c>
      <c r="BQ177" s="241" t="e">
        <f>BQ166/#REF!</f>
        <v>#REF!</v>
      </c>
      <c r="BR177" s="241" t="e">
        <f>BR166/#REF!</f>
        <v>#REF!</v>
      </c>
      <c r="BS177" s="241" t="e">
        <f>BS166/#REF!</f>
        <v>#REF!</v>
      </c>
      <c r="BT177" s="301"/>
      <c r="BU177" s="301"/>
      <c r="BV177" s="301"/>
      <c r="BW177" s="301"/>
      <c r="BX177" s="301"/>
      <c r="BY177" s="452"/>
      <c r="BZ177" s="452"/>
      <c r="CA177" s="461"/>
      <c r="CB177" s="1439"/>
      <c r="CC177" s="629"/>
      <c r="CD177" s="241"/>
      <c r="CE177" s="241" t="e">
        <f>CE166/#REF!</f>
        <v>#REF!</v>
      </c>
      <c r="CF177" s="241" t="e">
        <f>CF166/#REF!</f>
        <v>#REF!</v>
      </c>
      <c r="CG177" s="1149" t="e">
        <f>CG166/#REF!</f>
        <v>#REF!</v>
      </c>
      <c r="CH177" s="285" t="e">
        <f>CH166/#REF!</f>
        <v>#REF!</v>
      </c>
      <c r="CI177" s="629" t="e">
        <f>CI166/#REF!</f>
        <v>#REF!</v>
      </c>
      <c r="CJ177" s="241"/>
      <c r="CK177" s="241"/>
      <c r="CL177" s="241"/>
      <c r="CM177" s="301"/>
      <c r="CN177" s="301"/>
      <c r="CO177" s="301"/>
      <c r="CP177" s="367"/>
    </row>
    <row r="178" spans="1:94" s="99" customFormat="1" ht="14.25" customHeight="1">
      <c r="B178" s="464" t="s">
        <v>214</v>
      </c>
      <c r="C178" s="834"/>
      <c r="D178" s="466"/>
      <c r="E178" s="466"/>
      <c r="F178" s="466"/>
      <c r="G178" s="466"/>
      <c r="H178" s="465"/>
      <c r="I178" s="466"/>
      <c r="J178" s="835">
        <f t="shared" ref="J178:AK178" si="579">SUM(J173:J177)</f>
        <v>1</v>
      </c>
      <c r="K178" s="836">
        <f t="shared" si="579"/>
        <v>1</v>
      </c>
      <c r="L178" s="837">
        <f t="shared" si="579"/>
        <v>1</v>
      </c>
      <c r="M178" s="835">
        <f t="shared" si="579"/>
        <v>0.99999999999999989</v>
      </c>
      <c r="N178" s="835">
        <f t="shared" si="579"/>
        <v>1.0000000000000002</v>
      </c>
      <c r="O178" s="836">
        <f t="shared" si="579"/>
        <v>1</v>
      </c>
      <c r="P178" s="837">
        <f t="shared" si="579"/>
        <v>1</v>
      </c>
      <c r="Q178" s="835">
        <f t="shared" si="579"/>
        <v>1</v>
      </c>
      <c r="R178" s="835">
        <f t="shared" si="579"/>
        <v>1</v>
      </c>
      <c r="S178" s="836">
        <f t="shared" si="579"/>
        <v>1</v>
      </c>
      <c r="T178" s="837">
        <f t="shared" si="579"/>
        <v>1</v>
      </c>
      <c r="U178" s="835">
        <f t="shared" si="579"/>
        <v>1</v>
      </c>
      <c r="V178" s="835">
        <f t="shared" si="579"/>
        <v>1</v>
      </c>
      <c r="W178" s="836">
        <f t="shared" si="579"/>
        <v>1</v>
      </c>
      <c r="X178" s="837">
        <f t="shared" si="579"/>
        <v>1</v>
      </c>
      <c r="Y178" s="835">
        <f t="shared" si="579"/>
        <v>1</v>
      </c>
      <c r="Z178" s="835">
        <f t="shared" si="579"/>
        <v>0.99999999999999989</v>
      </c>
      <c r="AA178" s="836">
        <f t="shared" si="579"/>
        <v>1</v>
      </c>
      <c r="AB178" s="837">
        <f t="shared" si="579"/>
        <v>1</v>
      </c>
      <c r="AC178" s="835">
        <f t="shared" si="579"/>
        <v>1</v>
      </c>
      <c r="AD178" s="835">
        <f t="shared" si="579"/>
        <v>1</v>
      </c>
      <c r="AE178" s="836">
        <f t="shared" si="579"/>
        <v>1</v>
      </c>
      <c r="AF178" s="837">
        <f t="shared" si="579"/>
        <v>1</v>
      </c>
      <c r="AG178" s="835">
        <f t="shared" si="579"/>
        <v>1</v>
      </c>
      <c r="AH178" s="835">
        <f t="shared" si="579"/>
        <v>1</v>
      </c>
      <c r="AI178" s="836">
        <f t="shared" si="579"/>
        <v>1</v>
      </c>
      <c r="AJ178" s="837">
        <f t="shared" si="579"/>
        <v>1</v>
      </c>
      <c r="AK178" s="835">
        <f t="shared" si="579"/>
        <v>1</v>
      </c>
      <c r="AL178" s="835">
        <f t="shared" ref="AL178:AQ178" si="580">SUM(AL172:AL177)</f>
        <v>1</v>
      </c>
      <c r="AM178" s="836">
        <f t="shared" si="580"/>
        <v>0.99999999999999989</v>
      </c>
      <c r="AN178" s="837">
        <f t="shared" si="580"/>
        <v>0.99999999999999989</v>
      </c>
      <c r="AO178" s="835">
        <f t="shared" si="580"/>
        <v>1</v>
      </c>
      <c r="AP178" s="835">
        <f t="shared" si="580"/>
        <v>0.99999999999999989</v>
      </c>
      <c r="AQ178" s="836">
        <f t="shared" si="580"/>
        <v>0.99999999999999989</v>
      </c>
      <c r="AR178" s="837">
        <f t="shared" ref="AR178:AU178" si="581">SUM(AR172:AR177)</f>
        <v>1</v>
      </c>
      <c r="AS178" s="835">
        <f t="shared" si="581"/>
        <v>1</v>
      </c>
      <c r="AT178" s="835">
        <f t="shared" si="581"/>
        <v>0.99999999999999989</v>
      </c>
      <c r="AU178" s="836">
        <f t="shared" si="581"/>
        <v>1</v>
      </c>
      <c r="AV178" s="837"/>
      <c r="AW178" s="835"/>
      <c r="AX178" s="470"/>
      <c r="AY178" s="468"/>
      <c r="AZ178" s="469"/>
      <c r="BA178" s="470"/>
      <c r="BB178" s="470"/>
      <c r="BC178" s="468"/>
      <c r="BD178" s="469"/>
      <c r="BE178" s="470"/>
      <c r="BF178" s="470"/>
      <c r="BG178" s="468"/>
      <c r="BH178" s="469"/>
      <c r="BI178" s="470"/>
      <c r="BJ178" s="470"/>
      <c r="BK178" s="468"/>
      <c r="BL178" s="436"/>
      <c r="BM178" s="471"/>
      <c r="BN178" s="472"/>
      <c r="BO178" s="472">
        <f>+SUM(BO173:BO176)</f>
        <v>1</v>
      </c>
      <c r="BP178" s="472">
        <f t="shared" ref="BP178:BS178" si="582">+SUM(BP173:BP176)</f>
        <v>1</v>
      </c>
      <c r="BQ178" s="472">
        <f t="shared" si="582"/>
        <v>1</v>
      </c>
      <c r="BR178" s="472">
        <f t="shared" si="582"/>
        <v>0.99999999999999989</v>
      </c>
      <c r="BS178" s="472">
        <f t="shared" si="582"/>
        <v>1</v>
      </c>
      <c r="BT178" s="471"/>
      <c r="BU178" s="471"/>
      <c r="BV178" s="471"/>
      <c r="BW178" s="471"/>
      <c r="BX178" s="471"/>
      <c r="BY178" s="834"/>
      <c r="BZ178" s="834"/>
      <c r="CA178" s="429"/>
      <c r="CB178" s="436"/>
      <c r="CC178" s="638"/>
      <c r="CD178" s="472"/>
      <c r="CE178" s="472">
        <f t="shared" ref="CE178:CH178" si="583">+SUM(CE173:CE176)</f>
        <v>1</v>
      </c>
      <c r="CF178" s="472">
        <f t="shared" si="583"/>
        <v>1</v>
      </c>
      <c r="CG178" s="472">
        <f t="shared" si="583"/>
        <v>1</v>
      </c>
      <c r="CH178" s="1190">
        <f t="shared" si="583"/>
        <v>1.0000000000000002</v>
      </c>
      <c r="CI178" s="472">
        <f t="shared" ref="CI178" si="584">+SUM(CI173:CI176)</f>
        <v>1</v>
      </c>
      <c r="CJ178" s="472"/>
      <c r="CK178" s="472"/>
      <c r="CL178" s="472"/>
      <c r="CM178" s="471"/>
      <c r="CN178" s="471"/>
      <c r="CO178" s="471"/>
      <c r="CP178" s="587"/>
    </row>
    <row r="179" spans="1:94" ht="14.25" customHeight="1">
      <c r="B179" s="410"/>
      <c r="AO179" s="947"/>
      <c r="AP179" s="947"/>
      <c r="AQ179" s="965"/>
      <c r="AR179" s="1125"/>
      <c r="AS179" s="1136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13"/>
      <c r="BY179" s="757"/>
      <c r="BZ179" s="757"/>
      <c r="CB179" s="410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13"/>
      <c r="CN179" s="13"/>
      <c r="CO179" s="13"/>
      <c r="CP179" s="13"/>
    </row>
    <row r="180" spans="1:94" s="7" customFormat="1" ht="14.25" hidden="1" customHeight="1" outlineLevel="1">
      <c r="B180" s="290" t="s">
        <v>116</v>
      </c>
      <c r="C180" s="291"/>
      <c r="D180" s="488"/>
      <c r="E180" s="489"/>
      <c r="F180" s="489"/>
      <c r="G180" s="489"/>
      <c r="H180" s="488"/>
      <c r="I180" s="489"/>
      <c r="J180" s="489" t="str">
        <f t="shared" ref="J180:AD180" si="585">IF(ROUND(J178,1)=1,"OK",J178)</f>
        <v>OK</v>
      </c>
      <c r="K180" s="489" t="str">
        <f t="shared" si="585"/>
        <v>OK</v>
      </c>
      <c r="L180" s="488" t="str">
        <f t="shared" si="585"/>
        <v>OK</v>
      </c>
      <c r="M180" s="489" t="str">
        <f t="shared" si="585"/>
        <v>OK</v>
      </c>
      <c r="N180" s="489" t="str">
        <f t="shared" si="585"/>
        <v>OK</v>
      </c>
      <c r="O180" s="489" t="str">
        <f t="shared" si="585"/>
        <v>OK</v>
      </c>
      <c r="P180" s="488" t="str">
        <f t="shared" si="585"/>
        <v>OK</v>
      </c>
      <c r="Q180" s="489" t="str">
        <f t="shared" si="585"/>
        <v>OK</v>
      </c>
      <c r="R180" s="489" t="str">
        <f t="shared" si="585"/>
        <v>OK</v>
      </c>
      <c r="S180" s="489" t="str">
        <f t="shared" si="585"/>
        <v>OK</v>
      </c>
      <c r="T180" s="488" t="str">
        <f t="shared" si="585"/>
        <v>OK</v>
      </c>
      <c r="U180" s="489" t="str">
        <f t="shared" si="585"/>
        <v>OK</v>
      </c>
      <c r="V180" s="489" t="str">
        <f t="shared" si="585"/>
        <v>OK</v>
      </c>
      <c r="W180" s="489" t="str">
        <f t="shared" si="585"/>
        <v>OK</v>
      </c>
      <c r="X180" s="488" t="str">
        <f t="shared" si="585"/>
        <v>OK</v>
      </c>
      <c r="Y180" s="489" t="str">
        <f t="shared" si="585"/>
        <v>OK</v>
      </c>
      <c r="Z180" s="489" t="str">
        <f t="shared" si="585"/>
        <v>OK</v>
      </c>
      <c r="AA180" s="489" t="str">
        <f t="shared" si="585"/>
        <v>OK</v>
      </c>
      <c r="AB180" s="488" t="str">
        <f t="shared" si="585"/>
        <v>OK</v>
      </c>
      <c r="AC180" s="489" t="str">
        <f t="shared" si="585"/>
        <v>OK</v>
      </c>
      <c r="AD180" s="489" t="str">
        <f t="shared" si="585"/>
        <v>OK</v>
      </c>
      <c r="AE180" s="489" t="str">
        <f t="shared" ref="AE180:AN180" si="586">IF(ROUND(AE178,1)=1,"OK",AE178)</f>
        <v>OK</v>
      </c>
      <c r="AF180" s="488" t="str">
        <f t="shared" si="586"/>
        <v>OK</v>
      </c>
      <c r="AG180" s="489" t="str">
        <f t="shared" si="586"/>
        <v>OK</v>
      </c>
      <c r="AH180" s="489" t="str">
        <f t="shared" si="586"/>
        <v>OK</v>
      </c>
      <c r="AI180" s="833" t="str">
        <f t="shared" si="586"/>
        <v>OK</v>
      </c>
      <c r="AJ180" s="488" t="str">
        <f t="shared" si="586"/>
        <v>OK</v>
      </c>
      <c r="AK180" s="489" t="str">
        <f t="shared" si="586"/>
        <v>OK</v>
      </c>
      <c r="AL180" s="489" t="str">
        <f t="shared" si="586"/>
        <v>OK</v>
      </c>
      <c r="AM180" s="833" t="str">
        <f t="shared" si="586"/>
        <v>OK</v>
      </c>
      <c r="AN180" s="488" t="str">
        <f t="shared" si="586"/>
        <v>OK</v>
      </c>
      <c r="AO180" s="489" t="str">
        <f t="shared" ref="AO180" si="587">IF(ROUND(AO178,1)=1,"OK",AO178)</f>
        <v>OK</v>
      </c>
      <c r="AP180" s="489" t="str">
        <f t="shared" ref="AP180:AS180" si="588">IF(ROUND(AP178,1)=1,"OK",AP178)</f>
        <v>OK</v>
      </c>
      <c r="AQ180" s="833" t="str">
        <f t="shared" si="588"/>
        <v>OK</v>
      </c>
      <c r="AR180" s="488" t="str">
        <f t="shared" si="588"/>
        <v>OK</v>
      </c>
      <c r="AS180" s="489" t="str">
        <f t="shared" si="588"/>
        <v>OK</v>
      </c>
      <c r="AT180" s="293"/>
      <c r="AU180" s="293"/>
      <c r="AV180" s="292"/>
      <c r="AW180" s="489"/>
      <c r="AX180" s="293"/>
      <c r="AY180" s="293"/>
      <c r="AZ180" s="292"/>
      <c r="BA180" s="293"/>
      <c r="BB180" s="293"/>
      <c r="BC180" s="293"/>
      <c r="BD180" s="292"/>
      <c r="BE180" s="293"/>
      <c r="BF180" s="293"/>
      <c r="BG180" s="293"/>
      <c r="BH180" s="292"/>
      <c r="BI180" s="293"/>
      <c r="BJ180" s="293"/>
      <c r="BK180" s="293"/>
      <c r="BL180" s="19"/>
      <c r="BM180" s="293"/>
      <c r="BN180" s="293"/>
      <c r="BO180" s="293" t="str">
        <f>IF(ROUND(BO178,1)=1,"OK",BO178)</f>
        <v>OK</v>
      </c>
      <c r="BP180" s="293" t="str">
        <f>IF(ROUND(BP178,1)=1,"OK",BP178)</f>
        <v>OK</v>
      </c>
      <c r="BQ180" s="490" t="str">
        <f>IF(ROUND(BQ178,1)=1,"OK",BQ178)</f>
        <v>OK</v>
      </c>
      <c r="BR180" s="490" t="str">
        <f>IF(ROUND(BR178,1)=1,"OK",BR178)</f>
        <v>OK</v>
      </c>
      <c r="BS180" s="490" t="str">
        <f>IF(ROUND(BS178,1)=1,"OK",BS178)</f>
        <v>OK</v>
      </c>
      <c r="BT180" s="293"/>
      <c r="BU180" s="293"/>
      <c r="BV180" s="293"/>
      <c r="BW180" s="293"/>
      <c r="BX180" s="293"/>
      <c r="BY180" s="987"/>
      <c r="BZ180" s="987"/>
      <c r="CA180" s="491"/>
      <c r="CB180" s="13"/>
      <c r="CC180" s="292"/>
      <c r="CD180" s="293"/>
      <c r="CE180" s="293" t="str">
        <f>IF(ROUND(CE178,1)=1,"OK",CE178)</f>
        <v>OK</v>
      </c>
      <c r="CF180" s="490" t="str">
        <f>IF(ROUND(CF178,1)=1,"OK",CF178)</f>
        <v>OK</v>
      </c>
      <c r="CG180" s="490" t="str">
        <f>IF(ROUND(CG178,1)=1,"OK",CG178)</f>
        <v>OK</v>
      </c>
      <c r="CH180" s="490" t="str">
        <f>IF(ROUND(CH178,1)=1,"OK",CH178)</f>
        <v>OK</v>
      </c>
      <c r="CI180" s="490" t="str">
        <f>IF(ROUND(CI178,1)=1,"OK",CI178)</f>
        <v>OK</v>
      </c>
      <c r="CJ180" s="490"/>
      <c r="CK180" s="490"/>
      <c r="CL180" s="490"/>
      <c r="CM180" s="293"/>
      <c r="CN180" s="293"/>
      <c r="CO180" s="293"/>
      <c r="CP180" s="588"/>
    </row>
    <row r="181" spans="1:94" ht="14.25" customHeight="1" collapsed="1">
      <c r="B181" s="410"/>
      <c r="AR181" s="1125"/>
      <c r="AS181" s="1136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13"/>
      <c r="BY181" s="757"/>
      <c r="BZ181" s="757"/>
      <c r="CB181" s="410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13"/>
      <c r="CN181" s="13"/>
      <c r="CO181" s="13"/>
      <c r="CP181" s="13"/>
    </row>
    <row r="182" spans="1:94" ht="14.25" customHeight="1">
      <c r="B182" s="410"/>
      <c r="AR182" s="1125"/>
      <c r="AS182" s="1136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13"/>
      <c r="BY182" s="757"/>
      <c r="BZ182" s="757"/>
      <c r="CB182" s="410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13"/>
      <c r="CN182" s="13"/>
      <c r="CO182" s="13"/>
      <c r="CP182" s="13"/>
    </row>
    <row r="183" spans="1:94" ht="14.25" customHeight="1">
      <c r="B183" s="410"/>
      <c r="AR183" s="1125"/>
      <c r="AS183" s="1136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13"/>
      <c r="BY183" s="757"/>
      <c r="BZ183" s="757"/>
      <c r="CB183" s="410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223"/>
      <c r="CN183" s="223"/>
      <c r="CO183" s="223"/>
      <c r="CP183" s="13"/>
    </row>
    <row r="184" spans="1:94" ht="14.25" customHeight="1">
      <c r="A184" s="1"/>
      <c r="B184" s="146" t="s">
        <v>216</v>
      </c>
      <c r="C184" s="147"/>
      <c r="D184" s="333" t="str">
        <f t="shared" ref="D184:AY184" si="589">D7</f>
        <v>F1Q06</v>
      </c>
      <c r="E184" s="334" t="str">
        <f t="shared" si="589"/>
        <v>F2Q06</v>
      </c>
      <c r="F184" s="334" t="str">
        <f t="shared" si="589"/>
        <v>F3Q06</v>
      </c>
      <c r="G184" s="334" t="str">
        <f t="shared" si="589"/>
        <v>F4Q06</v>
      </c>
      <c r="H184" s="333" t="str">
        <f t="shared" si="589"/>
        <v>F1Q07</v>
      </c>
      <c r="I184" s="334" t="str">
        <f t="shared" si="589"/>
        <v>F2Q07</v>
      </c>
      <c r="J184" s="334" t="str">
        <f t="shared" si="589"/>
        <v>F3Q07</v>
      </c>
      <c r="K184" s="334" t="str">
        <f t="shared" si="589"/>
        <v>F4Q07</v>
      </c>
      <c r="L184" s="333" t="str">
        <f t="shared" si="589"/>
        <v>F1Q08</v>
      </c>
      <c r="M184" s="334" t="str">
        <f t="shared" si="589"/>
        <v>F2Q08</v>
      </c>
      <c r="N184" s="334" t="str">
        <f t="shared" si="589"/>
        <v>F3Q08</v>
      </c>
      <c r="O184" s="334" t="str">
        <f t="shared" si="589"/>
        <v>F4Q08</v>
      </c>
      <c r="P184" s="333" t="str">
        <f t="shared" si="589"/>
        <v>F1Q09</v>
      </c>
      <c r="Q184" s="334" t="str">
        <f t="shared" si="589"/>
        <v>F2Q09</v>
      </c>
      <c r="R184" s="334" t="str">
        <f t="shared" si="589"/>
        <v>F3Q09</v>
      </c>
      <c r="S184" s="334" t="str">
        <f t="shared" si="589"/>
        <v>F4Q09</v>
      </c>
      <c r="T184" s="333" t="str">
        <f t="shared" si="589"/>
        <v>F1Q10</v>
      </c>
      <c r="U184" s="334" t="str">
        <f t="shared" si="589"/>
        <v>F2Q10</v>
      </c>
      <c r="V184" s="334" t="str">
        <f t="shared" si="589"/>
        <v>F3Q10</v>
      </c>
      <c r="W184" s="334" t="str">
        <f t="shared" si="589"/>
        <v>F4Q10</v>
      </c>
      <c r="X184" s="333" t="str">
        <f t="shared" si="589"/>
        <v>F1Q11</v>
      </c>
      <c r="Y184" s="334" t="str">
        <f t="shared" si="589"/>
        <v>F2Q11</v>
      </c>
      <c r="Z184" s="334" t="str">
        <f t="shared" si="589"/>
        <v>F3Q11</v>
      </c>
      <c r="AA184" s="334" t="str">
        <f t="shared" si="589"/>
        <v>F4Q11</v>
      </c>
      <c r="AB184" s="333" t="str">
        <f t="shared" si="589"/>
        <v>F1Q12</v>
      </c>
      <c r="AC184" s="334" t="str">
        <f t="shared" si="589"/>
        <v>F2Q12</v>
      </c>
      <c r="AD184" s="334" t="str">
        <f t="shared" si="589"/>
        <v>F3Q12</v>
      </c>
      <c r="AE184" s="334" t="str">
        <f t="shared" si="589"/>
        <v>F4Q12</v>
      </c>
      <c r="AF184" s="333" t="str">
        <f t="shared" si="589"/>
        <v>F1Q13</v>
      </c>
      <c r="AG184" s="334" t="str">
        <f t="shared" si="589"/>
        <v>F2Q13</v>
      </c>
      <c r="AH184" s="334" t="str">
        <f t="shared" si="589"/>
        <v>F3Q13</v>
      </c>
      <c r="AI184" s="334" t="str">
        <f t="shared" si="589"/>
        <v>F4Q13</v>
      </c>
      <c r="AJ184" s="334" t="str">
        <f t="shared" si="589"/>
        <v>F1Q14</v>
      </c>
      <c r="AK184" s="334" t="str">
        <f t="shared" si="589"/>
        <v>F2Q14A</v>
      </c>
      <c r="AL184" s="334" t="str">
        <f t="shared" si="589"/>
        <v>F3Q14A</v>
      </c>
      <c r="AM184" s="334" t="str">
        <f t="shared" si="589"/>
        <v>F4Q14A</v>
      </c>
      <c r="AN184" s="333" t="str">
        <f t="shared" si="589"/>
        <v>F1Q15A</v>
      </c>
      <c r="AO184" s="334" t="str">
        <f t="shared" si="589"/>
        <v>F2Q15A</v>
      </c>
      <c r="AP184" s="334" t="str">
        <f t="shared" si="589"/>
        <v>F3Q15A</v>
      </c>
      <c r="AQ184" s="335" t="str">
        <f t="shared" si="589"/>
        <v>F4Q15A</v>
      </c>
      <c r="AR184" s="333" t="str">
        <f t="shared" ref="AR184:AS184" si="590">AR7</f>
        <v>F1Q16A</v>
      </c>
      <c r="AS184" s="334" t="str">
        <f t="shared" si="590"/>
        <v>F2Q16A</v>
      </c>
      <c r="AT184" s="334" t="str">
        <f t="shared" si="589"/>
        <v>F3Q16A</v>
      </c>
      <c r="AU184" s="335" t="str">
        <f t="shared" si="589"/>
        <v>F4Q16A</v>
      </c>
      <c r="AV184" s="333" t="str">
        <f t="shared" si="589"/>
        <v>F1Q17A</v>
      </c>
      <c r="AW184" s="1247" t="str">
        <f t="shared" si="589"/>
        <v>F2Q17A</v>
      </c>
      <c r="AX184" s="334" t="str">
        <f t="shared" si="589"/>
        <v>F3Q17A</v>
      </c>
      <c r="AY184" s="335" t="str">
        <f t="shared" si="589"/>
        <v>F4Q17A</v>
      </c>
      <c r="AZ184" s="333" t="str">
        <f t="shared" ref="AZ184:BC184" si="591">AZ7</f>
        <v>F1Q18A</v>
      </c>
      <c r="BA184" s="334" t="str">
        <f t="shared" si="591"/>
        <v>F2Q18E</v>
      </c>
      <c r="BB184" s="334" t="str">
        <f t="shared" si="591"/>
        <v>F3Q18E</v>
      </c>
      <c r="BC184" s="335" t="str">
        <f t="shared" si="591"/>
        <v>F4Q18E</v>
      </c>
      <c r="BD184" s="1246" t="str">
        <f t="shared" ref="BD184:BG184" si="592">BD7</f>
        <v>F1Q19E</v>
      </c>
      <c r="BE184" s="1247" t="str">
        <f t="shared" si="592"/>
        <v>F2Q19E</v>
      </c>
      <c r="BF184" s="1247" t="str">
        <f t="shared" si="592"/>
        <v>F3Q19E</v>
      </c>
      <c r="BG184" s="1248" t="str">
        <f t="shared" si="592"/>
        <v>F4Q19E</v>
      </c>
      <c r="BH184" s="1246" t="str">
        <f t="shared" ref="BH184:BK184" si="593">BH7</f>
        <v>F1Q20E</v>
      </c>
      <c r="BI184" s="1247" t="str">
        <f t="shared" si="593"/>
        <v>F2Q20E</v>
      </c>
      <c r="BJ184" s="1247" t="str">
        <f t="shared" si="593"/>
        <v>F3Q20E</v>
      </c>
      <c r="BK184" s="1248" t="str">
        <f t="shared" si="593"/>
        <v>F4Q20E</v>
      </c>
      <c r="BL184" s="19"/>
      <c r="BM184" s="334" t="str">
        <f t="shared" ref="BM184:BY184" si="594">BM7</f>
        <v>FY2006</v>
      </c>
      <c r="BN184" s="334" t="str">
        <f t="shared" si="594"/>
        <v>FY2007</v>
      </c>
      <c r="BO184" s="334" t="str">
        <f t="shared" si="594"/>
        <v>FY2008</v>
      </c>
      <c r="BP184" s="334" t="str">
        <f t="shared" si="594"/>
        <v>FY2009</v>
      </c>
      <c r="BQ184" s="334" t="str">
        <f t="shared" si="594"/>
        <v>FY2010</v>
      </c>
      <c r="BR184" s="334" t="str">
        <f t="shared" si="594"/>
        <v>FY2011</v>
      </c>
      <c r="BS184" s="334" t="str">
        <f t="shared" si="594"/>
        <v>FY2012</v>
      </c>
      <c r="BT184" s="334" t="str">
        <f t="shared" si="594"/>
        <v>FY2013</v>
      </c>
      <c r="BU184" s="334" t="str">
        <f t="shared" si="594"/>
        <v>FY2014A</v>
      </c>
      <c r="BV184" s="334" t="str">
        <f t="shared" si="594"/>
        <v>FY2015A</v>
      </c>
      <c r="BW184" s="334" t="str">
        <f t="shared" si="594"/>
        <v>FY2016A</v>
      </c>
      <c r="BX184" s="334" t="str">
        <f t="shared" si="594"/>
        <v>FY2017A</v>
      </c>
      <c r="BY184" s="1247" t="str">
        <f t="shared" si="594"/>
        <v>FY2018E</v>
      </c>
      <c r="BZ184" s="1247" t="str">
        <f t="shared" ref="BZ184" si="595">BZ7</f>
        <v>FY2019E</v>
      </c>
      <c r="CA184" s="1248" t="str">
        <f t="shared" ref="CA184" si="596">CA7</f>
        <v>FY2020E</v>
      </c>
      <c r="CB184" s="447"/>
      <c r="CC184" s="333" t="str">
        <f t="shared" ref="CC184:CM184" si="597">CC7</f>
        <v>CY2006</v>
      </c>
      <c r="CD184" s="334" t="str">
        <f t="shared" si="597"/>
        <v>CY2007</v>
      </c>
      <c r="CE184" s="334" t="str">
        <f t="shared" si="597"/>
        <v>CY2008</v>
      </c>
      <c r="CF184" s="334" t="str">
        <f t="shared" si="597"/>
        <v>CY2009</v>
      </c>
      <c r="CG184" s="334" t="str">
        <f t="shared" si="597"/>
        <v>CY2010</v>
      </c>
      <c r="CH184" s="334" t="str">
        <f t="shared" si="597"/>
        <v>CY2011</v>
      </c>
      <c r="CI184" s="333" t="str">
        <f t="shared" si="597"/>
        <v>CY2012</v>
      </c>
      <c r="CJ184" s="334" t="str">
        <f t="shared" si="597"/>
        <v>CY2013</v>
      </c>
      <c r="CK184" s="334" t="str">
        <f t="shared" si="597"/>
        <v>CY2014A</v>
      </c>
      <c r="CL184" s="334" t="str">
        <f t="shared" si="597"/>
        <v>CY2015A</v>
      </c>
      <c r="CM184" s="334" t="str">
        <f t="shared" si="597"/>
        <v>CY2016A</v>
      </c>
      <c r="CN184" s="1247" t="str">
        <f t="shared" ref="CN184:CO184" si="598">CN7</f>
        <v>CY2017A</v>
      </c>
      <c r="CO184" s="1247" t="str">
        <f t="shared" si="598"/>
        <v>CY2018E</v>
      </c>
      <c r="CP184" s="1248" t="str">
        <f t="shared" ref="CP184" si="599">CP7</f>
        <v>CY2019E</v>
      </c>
    </row>
    <row r="185" spans="1:94" ht="14.25" customHeight="1">
      <c r="B185" s="473" t="s">
        <v>221</v>
      </c>
      <c r="C185" s="440"/>
      <c r="D185" s="474"/>
      <c r="E185" s="475"/>
      <c r="F185" s="475"/>
      <c r="G185" s="477"/>
      <c r="H185" s="474"/>
      <c r="I185" s="475"/>
      <c r="J185" s="475"/>
      <c r="K185" s="477"/>
      <c r="L185" s="474"/>
      <c r="M185" s="475"/>
      <c r="N185" s="475"/>
      <c r="O185" s="477"/>
      <c r="P185" s="474"/>
      <c r="Q185" s="475"/>
      <c r="R185" s="475"/>
      <c r="S185" s="477"/>
      <c r="T185" s="474"/>
      <c r="U185" s="475"/>
      <c r="V185" s="475"/>
      <c r="W185" s="477"/>
      <c r="X185" s="474"/>
      <c r="Y185" s="475"/>
      <c r="Z185" s="475"/>
      <c r="AA185" s="477"/>
      <c r="AB185" s="474"/>
      <c r="AC185" s="475"/>
      <c r="AD185" s="475"/>
      <c r="AE185" s="477"/>
      <c r="AF185" s="474"/>
      <c r="AG185" s="480"/>
      <c r="AH185" s="480"/>
      <c r="AI185" s="478"/>
      <c r="AJ185" s="480"/>
      <c r="AK185" s="480"/>
      <c r="AL185" s="480"/>
      <c r="AM185" s="480"/>
      <c r="AN185" s="479"/>
      <c r="AO185" s="480"/>
      <c r="AP185" s="480"/>
      <c r="AQ185" s="478"/>
      <c r="AR185" s="479"/>
      <c r="AS185" s="480"/>
      <c r="AT185" s="480"/>
      <c r="AU185" s="478"/>
      <c r="AV185" s="479"/>
      <c r="AW185" s="480"/>
      <c r="AX185" s="480"/>
      <c r="AY185" s="478"/>
      <c r="AZ185" s="479"/>
      <c r="BA185" s="480"/>
      <c r="BB185" s="480"/>
      <c r="BC185" s="478"/>
      <c r="BD185" s="479"/>
      <c r="BE185" s="480"/>
      <c r="BF185" s="480"/>
      <c r="BG185" s="478"/>
      <c r="BH185" s="479"/>
      <c r="BI185" s="480"/>
      <c r="BJ185" s="480"/>
      <c r="BK185" s="478"/>
      <c r="BL185" s="447"/>
      <c r="BM185" s="514"/>
      <c r="BN185" s="514"/>
      <c r="BO185" s="514">
        <v>365</v>
      </c>
      <c r="BP185" s="515">
        <v>395</v>
      </c>
      <c r="BQ185" s="515">
        <v>662</v>
      </c>
      <c r="BR185" s="515">
        <v>697</v>
      </c>
      <c r="BS185" s="515">
        <v>981</v>
      </c>
      <c r="BT185" s="419"/>
      <c r="BU185" s="419"/>
      <c r="BV185" s="419"/>
      <c r="BW185" s="419"/>
      <c r="BX185" s="419"/>
      <c r="BY185" s="641"/>
      <c r="BZ185" s="641"/>
      <c r="CA185" s="440"/>
      <c r="CB185" s="447"/>
      <c r="CC185" s="639"/>
      <c r="CD185" s="514"/>
      <c r="CE185" s="515"/>
      <c r="CF185" s="515"/>
      <c r="CG185" s="515"/>
      <c r="CH185" s="515"/>
      <c r="CI185" s="635"/>
      <c r="CJ185" s="419"/>
      <c r="CK185" s="419"/>
      <c r="CL185" s="419"/>
      <c r="CM185" s="419"/>
      <c r="CN185" s="419"/>
      <c r="CO185" s="419"/>
      <c r="CP185" s="585"/>
    </row>
    <row r="186" spans="1:94" ht="14.25" customHeight="1">
      <c r="B186" s="481" t="s">
        <v>222</v>
      </c>
      <c r="C186" s="455"/>
      <c r="D186" s="482"/>
      <c r="E186" s="483"/>
      <c r="F186" s="483"/>
      <c r="G186" s="476"/>
      <c r="H186" s="482"/>
      <c r="I186" s="483"/>
      <c r="J186" s="483"/>
      <c r="K186" s="476"/>
      <c r="L186" s="482"/>
      <c r="M186" s="483"/>
      <c r="N186" s="483"/>
      <c r="O186" s="476"/>
      <c r="P186" s="482"/>
      <c r="Q186" s="483"/>
      <c r="R186" s="483"/>
      <c r="S186" s="476"/>
      <c r="T186" s="482"/>
      <c r="U186" s="483"/>
      <c r="V186" s="483"/>
      <c r="W186" s="476"/>
      <c r="X186" s="482"/>
      <c r="Y186" s="483"/>
      <c r="Z186" s="483"/>
      <c r="AA186" s="476"/>
      <c r="AB186" s="482"/>
      <c r="AC186" s="483"/>
      <c r="AD186" s="483"/>
      <c r="AE186" s="476"/>
      <c r="AF186" s="482"/>
      <c r="AG186" s="487"/>
      <c r="AH186" s="487"/>
      <c r="AI186" s="485"/>
      <c r="AJ186" s="487"/>
      <c r="AK186" s="487"/>
      <c r="AL186" s="487"/>
      <c r="AM186" s="487"/>
      <c r="AN186" s="486"/>
      <c r="AO186" s="487"/>
      <c r="AP186" s="487"/>
      <c r="AQ186" s="485"/>
      <c r="AR186" s="486"/>
      <c r="AS186" s="487"/>
      <c r="AT186" s="487"/>
      <c r="AU186" s="485"/>
      <c r="AV186" s="486"/>
      <c r="AW186" s="487"/>
      <c r="AX186" s="487"/>
      <c r="AY186" s="485"/>
      <c r="AZ186" s="486"/>
      <c r="BA186" s="487"/>
      <c r="BB186" s="487"/>
      <c r="BC186" s="485"/>
      <c r="BD186" s="486"/>
      <c r="BE186" s="487"/>
      <c r="BF186" s="487"/>
      <c r="BG186" s="485"/>
      <c r="BH186" s="486"/>
      <c r="BI186" s="487"/>
      <c r="BJ186" s="487"/>
      <c r="BK186" s="485"/>
      <c r="BL186" s="447"/>
      <c r="BM186" s="514"/>
      <c r="BN186" s="514"/>
      <c r="BO186" s="514">
        <v>326</v>
      </c>
      <c r="BP186" s="514">
        <v>245</v>
      </c>
      <c r="BQ186" s="514">
        <v>312</v>
      </c>
      <c r="BR186" s="514">
        <v>407</v>
      </c>
      <c r="BS186" s="514">
        <v>371</v>
      </c>
      <c r="BT186" s="419"/>
      <c r="BU186" s="419"/>
      <c r="BV186" s="419"/>
      <c r="BW186" s="419"/>
      <c r="BX186" s="419"/>
      <c r="BY186" s="410"/>
      <c r="BZ186" s="410"/>
      <c r="CA186" s="455"/>
      <c r="CB186" s="447"/>
      <c r="CC186" s="639"/>
      <c r="CD186" s="514"/>
      <c r="CE186" s="514"/>
      <c r="CF186" s="514"/>
      <c r="CG186" s="514"/>
      <c r="CH186" s="514"/>
      <c r="CI186" s="635"/>
      <c r="CJ186" s="419"/>
      <c r="CK186" s="419"/>
      <c r="CL186" s="419"/>
      <c r="CM186" s="419"/>
      <c r="CN186" s="419"/>
      <c r="CO186" s="419"/>
      <c r="CP186" s="585"/>
    </row>
    <row r="187" spans="1:94" ht="14.25" customHeight="1">
      <c r="B187" s="481" t="s">
        <v>223</v>
      </c>
      <c r="C187" s="455"/>
      <c r="D187" s="482"/>
      <c r="E187" s="483"/>
      <c r="F187" s="483"/>
      <c r="G187" s="476"/>
      <c r="H187" s="482"/>
      <c r="I187" s="483"/>
      <c r="J187" s="483"/>
      <c r="K187" s="476"/>
      <c r="L187" s="482"/>
      <c r="M187" s="483"/>
      <c r="N187" s="483"/>
      <c r="O187" s="476"/>
      <c r="P187" s="482"/>
      <c r="Q187" s="483"/>
      <c r="R187" s="483"/>
      <c r="S187" s="476"/>
      <c r="T187" s="482"/>
      <c r="U187" s="483"/>
      <c r="V187" s="483"/>
      <c r="W187" s="476"/>
      <c r="X187" s="482"/>
      <c r="Y187" s="483"/>
      <c r="Z187" s="483"/>
      <c r="AA187" s="476"/>
      <c r="AB187" s="482"/>
      <c r="AC187" s="483"/>
      <c r="AD187" s="483"/>
      <c r="AE187" s="476"/>
      <c r="AF187" s="482"/>
      <c r="AG187" s="487"/>
      <c r="AH187" s="487"/>
      <c r="AI187" s="485"/>
      <c r="AJ187" s="487"/>
      <c r="AK187" s="487"/>
      <c r="AL187" s="487"/>
      <c r="AM187" s="487"/>
      <c r="AN187" s="486"/>
      <c r="AO187" s="487"/>
      <c r="AP187" s="487"/>
      <c r="AQ187" s="485"/>
      <c r="AR187" s="486"/>
      <c r="AS187" s="487"/>
      <c r="AT187" s="487"/>
      <c r="AU187" s="485"/>
      <c r="AV187" s="486"/>
      <c r="AW187" s="487"/>
      <c r="AX187" s="487"/>
      <c r="AY187" s="485"/>
      <c r="AZ187" s="486"/>
      <c r="BA187" s="487"/>
      <c r="BB187" s="487"/>
      <c r="BC187" s="485"/>
      <c r="BD187" s="486"/>
      <c r="BE187" s="487"/>
      <c r="BF187" s="487"/>
      <c r="BG187" s="485"/>
      <c r="BH187" s="486"/>
      <c r="BI187" s="487"/>
      <c r="BJ187" s="487"/>
      <c r="BK187" s="485"/>
      <c r="BL187" s="447"/>
      <c r="BM187" s="514"/>
      <c r="BN187" s="514"/>
      <c r="BO187" s="514">
        <v>205</v>
      </c>
      <c r="BP187" s="514">
        <v>120</v>
      </c>
      <c r="BQ187" s="514">
        <v>209</v>
      </c>
      <c r="BR187" s="514">
        <v>230</v>
      </c>
      <c r="BS187" s="514">
        <v>184</v>
      </c>
      <c r="BT187" s="419"/>
      <c r="BU187" s="419"/>
      <c r="BV187" s="419"/>
      <c r="BW187" s="419"/>
      <c r="BX187" s="419"/>
      <c r="BY187" s="410"/>
      <c r="BZ187" s="410"/>
      <c r="CA187" s="455"/>
      <c r="CB187" s="447"/>
      <c r="CC187" s="639"/>
      <c r="CD187" s="514"/>
      <c r="CE187" s="514"/>
      <c r="CF187" s="514"/>
      <c r="CG187" s="514"/>
      <c r="CH187" s="514"/>
      <c r="CI187" s="635"/>
      <c r="CJ187" s="419"/>
      <c r="CK187" s="419"/>
      <c r="CL187" s="419"/>
      <c r="CM187" s="419"/>
      <c r="CN187" s="419"/>
      <c r="CO187" s="419"/>
      <c r="CP187" s="585"/>
    </row>
    <row r="188" spans="1:94" ht="14.25" customHeight="1">
      <c r="B188" s="481" t="s">
        <v>224</v>
      </c>
      <c r="C188" s="455"/>
      <c r="D188" s="482"/>
      <c r="E188" s="483"/>
      <c r="F188" s="483"/>
      <c r="G188" s="476"/>
      <c r="H188" s="482"/>
      <c r="I188" s="483"/>
      <c r="J188" s="483"/>
      <c r="K188" s="476"/>
      <c r="L188" s="482"/>
      <c r="M188" s="483"/>
      <c r="N188" s="483"/>
      <c r="O188" s="476"/>
      <c r="P188" s="482"/>
      <c r="Q188" s="483"/>
      <c r="R188" s="483"/>
      <c r="S188" s="476"/>
      <c r="T188" s="482"/>
      <c r="U188" s="483"/>
      <c r="V188" s="483"/>
      <c r="W188" s="476"/>
      <c r="X188" s="482"/>
      <c r="Y188" s="483"/>
      <c r="Z188" s="483"/>
      <c r="AA188" s="476"/>
      <c r="AB188" s="482"/>
      <c r="AC188" s="483"/>
      <c r="AD188" s="483"/>
      <c r="AE188" s="476"/>
      <c r="AF188" s="482"/>
      <c r="AG188" s="487"/>
      <c r="AH188" s="487"/>
      <c r="AI188" s="485"/>
      <c r="AJ188" s="487"/>
      <c r="AK188" s="487"/>
      <c r="AL188" s="487"/>
      <c r="AM188" s="487"/>
      <c r="AN188" s="486"/>
      <c r="AO188" s="487"/>
      <c r="AP188" s="487"/>
      <c r="AQ188" s="485"/>
      <c r="AR188" s="486"/>
      <c r="AS188" s="487"/>
      <c r="AT188" s="487"/>
      <c r="AU188" s="485"/>
      <c r="AV188" s="486"/>
      <c r="AW188" s="487"/>
      <c r="AX188" s="487"/>
      <c r="AY188" s="485"/>
      <c r="AZ188" s="486"/>
      <c r="BA188" s="487"/>
      <c r="BB188" s="487"/>
      <c r="BC188" s="485"/>
      <c r="BD188" s="486"/>
      <c r="BE188" s="487"/>
      <c r="BF188" s="487"/>
      <c r="BG188" s="485"/>
      <c r="BH188" s="486"/>
      <c r="BI188" s="487"/>
      <c r="BJ188" s="487"/>
      <c r="BK188" s="485"/>
      <c r="BL188" s="447"/>
      <c r="BM188" s="514"/>
      <c r="BN188" s="514"/>
      <c r="BO188" s="514">
        <v>130</v>
      </c>
      <c r="BP188" s="514">
        <v>158</v>
      </c>
      <c r="BQ188" s="514">
        <v>200</v>
      </c>
      <c r="BR188" s="514">
        <v>225</v>
      </c>
      <c r="BS188" s="514">
        <v>150</v>
      </c>
      <c r="BT188" s="419"/>
      <c r="BU188" s="419"/>
      <c r="BV188" s="419"/>
      <c r="BW188" s="419"/>
      <c r="BX188" s="419"/>
      <c r="BY188" s="410"/>
      <c r="BZ188" s="410"/>
      <c r="CA188" s="455"/>
      <c r="CB188" s="447"/>
      <c r="CC188" s="639"/>
      <c r="CD188" s="514"/>
      <c r="CE188" s="514"/>
      <c r="CF188" s="514"/>
      <c r="CG188" s="514"/>
      <c r="CH188" s="514"/>
      <c r="CI188" s="635"/>
      <c r="CJ188" s="419"/>
      <c r="CK188" s="419"/>
      <c r="CL188" s="419"/>
      <c r="CM188" s="419"/>
      <c r="CN188" s="419"/>
      <c r="CO188" s="419"/>
      <c r="CP188" s="585"/>
    </row>
    <row r="189" spans="1:94" ht="14.25" customHeight="1">
      <c r="B189" s="481" t="s">
        <v>225</v>
      </c>
      <c r="C189" s="455"/>
      <c r="D189" s="482"/>
      <c r="E189" s="483"/>
      <c r="F189" s="483"/>
      <c r="G189" s="476"/>
      <c r="H189" s="482"/>
      <c r="I189" s="483"/>
      <c r="J189" s="483"/>
      <c r="K189" s="476"/>
      <c r="L189" s="482"/>
      <c r="M189" s="483"/>
      <c r="N189" s="483"/>
      <c r="O189" s="476"/>
      <c r="P189" s="482"/>
      <c r="Q189" s="483"/>
      <c r="R189" s="483"/>
      <c r="S189" s="476"/>
      <c r="T189" s="482"/>
      <c r="U189" s="483"/>
      <c r="V189" s="483"/>
      <c r="W189" s="476"/>
      <c r="X189" s="482"/>
      <c r="Y189" s="483"/>
      <c r="Z189" s="483"/>
      <c r="AA189" s="476"/>
      <c r="AB189" s="482"/>
      <c r="AC189" s="483"/>
      <c r="AD189" s="483"/>
      <c r="AE189" s="476"/>
      <c r="AF189" s="482"/>
      <c r="AG189" s="487"/>
      <c r="AH189" s="487"/>
      <c r="AI189" s="485"/>
      <c r="AJ189" s="487"/>
      <c r="AK189" s="487"/>
      <c r="AL189" s="487"/>
      <c r="AM189" s="487"/>
      <c r="AN189" s="486"/>
      <c r="AO189" s="487"/>
      <c r="AP189" s="487"/>
      <c r="AQ189" s="485"/>
      <c r="AR189" s="486"/>
      <c r="AS189" s="487"/>
      <c r="AT189" s="487"/>
      <c r="AU189" s="485"/>
      <c r="AV189" s="486"/>
      <c r="AW189" s="487"/>
      <c r="AX189" s="487"/>
      <c r="AY189" s="485"/>
      <c r="AZ189" s="486"/>
      <c r="BA189" s="487"/>
      <c r="BB189" s="487"/>
      <c r="BC189" s="485"/>
      <c r="BD189" s="486"/>
      <c r="BE189" s="487"/>
      <c r="BF189" s="487"/>
      <c r="BG189" s="485"/>
      <c r="BH189" s="486"/>
      <c r="BI189" s="487"/>
      <c r="BJ189" s="487"/>
      <c r="BK189" s="485"/>
      <c r="BL189" s="447"/>
      <c r="BM189" s="514"/>
      <c r="BN189" s="514"/>
      <c r="BO189" s="514">
        <v>171</v>
      </c>
      <c r="BP189" s="514">
        <v>148</v>
      </c>
      <c r="BQ189" s="514">
        <v>137</v>
      </c>
      <c r="BR189" s="514">
        <v>106</v>
      </c>
      <c r="BS189" s="514">
        <v>97</v>
      </c>
      <c r="BT189" s="419"/>
      <c r="BU189" s="419"/>
      <c r="BV189" s="419"/>
      <c r="BW189" s="419"/>
      <c r="BX189" s="419"/>
      <c r="BY189" s="410"/>
      <c r="BZ189" s="410"/>
      <c r="CA189" s="455"/>
      <c r="CB189" s="447"/>
      <c r="CC189" s="639"/>
      <c r="CD189" s="514"/>
      <c r="CE189" s="514"/>
      <c r="CF189" s="514"/>
      <c r="CG189" s="514"/>
      <c r="CH189" s="514"/>
      <c r="CI189" s="635"/>
      <c r="CJ189" s="419"/>
      <c r="CK189" s="419"/>
      <c r="CL189" s="419"/>
      <c r="CM189" s="419"/>
      <c r="CN189" s="419"/>
      <c r="CO189" s="419"/>
      <c r="CP189" s="585"/>
    </row>
    <row r="190" spans="1:94" ht="14.25" customHeight="1">
      <c r="B190" s="481" t="s">
        <v>226</v>
      </c>
      <c r="C190" s="496"/>
      <c r="D190" s="482"/>
      <c r="E190" s="483"/>
      <c r="F190" s="483"/>
      <c r="G190" s="476"/>
      <c r="H190" s="482"/>
      <c r="I190" s="483"/>
      <c r="J190" s="483"/>
      <c r="K190" s="476"/>
      <c r="L190" s="482"/>
      <c r="M190" s="483"/>
      <c r="N190" s="483"/>
      <c r="O190" s="476"/>
      <c r="P190" s="482"/>
      <c r="Q190" s="483"/>
      <c r="R190" s="483"/>
      <c r="S190" s="476"/>
      <c r="T190" s="482"/>
      <c r="U190" s="483"/>
      <c r="V190" s="483"/>
      <c r="W190" s="476"/>
      <c r="X190" s="482"/>
      <c r="Y190" s="483"/>
      <c r="Z190" s="483"/>
      <c r="AA190" s="476"/>
      <c r="AB190" s="482"/>
      <c r="AC190" s="483"/>
      <c r="AD190" s="483"/>
      <c r="AE190" s="476"/>
      <c r="AF190" s="482"/>
      <c r="AG190" s="487"/>
      <c r="AH190" s="487"/>
      <c r="AI190" s="485"/>
      <c r="AJ190" s="487"/>
      <c r="AK190" s="487"/>
      <c r="AL190" s="487"/>
      <c r="AM190" s="487"/>
      <c r="AN190" s="486"/>
      <c r="AO190" s="487"/>
      <c r="AP190" s="487"/>
      <c r="AQ190" s="485"/>
      <c r="AR190" s="486"/>
      <c r="AS190" s="487"/>
      <c r="AT190" s="487"/>
      <c r="AU190" s="485"/>
      <c r="AV190" s="486"/>
      <c r="AW190" s="487"/>
      <c r="AX190" s="487"/>
      <c r="AY190" s="485"/>
      <c r="AZ190" s="486"/>
      <c r="BA190" s="487"/>
      <c r="BB190" s="487"/>
      <c r="BC190" s="485"/>
      <c r="BD190" s="486"/>
      <c r="BE190" s="487"/>
      <c r="BF190" s="487"/>
      <c r="BG190" s="485"/>
      <c r="BH190" s="486"/>
      <c r="BI190" s="487"/>
      <c r="BJ190" s="487"/>
      <c r="BK190" s="485"/>
      <c r="BL190" s="447"/>
      <c r="BM190" s="516"/>
      <c r="BN190" s="516"/>
      <c r="BO190" s="516">
        <v>502</v>
      </c>
      <c r="BP190" s="516">
        <v>418</v>
      </c>
      <c r="BQ190" s="516">
        <v>573</v>
      </c>
      <c r="BR190" s="516">
        <v>671</v>
      </c>
      <c r="BS190" s="516">
        <v>581</v>
      </c>
      <c r="BT190" s="497"/>
      <c r="BU190" s="497"/>
      <c r="BV190" s="497"/>
      <c r="BW190" s="497"/>
      <c r="BX190" s="497"/>
      <c r="BY190" s="498"/>
      <c r="BZ190" s="498"/>
      <c r="CA190" s="496"/>
      <c r="CB190" s="447"/>
      <c r="CC190" s="640"/>
      <c r="CD190" s="516"/>
      <c r="CE190" s="516"/>
      <c r="CF190" s="516"/>
      <c r="CG190" s="516"/>
      <c r="CH190" s="516"/>
      <c r="CI190" s="774"/>
      <c r="CJ190" s="497"/>
      <c r="CK190" s="497"/>
      <c r="CL190" s="497"/>
      <c r="CM190" s="497"/>
      <c r="CN190" s="497"/>
      <c r="CO190" s="497"/>
      <c r="CP190" s="589"/>
    </row>
    <row r="191" spans="1:94" s="99" customFormat="1" ht="14.25" customHeight="1">
      <c r="B191" s="428" t="s">
        <v>214</v>
      </c>
      <c r="C191" s="429"/>
      <c r="D191" s="430"/>
      <c r="E191" s="431"/>
      <c r="F191" s="431"/>
      <c r="G191" s="432"/>
      <c r="H191" s="430"/>
      <c r="I191" s="431"/>
      <c r="J191" s="431"/>
      <c r="K191" s="432"/>
      <c r="L191" s="430"/>
      <c r="M191" s="431"/>
      <c r="N191" s="431"/>
      <c r="O191" s="432"/>
      <c r="P191" s="430"/>
      <c r="Q191" s="431"/>
      <c r="R191" s="431"/>
      <c r="S191" s="432"/>
      <c r="T191" s="430"/>
      <c r="U191" s="431"/>
      <c r="V191" s="431"/>
      <c r="W191" s="432"/>
      <c r="X191" s="430"/>
      <c r="Y191" s="431"/>
      <c r="Z191" s="431"/>
      <c r="AA191" s="432"/>
      <c r="AB191" s="430"/>
      <c r="AC191" s="431"/>
      <c r="AD191" s="431"/>
      <c r="AE191" s="432"/>
      <c r="AF191" s="430"/>
      <c r="AG191" s="435"/>
      <c r="AH191" s="435"/>
      <c r="AI191" s="433"/>
      <c r="AJ191" s="435"/>
      <c r="AK191" s="435"/>
      <c r="AL191" s="435"/>
      <c r="AM191" s="435"/>
      <c r="AN191" s="434"/>
      <c r="AO191" s="435"/>
      <c r="AP191" s="435"/>
      <c r="AQ191" s="433"/>
      <c r="AR191" s="434"/>
      <c r="AS191" s="435"/>
      <c r="AT191" s="435"/>
      <c r="AU191" s="433"/>
      <c r="AV191" s="434"/>
      <c r="AW191" s="435"/>
      <c r="AX191" s="435"/>
      <c r="AY191" s="433"/>
      <c r="AZ191" s="434"/>
      <c r="BA191" s="435"/>
      <c r="BB191" s="435"/>
      <c r="BC191" s="433"/>
      <c r="BD191" s="434"/>
      <c r="BE191" s="435"/>
      <c r="BF191" s="435"/>
      <c r="BG191" s="433"/>
      <c r="BH191" s="434"/>
      <c r="BI191" s="435"/>
      <c r="BJ191" s="435"/>
      <c r="BK191" s="433"/>
      <c r="BL191" s="436"/>
      <c r="BM191" s="438"/>
      <c r="BN191" s="438"/>
      <c r="BO191" s="438">
        <f>SUM(BO185:BO190)</f>
        <v>1699</v>
      </c>
      <c r="BP191" s="438">
        <f>SUM(BP185:BP190)</f>
        <v>1484</v>
      </c>
      <c r="BQ191" s="438">
        <f>SUM(BQ185:BQ190)</f>
        <v>2093</v>
      </c>
      <c r="BR191" s="438">
        <f>SUM(BR185:BR190)</f>
        <v>2336</v>
      </c>
      <c r="BS191" s="438">
        <f>SUM(BS185:BS190)</f>
        <v>2364</v>
      </c>
      <c r="BT191" s="438"/>
      <c r="BU191" s="438"/>
      <c r="BV191" s="438"/>
      <c r="BW191" s="438"/>
      <c r="BX191" s="438"/>
      <c r="BY191" s="834"/>
      <c r="BZ191" s="834"/>
      <c r="CA191" s="429"/>
      <c r="CB191" s="436"/>
      <c r="CC191" s="636"/>
      <c r="CD191" s="438"/>
      <c r="CE191" s="438"/>
      <c r="CF191" s="438"/>
      <c r="CG191" s="438"/>
      <c r="CH191" s="438"/>
      <c r="CI191" s="636"/>
      <c r="CJ191" s="438"/>
      <c r="CK191" s="438"/>
      <c r="CL191" s="438"/>
      <c r="CM191" s="438"/>
      <c r="CN191" s="438"/>
      <c r="CO191" s="438"/>
      <c r="CP191" s="586"/>
    </row>
    <row r="192" spans="1:94" ht="14.25" customHeight="1">
      <c r="B192" s="63"/>
      <c r="AR192" s="1125"/>
      <c r="AS192" s="1136"/>
      <c r="BL192" s="410"/>
      <c r="BM192" s="452"/>
      <c r="BN192" s="410"/>
      <c r="BO192" s="410"/>
      <c r="BP192" s="410"/>
      <c r="BQ192" s="410"/>
      <c r="BR192" s="410"/>
      <c r="BS192" s="410"/>
      <c r="BT192" s="410"/>
      <c r="BU192" s="410"/>
      <c r="BV192" s="410"/>
      <c r="BW192" s="410"/>
      <c r="BX192" s="498"/>
      <c r="BY192" s="757"/>
      <c r="BZ192" s="757"/>
      <c r="CB192" s="410"/>
      <c r="CC192" s="410"/>
      <c r="CD192" s="410"/>
      <c r="CE192" s="410"/>
      <c r="CF192" s="410"/>
      <c r="CG192" s="410"/>
      <c r="CH192" s="410"/>
      <c r="CI192" s="410"/>
      <c r="CJ192" s="410"/>
      <c r="CK192" s="410"/>
      <c r="CL192" s="410"/>
      <c r="CM192" s="410"/>
      <c r="CN192" s="410"/>
      <c r="CO192" s="410"/>
      <c r="CP192" s="410"/>
    </row>
    <row r="193" spans="1:94" s="7" customFormat="1" ht="14.25" customHeight="1">
      <c r="B193" s="290" t="s">
        <v>115</v>
      </c>
      <c r="C193" s="291"/>
      <c r="D193" s="488"/>
      <c r="E193" s="489"/>
      <c r="F193" s="489"/>
      <c r="G193" s="489"/>
      <c r="H193" s="488"/>
      <c r="I193" s="489"/>
      <c r="J193" s="489"/>
      <c r="K193" s="489"/>
      <c r="L193" s="488"/>
      <c r="M193" s="489"/>
      <c r="N193" s="489"/>
      <c r="O193" s="489"/>
      <c r="P193" s="488"/>
      <c r="Q193" s="489"/>
      <c r="R193" s="489"/>
      <c r="S193" s="489"/>
      <c r="T193" s="488"/>
      <c r="U193" s="489"/>
      <c r="V193" s="489"/>
      <c r="W193" s="489"/>
      <c r="X193" s="488"/>
      <c r="Y193" s="489"/>
      <c r="Z193" s="489"/>
      <c r="AA193" s="489"/>
      <c r="AB193" s="488"/>
      <c r="AC193" s="489"/>
      <c r="AD193" s="489"/>
      <c r="AE193" s="489"/>
      <c r="AF193" s="488"/>
      <c r="AG193" s="293"/>
      <c r="AH193" s="293"/>
      <c r="AI193" s="293"/>
      <c r="AJ193" s="293"/>
      <c r="AK193" s="293"/>
      <c r="AL193" s="293"/>
      <c r="AM193" s="293"/>
      <c r="AN193" s="292"/>
      <c r="AO193" s="293"/>
      <c r="AP193" s="293"/>
      <c r="AQ193" s="588"/>
      <c r="AR193" s="292"/>
      <c r="AS193" s="293"/>
      <c r="AT193" s="293"/>
      <c r="AU193" s="293"/>
      <c r="AV193" s="292"/>
      <c r="AW193" s="293"/>
      <c r="AX193" s="293"/>
      <c r="AY193" s="293"/>
      <c r="AZ193" s="292"/>
      <c r="BA193" s="293"/>
      <c r="BB193" s="293"/>
      <c r="BC193" s="293"/>
      <c r="BD193" s="292"/>
      <c r="BE193" s="293"/>
      <c r="BF193" s="293"/>
      <c r="BG193" s="293"/>
      <c r="BH193" s="292"/>
      <c r="BI193" s="293"/>
      <c r="BJ193" s="293"/>
      <c r="BK193" s="293"/>
      <c r="BL193" s="19"/>
      <c r="BM193" s="499"/>
      <c r="BN193" s="293"/>
      <c r="BO193" s="293" t="str">
        <f>IF(ABS(BO191-BO113)&lt;1,"OK",BO191-BO113)</f>
        <v>OK</v>
      </c>
      <c r="BP193" s="293" t="str">
        <f>IF(ABS(BP191-BP113)&lt;1,"OK",BP191-BP113)</f>
        <v>OK</v>
      </c>
      <c r="BQ193" s="490" t="str">
        <f>IF(ABS(BQ191-BQ113)&lt;1,"OK",BQ191-BQ113)</f>
        <v>OK</v>
      </c>
      <c r="BR193" s="490" t="str">
        <f>IF(ABS(BR191-BR113)&lt;1,"OK",BR191-BR113)</f>
        <v>OK</v>
      </c>
      <c r="BS193" s="490" t="str">
        <f>IF(ABS(BS191-BS113)&lt;1,"OK",BS191-BS113)</f>
        <v>OK</v>
      </c>
      <c r="BT193" s="293"/>
      <c r="BU193" s="293"/>
      <c r="BV193" s="293"/>
      <c r="BW193" s="293"/>
      <c r="BX193" s="293"/>
      <c r="BY193" s="987"/>
      <c r="BZ193" s="987"/>
      <c r="CA193" s="491"/>
      <c r="CB193" s="19"/>
      <c r="CC193" s="292"/>
      <c r="CD193" s="293"/>
      <c r="CE193" s="293"/>
      <c r="CF193" s="490"/>
      <c r="CG193" s="490"/>
      <c r="CH193" s="490"/>
      <c r="CI193" s="292"/>
      <c r="CJ193" s="293"/>
      <c r="CK193" s="293"/>
      <c r="CL193" s="293"/>
      <c r="CM193" s="293"/>
      <c r="CN193" s="293"/>
      <c r="CO193" s="293"/>
      <c r="CP193" s="588"/>
    </row>
    <row r="194" spans="1:94" ht="14.25" customHeight="1">
      <c r="B194" s="63"/>
      <c r="AR194" s="1125"/>
      <c r="AS194" s="1136"/>
      <c r="BR194" s="7"/>
      <c r="BS194" s="7"/>
      <c r="BX194" s="410"/>
      <c r="BY194" s="757"/>
      <c r="BZ194" s="757"/>
      <c r="CB194" s="410"/>
      <c r="CG194" s="7"/>
      <c r="CH194" s="7"/>
      <c r="CM194" s="410"/>
      <c r="CN194" s="410"/>
      <c r="CO194" s="410"/>
      <c r="CP194" s="410"/>
    </row>
    <row r="195" spans="1:94" ht="14.25" customHeight="1">
      <c r="A195" s="1"/>
      <c r="B195" s="146" t="s">
        <v>217</v>
      </c>
      <c r="C195" s="147"/>
      <c r="D195" s="333" t="str">
        <f t="shared" ref="D195:AY195" si="600">D7</f>
        <v>F1Q06</v>
      </c>
      <c r="E195" s="334" t="str">
        <f t="shared" si="600"/>
        <v>F2Q06</v>
      </c>
      <c r="F195" s="334" t="str">
        <f t="shared" si="600"/>
        <v>F3Q06</v>
      </c>
      <c r="G195" s="334" t="str">
        <f t="shared" si="600"/>
        <v>F4Q06</v>
      </c>
      <c r="H195" s="333" t="str">
        <f t="shared" si="600"/>
        <v>F1Q07</v>
      </c>
      <c r="I195" s="334" t="str">
        <f t="shared" si="600"/>
        <v>F2Q07</v>
      </c>
      <c r="J195" s="334" t="str">
        <f t="shared" si="600"/>
        <v>F3Q07</v>
      </c>
      <c r="K195" s="334" t="str">
        <f t="shared" si="600"/>
        <v>F4Q07</v>
      </c>
      <c r="L195" s="333" t="str">
        <f t="shared" si="600"/>
        <v>F1Q08</v>
      </c>
      <c r="M195" s="334" t="str">
        <f t="shared" si="600"/>
        <v>F2Q08</v>
      </c>
      <c r="N195" s="334" t="str">
        <f t="shared" si="600"/>
        <v>F3Q08</v>
      </c>
      <c r="O195" s="334" t="str">
        <f t="shared" si="600"/>
        <v>F4Q08</v>
      </c>
      <c r="P195" s="333" t="str">
        <f t="shared" si="600"/>
        <v>F1Q09</v>
      </c>
      <c r="Q195" s="334" t="str">
        <f t="shared" si="600"/>
        <v>F2Q09</v>
      </c>
      <c r="R195" s="334" t="str">
        <f t="shared" si="600"/>
        <v>F3Q09</v>
      </c>
      <c r="S195" s="334" t="str">
        <f t="shared" si="600"/>
        <v>F4Q09</v>
      </c>
      <c r="T195" s="333" t="str">
        <f t="shared" si="600"/>
        <v>F1Q10</v>
      </c>
      <c r="U195" s="334" t="str">
        <f t="shared" si="600"/>
        <v>F2Q10</v>
      </c>
      <c r="V195" s="334" t="str">
        <f t="shared" si="600"/>
        <v>F3Q10</v>
      </c>
      <c r="W195" s="334" t="str">
        <f t="shared" si="600"/>
        <v>F4Q10</v>
      </c>
      <c r="X195" s="333" t="str">
        <f t="shared" si="600"/>
        <v>F1Q11</v>
      </c>
      <c r="Y195" s="334" t="str">
        <f t="shared" si="600"/>
        <v>F2Q11</v>
      </c>
      <c r="Z195" s="334" t="str">
        <f t="shared" si="600"/>
        <v>F3Q11</v>
      </c>
      <c r="AA195" s="334" t="str">
        <f t="shared" si="600"/>
        <v>F4Q11</v>
      </c>
      <c r="AB195" s="333" t="str">
        <f t="shared" si="600"/>
        <v>F1Q12</v>
      </c>
      <c r="AC195" s="334" t="str">
        <f t="shared" si="600"/>
        <v>F2Q12</v>
      </c>
      <c r="AD195" s="334" t="str">
        <f t="shared" si="600"/>
        <v>F3Q12</v>
      </c>
      <c r="AE195" s="334" t="str">
        <f t="shared" si="600"/>
        <v>F4Q12</v>
      </c>
      <c r="AF195" s="333" t="str">
        <f t="shared" si="600"/>
        <v>F1Q13</v>
      </c>
      <c r="AG195" s="334" t="str">
        <f t="shared" si="600"/>
        <v>F2Q13</v>
      </c>
      <c r="AH195" s="334" t="str">
        <f t="shared" si="600"/>
        <v>F3Q13</v>
      </c>
      <c r="AI195" s="334" t="str">
        <f t="shared" si="600"/>
        <v>F4Q13</v>
      </c>
      <c r="AJ195" s="334" t="str">
        <f t="shared" si="600"/>
        <v>F1Q14</v>
      </c>
      <c r="AK195" s="334" t="str">
        <f t="shared" si="600"/>
        <v>F2Q14A</v>
      </c>
      <c r="AL195" s="334" t="str">
        <f t="shared" si="600"/>
        <v>F3Q14A</v>
      </c>
      <c r="AM195" s="334" t="str">
        <f t="shared" si="600"/>
        <v>F4Q14A</v>
      </c>
      <c r="AN195" s="333" t="str">
        <f t="shared" si="600"/>
        <v>F1Q15A</v>
      </c>
      <c r="AO195" s="334" t="str">
        <f t="shared" si="600"/>
        <v>F2Q15A</v>
      </c>
      <c r="AP195" s="334" t="str">
        <f t="shared" si="600"/>
        <v>F3Q15A</v>
      </c>
      <c r="AQ195" s="335" t="str">
        <f t="shared" si="600"/>
        <v>F4Q15A</v>
      </c>
      <c r="AR195" s="333" t="str">
        <f t="shared" ref="AR195:AS195" si="601">AR7</f>
        <v>F1Q16A</v>
      </c>
      <c r="AS195" s="334" t="str">
        <f t="shared" si="601"/>
        <v>F2Q16A</v>
      </c>
      <c r="AT195" s="334" t="str">
        <f t="shared" si="600"/>
        <v>F3Q16A</v>
      </c>
      <c r="AU195" s="335" t="str">
        <f t="shared" si="600"/>
        <v>F4Q16A</v>
      </c>
      <c r="AV195" s="333" t="str">
        <f t="shared" si="600"/>
        <v>F1Q17A</v>
      </c>
      <c r="AW195" s="1247" t="str">
        <f t="shared" si="600"/>
        <v>F2Q17A</v>
      </c>
      <c r="AX195" s="334" t="str">
        <f t="shared" si="600"/>
        <v>F3Q17A</v>
      </c>
      <c r="AY195" s="335" t="str">
        <f t="shared" si="600"/>
        <v>F4Q17A</v>
      </c>
      <c r="AZ195" s="333" t="str">
        <f t="shared" ref="AZ195:BC195" si="602">AZ7</f>
        <v>F1Q18A</v>
      </c>
      <c r="BA195" s="334" t="str">
        <f t="shared" si="602"/>
        <v>F2Q18E</v>
      </c>
      <c r="BB195" s="334" t="str">
        <f t="shared" si="602"/>
        <v>F3Q18E</v>
      </c>
      <c r="BC195" s="335" t="str">
        <f t="shared" si="602"/>
        <v>F4Q18E</v>
      </c>
      <c r="BD195" s="1246" t="str">
        <f t="shared" ref="BD195:BG195" si="603">BD7</f>
        <v>F1Q19E</v>
      </c>
      <c r="BE195" s="1247" t="str">
        <f t="shared" si="603"/>
        <v>F2Q19E</v>
      </c>
      <c r="BF195" s="1247" t="str">
        <f t="shared" si="603"/>
        <v>F3Q19E</v>
      </c>
      <c r="BG195" s="1248" t="str">
        <f t="shared" si="603"/>
        <v>F4Q19E</v>
      </c>
      <c r="BH195" s="1246" t="str">
        <f t="shared" ref="BH195:BK195" si="604">BH7</f>
        <v>F1Q20E</v>
      </c>
      <c r="BI195" s="1247" t="str">
        <f t="shared" si="604"/>
        <v>F2Q20E</v>
      </c>
      <c r="BJ195" s="1247" t="str">
        <f t="shared" si="604"/>
        <v>F3Q20E</v>
      </c>
      <c r="BK195" s="1248" t="str">
        <f t="shared" si="604"/>
        <v>F4Q20E</v>
      </c>
      <c r="BL195" s="19"/>
      <c r="BM195" s="334" t="str">
        <f t="shared" ref="BM195:BY195" si="605">BM7</f>
        <v>FY2006</v>
      </c>
      <c r="BN195" s="334" t="str">
        <f t="shared" si="605"/>
        <v>FY2007</v>
      </c>
      <c r="BO195" s="334" t="str">
        <f t="shared" si="605"/>
        <v>FY2008</v>
      </c>
      <c r="BP195" s="334" t="str">
        <f t="shared" si="605"/>
        <v>FY2009</v>
      </c>
      <c r="BQ195" s="334" t="str">
        <f t="shared" si="605"/>
        <v>FY2010</v>
      </c>
      <c r="BR195" s="334" t="str">
        <f t="shared" si="605"/>
        <v>FY2011</v>
      </c>
      <c r="BS195" s="334" t="str">
        <f t="shared" si="605"/>
        <v>FY2012</v>
      </c>
      <c r="BT195" s="334" t="str">
        <f t="shared" si="605"/>
        <v>FY2013</v>
      </c>
      <c r="BU195" s="334" t="str">
        <f t="shared" si="605"/>
        <v>FY2014A</v>
      </c>
      <c r="BV195" s="334" t="str">
        <f t="shared" si="605"/>
        <v>FY2015A</v>
      </c>
      <c r="BW195" s="334" t="str">
        <f t="shared" si="605"/>
        <v>FY2016A</v>
      </c>
      <c r="BX195" s="334" t="str">
        <f t="shared" si="605"/>
        <v>FY2017A</v>
      </c>
      <c r="BY195" s="1247" t="str">
        <f t="shared" si="605"/>
        <v>FY2018E</v>
      </c>
      <c r="BZ195" s="1247" t="str">
        <f t="shared" ref="BZ195" si="606">BZ7</f>
        <v>FY2019E</v>
      </c>
      <c r="CA195" s="1248" t="str">
        <f t="shared" ref="CA195" si="607">CA7</f>
        <v>FY2020E</v>
      </c>
      <c r="CB195" s="447"/>
      <c r="CC195" s="333" t="str">
        <f t="shared" ref="CC195:CM195" si="608">CC7</f>
        <v>CY2006</v>
      </c>
      <c r="CD195" s="334" t="str">
        <f t="shared" si="608"/>
        <v>CY2007</v>
      </c>
      <c r="CE195" s="334" t="str">
        <f t="shared" si="608"/>
        <v>CY2008</v>
      </c>
      <c r="CF195" s="334" t="str">
        <f t="shared" si="608"/>
        <v>CY2009</v>
      </c>
      <c r="CG195" s="334" t="str">
        <f t="shared" si="608"/>
        <v>CY2010</v>
      </c>
      <c r="CH195" s="334" t="str">
        <f t="shared" si="608"/>
        <v>CY2011</v>
      </c>
      <c r="CI195" s="333" t="str">
        <f t="shared" si="608"/>
        <v>CY2012</v>
      </c>
      <c r="CJ195" s="334" t="str">
        <f t="shared" si="608"/>
        <v>CY2013</v>
      </c>
      <c r="CK195" s="334" t="str">
        <f t="shared" si="608"/>
        <v>CY2014A</v>
      </c>
      <c r="CL195" s="334" t="str">
        <f t="shared" si="608"/>
        <v>CY2015A</v>
      </c>
      <c r="CM195" s="334" t="str">
        <f t="shared" si="608"/>
        <v>CY2016A</v>
      </c>
      <c r="CN195" s="1247" t="str">
        <f t="shared" ref="CN195:CO195" si="609">CN7</f>
        <v>CY2017A</v>
      </c>
      <c r="CO195" s="1247" t="str">
        <f t="shared" si="609"/>
        <v>CY2018E</v>
      </c>
      <c r="CP195" s="1248" t="str">
        <f t="shared" ref="CP195" si="610">CP7</f>
        <v>CY2019E</v>
      </c>
    </row>
    <row r="196" spans="1:94" ht="14.25" customHeight="1">
      <c r="B196" s="439" t="str">
        <f t="shared" ref="B196:B201" si="611">B185</f>
        <v>China</v>
      </c>
      <c r="C196" s="440"/>
      <c r="D196" s="493"/>
      <c r="E196" s="500"/>
      <c r="F196" s="500"/>
      <c r="G196" s="501"/>
      <c r="H196" s="493"/>
      <c r="I196" s="500"/>
      <c r="J196" s="500"/>
      <c r="K196" s="501"/>
      <c r="L196" s="493"/>
      <c r="M196" s="500"/>
      <c r="N196" s="500"/>
      <c r="O196" s="501"/>
      <c r="P196" s="493"/>
      <c r="Q196" s="500"/>
      <c r="R196" s="500"/>
      <c r="S196" s="501"/>
      <c r="T196" s="493"/>
      <c r="U196" s="500"/>
      <c r="V196" s="500"/>
      <c r="W196" s="501"/>
      <c r="X196" s="493"/>
      <c r="Y196" s="500"/>
      <c r="Z196" s="500"/>
      <c r="AA196" s="501"/>
      <c r="AB196" s="493"/>
      <c r="AC196" s="500"/>
      <c r="AD196" s="500"/>
      <c r="AE196" s="501"/>
      <c r="AF196" s="493"/>
      <c r="AG196" s="446"/>
      <c r="AH196" s="446"/>
      <c r="AI196" s="444"/>
      <c r="AJ196" s="446"/>
      <c r="AK196" s="446"/>
      <c r="AL196" s="446"/>
      <c r="AM196" s="446"/>
      <c r="AN196" s="445"/>
      <c r="AO196" s="446"/>
      <c r="AP196" s="446"/>
      <c r="AQ196" s="444"/>
      <c r="AR196" s="445"/>
      <c r="AS196" s="446"/>
      <c r="AT196" s="446"/>
      <c r="AU196" s="444"/>
      <c r="AV196" s="445"/>
      <c r="AW196" s="446"/>
      <c r="AX196" s="446"/>
      <c r="AY196" s="444"/>
      <c r="AZ196" s="445"/>
      <c r="BA196" s="446"/>
      <c r="BB196" s="446"/>
      <c r="BC196" s="444"/>
      <c r="BD196" s="445"/>
      <c r="BE196" s="446"/>
      <c r="BF196" s="446"/>
      <c r="BG196" s="444"/>
      <c r="BH196" s="445"/>
      <c r="BI196" s="446"/>
      <c r="BJ196" s="446"/>
      <c r="BK196" s="444"/>
      <c r="BL196" s="447"/>
      <c r="BM196" s="301"/>
      <c r="BN196" s="241"/>
      <c r="BO196" s="241">
        <f>BO185/'AVGO IS'!BO$8</f>
        <v>0.214832254267216</v>
      </c>
      <c r="BP196" s="454">
        <f>BP185/'AVGO IS'!BP$8</f>
        <v>0.26617250673854448</v>
      </c>
      <c r="BQ196" s="454">
        <f>BQ185/'AVGO IS'!BQ$8</f>
        <v>0.31629240324892499</v>
      </c>
      <c r="BR196" s="454">
        <f>BR185/'AVGO IS'!BR$8</f>
        <v>0.29837328767123289</v>
      </c>
      <c r="BS196" s="454">
        <f>BS185/'AVGO IS'!BS$8</f>
        <v>0.4149746192893401</v>
      </c>
      <c r="BT196" s="301"/>
      <c r="BU196" s="301"/>
      <c r="BV196" s="301"/>
      <c r="BW196" s="301"/>
      <c r="BX196" s="301"/>
      <c r="BY196" s="1284"/>
      <c r="BZ196" s="1284"/>
      <c r="CA196" s="453"/>
      <c r="CB196" s="1439"/>
      <c r="CC196" s="629"/>
      <c r="CD196" s="241"/>
      <c r="CE196" s="454"/>
      <c r="CF196" s="454"/>
      <c r="CG196" s="454"/>
      <c r="CH196" s="454"/>
      <c r="CI196" s="632"/>
      <c r="CJ196" s="301"/>
      <c r="CK196" s="301"/>
      <c r="CL196" s="301"/>
      <c r="CM196" s="301"/>
      <c r="CN196" s="301"/>
      <c r="CO196" s="301"/>
      <c r="CP196" s="367"/>
    </row>
    <row r="197" spans="1:94" ht="14.25" customHeight="1">
      <c r="B197" s="329" t="str">
        <f t="shared" si="611"/>
        <v>United States</v>
      </c>
      <c r="C197" s="455"/>
      <c r="D197" s="462"/>
      <c r="E197" s="463"/>
      <c r="F197" s="463"/>
      <c r="G197" s="457"/>
      <c r="H197" s="462"/>
      <c r="I197" s="463"/>
      <c r="J197" s="463"/>
      <c r="K197" s="457"/>
      <c r="L197" s="462"/>
      <c r="M197" s="463"/>
      <c r="N197" s="463"/>
      <c r="O197" s="457"/>
      <c r="P197" s="462"/>
      <c r="Q197" s="463"/>
      <c r="R197" s="463"/>
      <c r="S197" s="457"/>
      <c r="T197" s="462"/>
      <c r="U197" s="463"/>
      <c r="V197" s="463"/>
      <c r="W197" s="457"/>
      <c r="X197" s="462"/>
      <c r="Y197" s="463"/>
      <c r="Z197" s="463"/>
      <c r="AA197" s="457"/>
      <c r="AB197" s="462"/>
      <c r="AC197" s="463"/>
      <c r="AD197" s="463"/>
      <c r="AE197" s="457"/>
      <c r="AF197" s="462"/>
      <c r="AG197" s="460"/>
      <c r="AH197" s="460"/>
      <c r="AI197" s="458"/>
      <c r="AJ197" s="460"/>
      <c r="AK197" s="460"/>
      <c r="AL197" s="460"/>
      <c r="AM197" s="460"/>
      <c r="AN197" s="459"/>
      <c r="AO197" s="460"/>
      <c r="AP197" s="460"/>
      <c r="AQ197" s="458"/>
      <c r="AR197" s="459"/>
      <c r="AS197" s="460"/>
      <c r="AT197" s="460"/>
      <c r="AU197" s="458"/>
      <c r="AV197" s="459"/>
      <c r="AW197" s="460"/>
      <c r="AX197" s="460"/>
      <c r="AY197" s="458"/>
      <c r="AZ197" s="459"/>
      <c r="BA197" s="460"/>
      <c r="BB197" s="460"/>
      <c r="BC197" s="458"/>
      <c r="BD197" s="459"/>
      <c r="BE197" s="460"/>
      <c r="BF197" s="460"/>
      <c r="BG197" s="458"/>
      <c r="BH197" s="459"/>
      <c r="BI197" s="460"/>
      <c r="BJ197" s="460"/>
      <c r="BK197" s="458"/>
      <c r="BL197" s="447"/>
      <c r="BM197" s="301"/>
      <c r="BN197" s="241"/>
      <c r="BO197" s="1149">
        <f>BO186/'AVGO IS'!BO$8</f>
        <v>0.1918775750441436</v>
      </c>
      <c r="BP197" s="241">
        <f>BP186/'AVGO IS'!BP$8</f>
        <v>0.1650943396226415</v>
      </c>
      <c r="BQ197" s="241">
        <f>BQ186/'AVGO IS'!BQ$8</f>
        <v>0.14906832298136646</v>
      </c>
      <c r="BR197" s="241">
        <f>BR186/'AVGO IS'!BR$8</f>
        <v>0.17422945205479451</v>
      </c>
      <c r="BS197" s="241">
        <f>BS186/'AVGO IS'!BS$8</f>
        <v>0.15693739424703892</v>
      </c>
      <c r="BT197" s="301"/>
      <c r="BU197" s="301"/>
      <c r="BV197" s="301"/>
      <c r="BW197" s="301"/>
      <c r="BX197" s="301"/>
      <c r="BY197" s="452"/>
      <c r="BZ197" s="452"/>
      <c r="CA197" s="461"/>
      <c r="CB197" s="1439"/>
      <c r="CC197" s="629"/>
      <c r="CD197" s="241"/>
      <c r="CE197" s="241"/>
      <c r="CF197" s="241"/>
      <c r="CG197" s="241"/>
      <c r="CH197" s="241"/>
      <c r="CI197" s="632"/>
      <c r="CJ197" s="301"/>
      <c r="CK197" s="301"/>
      <c r="CL197" s="301"/>
      <c r="CM197" s="301"/>
      <c r="CN197" s="301"/>
      <c r="CO197" s="301"/>
      <c r="CP197" s="367"/>
    </row>
    <row r="198" spans="1:94" ht="14.25" customHeight="1">
      <c r="B198" s="329" t="str">
        <f t="shared" si="611"/>
        <v>Germany</v>
      </c>
      <c r="C198" s="455"/>
      <c r="D198" s="462"/>
      <c r="E198" s="463"/>
      <c r="F198" s="463"/>
      <c r="G198" s="457"/>
      <c r="H198" s="462"/>
      <c r="I198" s="463"/>
      <c r="J198" s="463"/>
      <c r="K198" s="457"/>
      <c r="L198" s="462"/>
      <c r="M198" s="463"/>
      <c r="N198" s="463"/>
      <c r="O198" s="457"/>
      <c r="P198" s="462"/>
      <c r="Q198" s="463"/>
      <c r="R198" s="463"/>
      <c r="S198" s="457"/>
      <c r="T198" s="462"/>
      <c r="U198" s="463"/>
      <c r="V198" s="463"/>
      <c r="W198" s="457"/>
      <c r="X198" s="462"/>
      <c r="Y198" s="463"/>
      <c r="Z198" s="463"/>
      <c r="AA198" s="457"/>
      <c r="AB198" s="462"/>
      <c r="AC198" s="463"/>
      <c r="AD198" s="463"/>
      <c r="AE198" s="457"/>
      <c r="AF198" s="462"/>
      <c r="AG198" s="460"/>
      <c r="AH198" s="460"/>
      <c r="AI198" s="458"/>
      <c r="AJ198" s="460"/>
      <c r="AK198" s="460"/>
      <c r="AL198" s="460"/>
      <c r="AM198" s="460"/>
      <c r="AN198" s="459"/>
      <c r="AO198" s="460"/>
      <c r="AP198" s="460"/>
      <c r="AQ198" s="458"/>
      <c r="AR198" s="459"/>
      <c r="AS198" s="460"/>
      <c r="AT198" s="460"/>
      <c r="AU198" s="458"/>
      <c r="AV198" s="459"/>
      <c r="AW198" s="460"/>
      <c r="AX198" s="460"/>
      <c r="AY198" s="458"/>
      <c r="AZ198" s="459"/>
      <c r="BA198" s="460"/>
      <c r="BB198" s="460"/>
      <c r="BC198" s="458"/>
      <c r="BD198" s="459"/>
      <c r="BE198" s="460"/>
      <c r="BF198" s="460"/>
      <c r="BG198" s="458"/>
      <c r="BH198" s="459"/>
      <c r="BI198" s="460"/>
      <c r="BJ198" s="460"/>
      <c r="BK198" s="458"/>
      <c r="BL198" s="447"/>
      <c r="BM198" s="301"/>
      <c r="BN198" s="241"/>
      <c r="BO198" s="1149">
        <f>BO187/'AVGO IS'!BO$8</f>
        <v>0.12065921130076515</v>
      </c>
      <c r="BP198" s="241">
        <f>BP187/'AVGO IS'!BP$8</f>
        <v>8.0862533692722366E-2</v>
      </c>
      <c r="BQ198" s="241">
        <f>BQ187/'AVGO IS'!BQ$8</f>
        <v>9.9856665074056383E-2</v>
      </c>
      <c r="BR198" s="241">
        <f>BR187/'AVGO IS'!BR$8</f>
        <v>9.8458904109589046E-2</v>
      </c>
      <c r="BS198" s="241">
        <f>BS187/'AVGO IS'!BS$8</f>
        <v>7.7834179357021999E-2</v>
      </c>
      <c r="BT198" s="301"/>
      <c r="BU198" s="301"/>
      <c r="BV198" s="301"/>
      <c r="BW198" s="301"/>
      <c r="BX198" s="301"/>
      <c r="BY198" s="452"/>
      <c r="BZ198" s="452"/>
      <c r="CA198" s="461"/>
      <c r="CB198" s="1439"/>
      <c r="CC198" s="629"/>
      <c r="CD198" s="241"/>
      <c r="CE198" s="241"/>
      <c r="CF198" s="241"/>
      <c r="CG198" s="241"/>
      <c r="CH198" s="241"/>
      <c r="CI198" s="632"/>
      <c r="CJ198" s="301"/>
      <c r="CK198" s="301"/>
      <c r="CL198" s="301"/>
      <c r="CM198" s="301"/>
      <c r="CN198" s="301"/>
      <c r="CO198" s="301"/>
      <c r="CP198" s="367"/>
    </row>
    <row r="199" spans="1:94" ht="14.25" customHeight="1">
      <c r="B199" s="329" t="str">
        <f t="shared" si="611"/>
        <v>Korea</v>
      </c>
      <c r="C199" s="455"/>
      <c r="D199" s="462"/>
      <c r="E199" s="463"/>
      <c r="F199" s="463"/>
      <c r="G199" s="457"/>
      <c r="H199" s="462"/>
      <c r="I199" s="463"/>
      <c r="J199" s="463"/>
      <c r="K199" s="457"/>
      <c r="L199" s="462"/>
      <c r="M199" s="463"/>
      <c r="N199" s="463"/>
      <c r="O199" s="457"/>
      <c r="P199" s="462"/>
      <c r="Q199" s="463"/>
      <c r="R199" s="463"/>
      <c r="S199" s="457"/>
      <c r="T199" s="462"/>
      <c r="U199" s="463"/>
      <c r="V199" s="463"/>
      <c r="W199" s="457"/>
      <c r="X199" s="462"/>
      <c r="Y199" s="463"/>
      <c r="Z199" s="463"/>
      <c r="AA199" s="457"/>
      <c r="AB199" s="462"/>
      <c r="AC199" s="463"/>
      <c r="AD199" s="463"/>
      <c r="AE199" s="457"/>
      <c r="AF199" s="462"/>
      <c r="AG199" s="460"/>
      <c r="AH199" s="460"/>
      <c r="AI199" s="458"/>
      <c r="AJ199" s="460"/>
      <c r="AK199" s="460"/>
      <c r="AL199" s="460"/>
      <c r="AM199" s="460"/>
      <c r="AN199" s="459"/>
      <c r="AO199" s="460"/>
      <c r="AP199" s="460"/>
      <c r="AQ199" s="458"/>
      <c r="AR199" s="459"/>
      <c r="AS199" s="460"/>
      <c r="AT199" s="460"/>
      <c r="AU199" s="458"/>
      <c r="AV199" s="459"/>
      <c r="AW199" s="460"/>
      <c r="AX199" s="460"/>
      <c r="AY199" s="458"/>
      <c r="AZ199" s="459"/>
      <c r="BA199" s="460"/>
      <c r="BB199" s="460"/>
      <c r="BC199" s="458"/>
      <c r="BD199" s="459"/>
      <c r="BE199" s="460"/>
      <c r="BF199" s="460"/>
      <c r="BG199" s="458"/>
      <c r="BH199" s="459"/>
      <c r="BI199" s="460"/>
      <c r="BJ199" s="460"/>
      <c r="BK199" s="458"/>
      <c r="BL199" s="447"/>
      <c r="BM199" s="301"/>
      <c r="BN199" s="241"/>
      <c r="BO199" s="1149">
        <f>BO188/'AVGO IS'!BO$8</f>
        <v>7.6515597410241318E-2</v>
      </c>
      <c r="BP199" s="241">
        <f>BP188/'AVGO IS'!BP$8</f>
        <v>0.10646900269541779</v>
      </c>
      <c r="BQ199" s="241">
        <f>BQ188/'AVGO IS'!BQ$8</f>
        <v>9.5556617295747728E-2</v>
      </c>
      <c r="BR199" s="241">
        <f>BR188/'AVGO IS'!BR$8</f>
        <v>9.6318493150684928E-2</v>
      </c>
      <c r="BS199" s="241">
        <f>BS188/'AVGO IS'!BS$8</f>
        <v>6.3451776649746189E-2</v>
      </c>
      <c r="BT199" s="301"/>
      <c r="BU199" s="301"/>
      <c r="BV199" s="301"/>
      <c r="BW199" s="301"/>
      <c r="BX199" s="301"/>
      <c r="BY199" s="452"/>
      <c r="BZ199" s="452"/>
      <c r="CA199" s="461"/>
      <c r="CB199" s="1439"/>
      <c r="CC199" s="629"/>
      <c r="CD199" s="241"/>
      <c r="CE199" s="241"/>
      <c r="CF199" s="241"/>
      <c r="CG199" s="241"/>
      <c r="CH199" s="241"/>
      <c r="CI199" s="632"/>
      <c r="CJ199" s="301"/>
      <c r="CK199" s="301"/>
      <c r="CL199" s="301"/>
      <c r="CM199" s="301"/>
      <c r="CN199" s="301"/>
      <c r="CO199" s="301"/>
      <c r="CP199" s="367"/>
    </row>
    <row r="200" spans="1:94" ht="14.25" customHeight="1">
      <c r="B200" s="329" t="str">
        <f t="shared" si="611"/>
        <v>Singapore</v>
      </c>
      <c r="C200" s="455"/>
      <c r="D200" s="462"/>
      <c r="E200" s="463"/>
      <c r="F200" s="463"/>
      <c r="G200" s="457"/>
      <c r="H200" s="462"/>
      <c r="I200" s="463"/>
      <c r="J200" s="463"/>
      <c r="K200" s="457"/>
      <c r="L200" s="462"/>
      <c r="M200" s="463"/>
      <c r="N200" s="463"/>
      <c r="O200" s="457"/>
      <c r="P200" s="462"/>
      <c r="Q200" s="463"/>
      <c r="R200" s="463"/>
      <c r="S200" s="457"/>
      <c r="T200" s="462"/>
      <c r="U200" s="463"/>
      <c r="V200" s="463"/>
      <c r="W200" s="457"/>
      <c r="X200" s="462"/>
      <c r="Y200" s="463"/>
      <c r="Z200" s="463"/>
      <c r="AA200" s="457"/>
      <c r="AB200" s="462"/>
      <c r="AC200" s="463"/>
      <c r="AD200" s="463"/>
      <c r="AE200" s="457"/>
      <c r="AF200" s="462"/>
      <c r="AG200" s="460"/>
      <c r="AH200" s="460"/>
      <c r="AI200" s="458"/>
      <c r="AJ200" s="460"/>
      <c r="AK200" s="460"/>
      <c r="AL200" s="460"/>
      <c r="AM200" s="460"/>
      <c r="AN200" s="459"/>
      <c r="AO200" s="460"/>
      <c r="AP200" s="460"/>
      <c r="AQ200" s="458"/>
      <c r="AR200" s="459"/>
      <c r="AS200" s="460"/>
      <c r="AT200" s="460"/>
      <c r="AU200" s="458"/>
      <c r="AV200" s="459"/>
      <c r="AW200" s="460"/>
      <c r="AX200" s="460"/>
      <c r="AY200" s="458"/>
      <c r="AZ200" s="459"/>
      <c r="BA200" s="460"/>
      <c r="BB200" s="460"/>
      <c r="BC200" s="458"/>
      <c r="BD200" s="459"/>
      <c r="BE200" s="460"/>
      <c r="BF200" s="460"/>
      <c r="BG200" s="458"/>
      <c r="BH200" s="459"/>
      <c r="BI200" s="460"/>
      <c r="BJ200" s="460"/>
      <c r="BK200" s="458"/>
      <c r="BL200" s="447"/>
      <c r="BM200" s="301"/>
      <c r="BN200" s="241"/>
      <c r="BO200" s="1149">
        <f>BO189/'AVGO IS'!BO$8</f>
        <v>0.10064743967039436</v>
      </c>
      <c r="BP200" s="241">
        <f>BP189/'AVGO IS'!BP$8</f>
        <v>9.9730458221024262E-2</v>
      </c>
      <c r="BQ200" s="241">
        <f>BQ189/'AVGO IS'!BQ$8</f>
        <v>6.5456282847587199E-2</v>
      </c>
      <c r="BR200" s="241">
        <f>BR189/'AVGO IS'!BR$8</f>
        <v>4.5376712328767124E-2</v>
      </c>
      <c r="BS200" s="241">
        <f>BS189/'AVGO IS'!BS$8</f>
        <v>4.1032148900169207E-2</v>
      </c>
      <c r="BT200" s="301"/>
      <c r="BU200" s="301"/>
      <c r="BV200" s="301"/>
      <c r="BW200" s="301"/>
      <c r="BX200" s="301"/>
      <c r="BY200" s="452"/>
      <c r="BZ200" s="452"/>
      <c r="CA200" s="461"/>
      <c r="CB200" s="1439"/>
      <c r="CC200" s="629"/>
      <c r="CD200" s="241"/>
      <c r="CE200" s="241"/>
      <c r="CF200" s="241"/>
      <c r="CG200" s="241"/>
      <c r="CH200" s="241"/>
      <c r="CI200" s="632"/>
      <c r="CJ200" s="301"/>
      <c r="CK200" s="301"/>
      <c r="CL200" s="301"/>
      <c r="CM200" s="301"/>
      <c r="CN200" s="301"/>
      <c r="CO200" s="301"/>
      <c r="CP200" s="367"/>
    </row>
    <row r="201" spans="1:94" ht="14.25" customHeight="1">
      <c r="B201" s="329" t="str">
        <f t="shared" si="611"/>
        <v>Rest of the World</v>
      </c>
      <c r="C201" s="455"/>
      <c r="D201" s="462"/>
      <c r="E201" s="463"/>
      <c r="F201" s="463"/>
      <c r="G201" s="457"/>
      <c r="H201" s="462"/>
      <c r="I201" s="463"/>
      <c r="J201" s="463"/>
      <c r="K201" s="457"/>
      <c r="L201" s="462"/>
      <c r="M201" s="463"/>
      <c r="N201" s="463"/>
      <c r="O201" s="457"/>
      <c r="P201" s="462"/>
      <c r="Q201" s="463"/>
      <c r="R201" s="463"/>
      <c r="S201" s="457"/>
      <c r="T201" s="462"/>
      <c r="U201" s="463"/>
      <c r="V201" s="463"/>
      <c r="W201" s="457"/>
      <c r="X201" s="462"/>
      <c r="Y201" s="463"/>
      <c r="Z201" s="463"/>
      <c r="AA201" s="457"/>
      <c r="AB201" s="462"/>
      <c r="AC201" s="463"/>
      <c r="AD201" s="463"/>
      <c r="AE201" s="457"/>
      <c r="AF201" s="462"/>
      <c r="AG201" s="460"/>
      <c r="AH201" s="460"/>
      <c r="AI201" s="458"/>
      <c r="AJ201" s="460"/>
      <c r="AK201" s="460"/>
      <c r="AL201" s="460"/>
      <c r="AM201" s="460"/>
      <c r="AN201" s="459"/>
      <c r="AO201" s="460"/>
      <c r="AP201" s="460"/>
      <c r="AQ201" s="458"/>
      <c r="AR201" s="459"/>
      <c r="AS201" s="460"/>
      <c r="AT201" s="460"/>
      <c r="AU201" s="458"/>
      <c r="AV201" s="459"/>
      <c r="AW201" s="460"/>
      <c r="AX201" s="460"/>
      <c r="AY201" s="458"/>
      <c r="AZ201" s="459"/>
      <c r="BA201" s="460"/>
      <c r="BB201" s="460"/>
      <c r="BC201" s="458"/>
      <c r="BD201" s="459"/>
      <c r="BE201" s="460"/>
      <c r="BF201" s="460"/>
      <c r="BG201" s="458"/>
      <c r="BH201" s="459"/>
      <c r="BI201" s="460"/>
      <c r="BJ201" s="460"/>
      <c r="BK201" s="458"/>
      <c r="BL201" s="447"/>
      <c r="BM201" s="301"/>
      <c r="BN201" s="241"/>
      <c r="BO201" s="1149">
        <f>BO190/'AVGO IS'!BO$8</f>
        <v>0.29546792230723956</v>
      </c>
      <c r="BP201" s="241">
        <f>BP190/'AVGO IS'!BP$8</f>
        <v>0.28167115902964962</v>
      </c>
      <c r="BQ201" s="241">
        <f>BQ190/'AVGO IS'!BQ$8</f>
        <v>0.27376970855231725</v>
      </c>
      <c r="BR201" s="241">
        <f>BR190/'AVGO IS'!BR$8</f>
        <v>0.2872431506849315</v>
      </c>
      <c r="BS201" s="241">
        <f>BS190/'AVGO IS'!BS$8</f>
        <v>0.24576988155668358</v>
      </c>
      <c r="BT201" s="301"/>
      <c r="BU201" s="301"/>
      <c r="BV201" s="301"/>
      <c r="BW201" s="301"/>
      <c r="BX201" s="301"/>
      <c r="BY201" s="498"/>
      <c r="BZ201" s="498"/>
      <c r="CA201" s="496"/>
      <c r="CB201" s="447"/>
      <c r="CC201" s="629"/>
      <c r="CD201" s="241"/>
      <c r="CE201" s="241"/>
      <c r="CF201" s="241"/>
      <c r="CG201" s="241"/>
      <c r="CH201" s="241"/>
      <c r="CI201" s="632"/>
      <c r="CJ201" s="301"/>
      <c r="CK201" s="301"/>
      <c r="CL201" s="301"/>
      <c r="CM201" s="301"/>
      <c r="CN201" s="301"/>
      <c r="CO201" s="301"/>
      <c r="CP201" s="367"/>
    </row>
    <row r="202" spans="1:94" s="99" customFormat="1" ht="14.25" customHeight="1">
      <c r="B202" s="464" t="s">
        <v>214</v>
      </c>
      <c r="C202" s="429"/>
      <c r="D202" s="465"/>
      <c r="E202" s="466"/>
      <c r="F202" s="466"/>
      <c r="G202" s="467"/>
      <c r="H202" s="465"/>
      <c r="I202" s="466"/>
      <c r="J202" s="466"/>
      <c r="K202" s="467"/>
      <c r="L202" s="465"/>
      <c r="M202" s="466"/>
      <c r="N202" s="466"/>
      <c r="O202" s="467"/>
      <c r="P202" s="465"/>
      <c r="Q202" s="466"/>
      <c r="R202" s="466"/>
      <c r="S202" s="467"/>
      <c r="T202" s="465"/>
      <c r="U202" s="466"/>
      <c r="V202" s="466"/>
      <c r="W202" s="467"/>
      <c r="X202" s="465"/>
      <c r="Y202" s="466"/>
      <c r="Z202" s="466"/>
      <c r="AA202" s="467"/>
      <c r="AB202" s="465"/>
      <c r="AC202" s="466"/>
      <c r="AD202" s="466"/>
      <c r="AE202" s="467"/>
      <c r="AF202" s="465"/>
      <c r="AG202" s="470"/>
      <c r="AH202" s="470"/>
      <c r="AI202" s="468"/>
      <c r="AJ202" s="470"/>
      <c r="AK202" s="470"/>
      <c r="AL202" s="470"/>
      <c r="AM202" s="470"/>
      <c r="AN202" s="469"/>
      <c r="AO202" s="470"/>
      <c r="AP202" s="470"/>
      <c r="AQ202" s="468"/>
      <c r="AR202" s="469"/>
      <c r="AS202" s="470"/>
      <c r="AT202" s="470"/>
      <c r="AU202" s="468"/>
      <c r="AV202" s="469"/>
      <c r="AW202" s="470"/>
      <c r="AX202" s="470"/>
      <c r="AY202" s="468"/>
      <c r="AZ202" s="469"/>
      <c r="BA202" s="470"/>
      <c r="BB202" s="470"/>
      <c r="BC202" s="468"/>
      <c r="BD202" s="469"/>
      <c r="BE202" s="470"/>
      <c r="BF202" s="470"/>
      <c r="BG202" s="468"/>
      <c r="BH202" s="469"/>
      <c r="BI202" s="470"/>
      <c r="BJ202" s="470"/>
      <c r="BK202" s="468"/>
      <c r="BL202" s="436"/>
      <c r="BM202" s="471"/>
      <c r="BN202" s="472"/>
      <c r="BO202" s="472">
        <f>SUM(BO196:BO201)</f>
        <v>1</v>
      </c>
      <c r="BP202" s="472">
        <f>SUM(BP196:BP201)</f>
        <v>1</v>
      </c>
      <c r="BQ202" s="472">
        <f>SUM(BQ196:BQ201)</f>
        <v>1</v>
      </c>
      <c r="BR202" s="472">
        <f>SUM(BR196:BR201)</f>
        <v>1</v>
      </c>
      <c r="BS202" s="472">
        <f>SUM(BS196:BS201)</f>
        <v>1</v>
      </c>
      <c r="BT202" s="471"/>
      <c r="BU202" s="471"/>
      <c r="BV202" s="471"/>
      <c r="BW202" s="471"/>
      <c r="BX202" s="471"/>
      <c r="BY202" s="834"/>
      <c r="BZ202" s="834"/>
      <c r="CA202" s="429"/>
      <c r="CB202" s="436"/>
      <c r="CC202" s="638"/>
      <c r="CD202" s="472"/>
      <c r="CE202" s="472"/>
      <c r="CF202" s="472"/>
      <c r="CG202" s="472"/>
      <c r="CH202" s="472"/>
      <c r="CI202" s="775"/>
      <c r="CJ202" s="471"/>
      <c r="CK202" s="471"/>
      <c r="CL202" s="471"/>
      <c r="CM202" s="471"/>
      <c r="CN202" s="471"/>
      <c r="CO202" s="471"/>
      <c r="CP202" s="587"/>
    </row>
    <row r="203" spans="1:94" ht="14.25" customHeight="1">
      <c r="B203" s="410"/>
      <c r="AR203" s="1125"/>
      <c r="AS203" s="1136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13"/>
      <c r="BY203" s="757"/>
      <c r="BZ203" s="757"/>
      <c r="CB203" s="410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13"/>
      <c r="CN203" s="13"/>
      <c r="CO203" s="13"/>
      <c r="CP203" s="13"/>
    </row>
    <row r="204" spans="1:94" s="7" customFormat="1" ht="14.25" hidden="1" customHeight="1" outlineLevel="1">
      <c r="B204" s="290" t="s">
        <v>116</v>
      </c>
      <c r="C204" s="291"/>
      <c r="D204" s="494"/>
      <c r="E204" s="495"/>
      <c r="F204" s="495"/>
      <c r="G204" s="495"/>
      <c r="H204" s="494"/>
      <c r="I204" s="495"/>
      <c r="J204" s="495"/>
      <c r="K204" s="495"/>
      <c r="L204" s="494"/>
      <c r="M204" s="495"/>
      <c r="N204" s="495"/>
      <c r="O204" s="495"/>
      <c r="P204" s="494"/>
      <c r="Q204" s="495"/>
      <c r="R204" s="495"/>
      <c r="S204" s="495"/>
      <c r="T204" s="494"/>
      <c r="U204" s="495"/>
      <c r="V204" s="495"/>
      <c r="W204" s="495"/>
      <c r="X204" s="494"/>
      <c r="Y204" s="495"/>
      <c r="Z204" s="495"/>
      <c r="AA204" s="495"/>
      <c r="AB204" s="494"/>
      <c r="AC204" s="495"/>
      <c r="AD204" s="495"/>
      <c r="AE204" s="495"/>
      <c r="AF204" s="494"/>
      <c r="AG204" s="293"/>
      <c r="AH204" s="293"/>
      <c r="AI204" s="293"/>
      <c r="AJ204" s="293"/>
      <c r="AK204" s="293"/>
      <c r="AL204" s="293"/>
      <c r="AM204" s="293"/>
      <c r="AN204" s="293"/>
      <c r="AO204" s="293"/>
      <c r="AP204" s="293"/>
      <c r="AQ204" s="293"/>
      <c r="AR204" s="293"/>
      <c r="AS204" s="293"/>
      <c r="AT204" s="293"/>
      <c r="AU204" s="293"/>
      <c r="AV204" s="292"/>
      <c r="AW204" s="293"/>
      <c r="AX204" s="293"/>
      <c r="AY204" s="293"/>
      <c r="AZ204" s="292"/>
      <c r="BA204" s="293"/>
      <c r="BB204" s="293"/>
      <c r="BC204" s="293"/>
      <c r="BD204" s="292"/>
      <c r="BE204" s="293"/>
      <c r="BF204" s="293"/>
      <c r="BG204" s="293"/>
      <c r="BH204" s="292"/>
      <c r="BI204" s="293"/>
      <c r="BJ204" s="293"/>
      <c r="BK204" s="293"/>
      <c r="BL204" s="19"/>
      <c r="BM204" s="293"/>
      <c r="BN204" s="293"/>
      <c r="BO204" s="293" t="str">
        <f>IF(ROUND(BO202,1)=1,"OK",BO202)</f>
        <v>OK</v>
      </c>
      <c r="BP204" s="293" t="str">
        <f>IF(ROUND(BP202,1)=1,"OK",BP202)</f>
        <v>OK</v>
      </c>
      <c r="BQ204" s="293" t="str">
        <f>IF(ROUND(BQ202,1)=1,"OK",BQ202)</f>
        <v>OK</v>
      </c>
      <c r="BR204" s="293" t="str">
        <f>IF(ROUND(BR202,1)=1,"OK",BR202)</f>
        <v>OK</v>
      </c>
      <c r="BS204" s="490" t="str">
        <f>IF(ROUND(BS202,1)=1,"OK",BS202)</f>
        <v>OK</v>
      </c>
      <c r="BT204" s="293"/>
      <c r="BU204" s="293"/>
      <c r="BV204" s="293"/>
      <c r="BW204" s="293"/>
      <c r="BX204" s="293"/>
      <c r="BY204" s="987"/>
      <c r="BZ204" s="987"/>
      <c r="CA204" s="491"/>
      <c r="CB204" s="13"/>
      <c r="CC204" s="292"/>
      <c r="CD204" s="293"/>
      <c r="CE204" s="293"/>
      <c r="CF204" s="293"/>
      <c r="CG204" s="293"/>
      <c r="CH204" s="490"/>
      <c r="CI204" s="293"/>
      <c r="CJ204" s="293"/>
      <c r="CK204" s="293"/>
      <c r="CL204" s="293"/>
      <c r="CM204" s="293"/>
      <c r="CN204" s="293"/>
      <c r="CO204" s="293"/>
      <c r="CP204" s="588"/>
    </row>
    <row r="205" spans="1:94" s="7" customFormat="1" ht="14.25" customHeight="1" collapsed="1">
      <c r="B205" s="409"/>
      <c r="C205" s="282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  <c r="N205" s="294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  <c r="AF205" s="294"/>
      <c r="AG205" s="294"/>
      <c r="AH205" s="294"/>
      <c r="AI205" s="294"/>
      <c r="AJ205" s="294"/>
      <c r="AK205" s="294"/>
      <c r="AL205" s="294"/>
      <c r="AM205" s="294"/>
      <c r="AN205" s="294"/>
      <c r="AO205" s="294"/>
      <c r="AP205" s="294"/>
      <c r="AQ205" s="294"/>
      <c r="AR205" s="294"/>
      <c r="AS205" s="294"/>
      <c r="AT205" s="294"/>
      <c r="AU205" s="294"/>
      <c r="AV205" s="294"/>
      <c r="AW205" s="294"/>
      <c r="AX205" s="294"/>
      <c r="AY205" s="294"/>
      <c r="AZ205" s="294"/>
      <c r="BA205" s="294"/>
      <c r="BB205" s="294"/>
      <c r="BC205" s="294"/>
      <c r="BD205" s="294"/>
      <c r="BE205" s="294"/>
      <c r="BF205" s="294"/>
      <c r="BG205" s="294"/>
      <c r="BH205" s="294"/>
      <c r="BI205" s="294"/>
      <c r="BJ205" s="294"/>
      <c r="BK205" s="294"/>
      <c r="BL205" s="13"/>
      <c r="BM205" s="294"/>
      <c r="BN205" s="294"/>
      <c r="BO205" s="294"/>
      <c r="BP205" s="294"/>
      <c r="BQ205" s="294"/>
      <c r="BR205" s="294"/>
      <c r="BS205" s="294"/>
      <c r="BT205" s="294"/>
      <c r="BU205" s="294"/>
      <c r="BV205" s="294"/>
      <c r="BW205" s="294"/>
      <c r="BX205" s="294"/>
      <c r="BY205" s="13"/>
      <c r="BZ205" s="13"/>
      <c r="CB205" s="13"/>
      <c r="CC205" s="294"/>
      <c r="CD205" s="294"/>
      <c r="CE205" s="294"/>
      <c r="CF205" s="294"/>
      <c r="CG205" s="294"/>
      <c r="CH205" s="294"/>
      <c r="CI205" s="294"/>
      <c r="CJ205" s="294"/>
      <c r="CK205" s="294"/>
      <c r="CL205" s="294"/>
      <c r="CM205" s="294"/>
      <c r="CN205" s="294"/>
      <c r="CO205" s="294"/>
      <c r="CP205" s="294"/>
    </row>
    <row r="206" spans="1:94" s="7" customFormat="1" ht="14.25" customHeight="1">
      <c r="B206" s="146" t="s">
        <v>217</v>
      </c>
      <c r="C206" s="147"/>
      <c r="D206" s="333" t="str">
        <f>+D$7</f>
        <v>F1Q06</v>
      </c>
      <c r="E206" s="334" t="str">
        <f t="shared" ref="E206:CA206" si="612">+E$7</f>
        <v>F2Q06</v>
      </c>
      <c r="F206" s="334" t="str">
        <f t="shared" si="612"/>
        <v>F3Q06</v>
      </c>
      <c r="G206" s="334" t="str">
        <f t="shared" si="612"/>
        <v>F4Q06</v>
      </c>
      <c r="H206" s="333" t="str">
        <f t="shared" si="612"/>
        <v>F1Q07</v>
      </c>
      <c r="I206" s="334" t="str">
        <f t="shared" si="612"/>
        <v>F2Q07</v>
      </c>
      <c r="J206" s="334" t="str">
        <f t="shared" si="612"/>
        <v>F3Q07</v>
      </c>
      <c r="K206" s="334" t="str">
        <f t="shared" si="612"/>
        <v>F4Q07</v>
      </c>
      <c r="L206" s="333" t="str">
        <f t="shared" si="612"/>
        <v>F1Q08</v>
      </c>
      <c r="M206" s="334" t="str">
        <f t="shared" si="612"/>
        <v>F2Q08</v>
      </c>
      <c r="N206" s="334" t="str">
        <f t="shared" si="612"/>
        <v>F3Q08</v>
      </c>
      <c r="O206" s="335" t="str">
        <f t="shared" si="612"/>
        <v>F4Q08</v>
      </c>
      <c r="P206" s="334" t="str">
        <f t="shared" si="612"/>
        <v>F1Q09</v>
      </c>
      <c r="Q206" s="334" t="str">
        <f t="shared" si="612"/>
        <v>F2Q09</v>
      </c>
      <c r="R206" s="334" t="str">
        <f t="shared" si="612"/>
        <v>F3Q09</v>
      </c>
      <c r="S206" s="334" t="str">
        <f t="shared" si="612"/>
        <v>F4Q09</v>
      </c>
      <c r="T206" s="333" t="str">
        <f t="shared" si="612"/>
        <v>F1Q10</v>
      </c>
      <c r="U206" s="334" t="str">
        <f t="shared" si="612"/>
        <v>F2Q10</v>
      </c>
      <c r="V206" s="334" t="str">
        <f t="shared" si="612"/>
        <v>F3Q10</v>
      </c>
      <c r="W206" s="335" t="str">
        <f t="shared" si="612"/>
        <v>F4Q10</v>
      </c>
      <c r="X206" s="334" t="str">
        <f t="shared" si="612"/>
        <v>F1Q11</v>
      </c>
      <c r="Y206" s="334" t="str">
        <f t="shared" si="612"/>
        <v>F2Q11</v>
      </c>
      <c r="Z206" s="334" t="str">
        <f t="shared" si="612"/>
        <v>F3Q11</v>
      </c>
      <c r="AA206" s="334" t="str">
        <f t="shared" si="612"/>
        <v>F4Q11</v>
      </c>
      <c r="AB206" s="333" t="str">
        <f t="shared" si="612"/>
        <v>F1Q12</v>
      </c>
      <c r="AC206" s="334" t="str">
        <f t="shared" si="612"/>
        <v>F2Q12</v>
      </c>
      <c r="AD206" s="334" t="str">
        <f t="shared" si="612"/>
        <v>F3Q12</v>
      </c>
      <c r="AE206" s="335" t="str">
        <f t="shared" si="612"/>
        <v>F4Q12</v>
      </c>
      <c r="AF206" s="334" t="str">
        <f t="shared" si="612"/>
        <v>F1Q13</v>
      </c>
      <c r="AG206" s="334" t="str">
        <f t="shared" si="612"/>
        <v>F2Q13</v>
      </c>
      <c r="AH206" s="334" t="str">
        <f t="shared" si="612"/>
        <v>F3Q13</v>
      </c>
      <c r="AI206" s="334" t="str">
        <f t="shared" si="612"/>
        <v>F4Q13</v>
      </c>
      <c r="AJ206" s="334" t="str">
        <f t="shared" si="612"/>
        <v>F1Q14</v>
      </c>
      <c r="AK206" s="334" t="str">
        <f t="shared" si="612"/>
        <v>F2Q14A</v>
      </c>
      <c r="AL206" s="334" t="str">
        <f t="shared" si="612"/>
        <v>F3Q14A</v>
      </c>
      <c r="AM206" s="334" t="str">
        <f t="shared" si="612"/>
        <v>F4Q14A</v>
      </c>
      <c r="AN206" s="333" t="str">
        <f t="shared" si="612"/>
        <v>F1Q15A</v>
      </c>
      <c r="AO206" s="334" t="str">
        <f t="shared" si="612"/>
        <v>F2Q15A</v>
      </c>
      <c r="AP206" s="334" t="str">
        <f t="shared" si="612"/>
        <v>F3Q15A</v>
      </c>
      <c r="AQ206" s="335" t="str">
        <f t="shared" si="612"/>
        <v>F4Q15A</v>
      </c>
      <c r="AR206" s="333" t="str">
        <f t="shared" si="612"/>
        <v>F1Q16A</v>
      </c>
      <c r="AS206" s="334" t="str">
        <f t="shared" si="612"/>
        <v>F2Q16A</v>
      </c>
      <c r="AT206" s="334" t="str">
        <f t="shared" si="612"/>
        <v>F3Q16A</v>
      </c>
      <c r="AU206" s="335" t="str">
        <f t="shared" si="612"/>
        <v>F4Q16A</v>
      </c>
      <c r="AV206" s="334" t="str">
        <f t="shared" si="612"/>
        <v>F1Q17A</v>
      </c>
      <c r="AW206" s="1247" t="str">
        <f t="shared" si="612"/>
        <v>F2Q17A</v>
      </c>
      <c r="AX206" s="334" t="str">
        <f t="shared" si="612"/>
        <v>F3Q17A</v>
      </c>
      <c r="AY206" s="335" t="str">
        <f t="shared" si="612"/>
        <v>F4Q17A</v>
      </c>
      <c r="AZ206" s="334" t="str">
        <f t="shared" si="612"/>
        <v>F1Q18A</v>
      </c>
      <c r="BA206" s="334" t="str">
        <f t="shared" si="612"/>
        <v>F2Q18E</v>
      </c>
      <c r="BB206" s="334" t="str">
        <f t="shared" si="612"/>
        <v>F3Q18E</v>
      </c>
      <c r="BC206" s="335" t="str">
        <f t="shared" si="612"/>
        <v>F4Q18E</v>
      </c>
      <c r="BD206" s="1247" t="str">
        <f t="shared" si="612"/>
        <v>F1Q19E</v>
      </c>
      <c r="BE206" s="1247" t="str">
        <f t="shared" si="612"/>
        <v>F2Q19E</v>
      </c>
      <c r="BF206" s="1247" t="str">
        <f t="shared" si="612"/>
        <v>F3Q19E</v>
      </c>
      <c r="BG206" s="1248" t="str">
        <f t="shared" si="612"/>
        <v>F4Q19E</v>
      </c>
      <c r="BH206" s="1247" t="str">
        <f t="shared" si="612"/>
        <v>F1Q20E</v>
      </c>
      <c r="BI206" s="1247" t="str">
        <f t="shared" si="612"/>
        <v>F2Q20E</v>
      </c>
      <c r="BJ206" s="1247" t="str">
        <f t="shared" si="612"/>
        <v>F3Q20E</v>
      </c>
      <c r="BK206" s="1248" t="str">
        <f t="shared" si="612"/>
        <v>F4Q20E</v>
      </c>
      <c r="BL206" s="232"/>
      <c r="BM206" s="334" t="str">
        <f t="shared" si="612"/>
        <v>FY2006</v>
      </c>
      <c r="BN206" s="334" t="str">
        <f t="shared" si="612"/>
        <v>FY2007</v>
      </c>
      <c r="BO206" s="334" t="str">
        <f t="shared" si="612"/>
        <v>FY2008</v>
      </c>
      <c r="BP206" s="334" t="str">
        <f t="shared" si="612"/>
        <v>FY2009</v>
      </c>
      <c r="BQ206" s="334" t="str">
        <f t="shared" si="612"/>
        <v>FY2010</v>
      </c>
      <c r="BR206" s="334" t="str">
        <f t="shared" si="612"/>
        <v>FY2011</v>
      </c>
      <c r="BS206" s="334" t="str">
        <f t="shared" si="612"/>
        <v>FY2012</v>
      </c>
      <c r="BT206" s="334" t="str">
        <f t="shared" si="612"/>
        <v>FY2013</v>
      </c>
      <c r="BU206" s="334" t="str">
        <f t="shared" si="612"/>
        <v>FY2014A</v>
      </c>
      <c r="BV206" s="334" t="str">
        <f t="shared" si="612"/>
        <v>FY2015A</v>
      </c>
      <c r="BW206" s="334" t="str">
        <f t="shared" si="612"/>
        <v>FY2016A</v>
      </c>
      <c r="BX206" s="334" t="str">
        <f t="shared" si="612"/>
        <v>FY2017A</v>
      </c>
      <c r="BY206" s="1247" t="str">
        <f t="shared" si="612"/>
        <v>FY2018E</v>
      </c>
      <c r="BZ206" s="1247" t="str">
        <f t="shared" si="612"/>
        <v>FY2019E</v>
      </c>
      <c r="CA206" s="1248" t="str">
        <f t="shared" si="612"/>
        <v>FY2020E</v>
      </c>
      <c r="CB206" s="447"/>
      <c r="CC206" s="333" t="str">
        <f t="shared" ref="CC206:CP206" si="613">+CC$7</f>
        <v>CY2006</v>
      </c>
      <c r="CD206" s="334" t="str">
        <f t="shared" si="613"/>
        <v>CY2007</v>
      </c>
      <c r="CE206" s="334" t="str">
        <f t="shared" si="613"/>
        <v>CY2008</v>
      </c>
      <c r="CF206" s="334" t="str">
        <f t="shared" si="613"/>
        <v>CY2009</v>
      </c>
      <c r="CG206" s="334" t="str">
        <f t="shared" si="613"/>
        <v>CY2010</v>
      </c>
      <c r="CH206" s="334" t="str">
        <f t="shared" si="613"/>
        <v>CY2011</v>
      </c>
      <c r="CI206" s="334" t="str">
        <f t="shared" si="613"/>
        <v>CY2012</v>
      </c>
      <c r="CJ206" s="334" t="str">
        <f t="shared" si="613"/>
        <v>CY2013</v>
      </c>
      <c r="CK206" s="334" t="str">
        <f t="shared" si="613"/>
        <v>CY2014A</v>
      </c>
      <c r="CL206" s="334" t="str">
        <f t="shared" si="613"/>
        <v>CY2015A</v>
      </c>
      <c r="CM206" s="334" t="str">
        <f t="shared" si="613"/>
        <v>CY2016A</v>
      </c>
      <c r="CN206" s="1247" t="str">
        <f t="shared" si="613"/>
        <v>CY2017A</v>
      </c>
      <c r="CO206" s="1247" t="str">
        <f t="shared" si="613"/>
        <v>CY2018E</v>
      </c>
      <c r="CP206" s="1248" t="str">
        <f t="shared" si="613"/>
        <v>CY2019E</v>
      </c>
    </row>
    <row r="207" spans="1:94" s="7" customFormat="1" ht="14.25" customHeight="1">
      <c r="B207" s="43"/>
      <c r="C207" s="282"/>
      <c r="D207" s="294"/>
      <c r="E207" s="294"/>
      <c r="F207" s="294"/>
      <c r="G207" s="294"/>
      <c r="H207" s="294"/>
      <c r="I207" s="294"/>
      <c r="J207" s="294"/>
      <c r="K207" s="294"/>
      <c r="L207" s="675"/>
      <c r="M207" s="294"/>
      <c r="N207" s="294"/>
      <c r="O207" s="669"/>
      <c r="P207" s="294"/>
      <c r="Q207" s="294"/>
      <c r="R207" s="294"/>
      <c r="S207" s="294"/>
      <c r="T207" s="675"/>
      <c r="U207" s="294"/>
      <c r="V207" s="294"/>
      <c r="W207" s="669"/>
      <c r="X207" s="294"/>
      <c r="Y207" s="294"/>
      <c r="Z207" s="294"/>
      <c r="AA207" s="294"/>
      <c r="AB207" s="675"/>
      <c r="AC207" s="294"/>
      <c r="AD207" s="294"/>
      <c r="AE207" s="669"/>
      <c r="AF207" s="294"/>
      <c r="AG207" s="294"/>
      <c r="AH207" s="294"/>
      <c r="AI207" s="294"/>
      <c r="AJ207" s="294"/>
      <c r="AK207" s="294"/>
      <c r="AL207" s="294"/>
      <c r="AM207" s="294"/>
      <c r="AN207" s="675"/>
      <c r="AO207" s="294"/>
      <c r="AP207" s="294"/>
      <c r="AQ207" s="669"/>
      <c r="AR207" s="675"/>
      <c r="AS207" s="294"/>
      <c r="AT207" s="294"/>
      <c r="AU207" s="669"/>
      <c r="AV207" s="294"/>
      <c r="AW207" s="294"/>
      <c r="AX207" s="294"/>
      <c r="AY207" s="669"/>
      <c r="AZ207" s="294"/>
      <c r="BA207" s="294"/>
      <c r="BB207" s="294"/>
      <c r="BC207" s="669"/>
      <c r="BD207" s="294"/>
      <c r="BE207" s="294"/>
      <c r="BF207" s="294"/>
      <c r="BG207" s="669"/>
      <c r="BH207" s="294"/>
      <c r="BI207" s="294"/>
      <c r="BJ207" s="294"/>
      <c r="BK207" s="669"/>
      <c r="BL207" s="13"/>
      <c r="BM207" s="294"/>
      <c r="BN207" s="294"/>
      <c r="BO207" s="294"/>
      <c r="BP207" s="294"/>
      <c r="BQ207" s="294"/>
      <c r="BR207" s="294"/>
      <c r="BS207" s="294"/>
      <c r="BT207" s="294"/>
      <c r="BU207" s="294"/>
      <c r="BV207" s="294"/>
      <c r="BW207" s="294"/>
      <c r="BX207" s="294"/>
      <c r="BY207" s="13"/>
      <c r="BZ207" s="13"/>
      <c r="CB207" s="13"/>
      <c r="CC207" s="294"/>
      <c r="CD207" s="294"/>
      <c r="CE207" s="294"/>
      <c r="CF207" s="294"/>
      <c r="CG207" s="294"/>
      <c r="CH207" s="294"/>
      <c r="CI207" s="294"/>
      <c r="CJ207" s="294"/>
      <c r="CK207" s="294"/>
      <c r="CL207" s="294"/>
      <c r="CM207" s="294"/>
      <c r="CN207" s="294"/>
      <c r="CO207" s="294"/>
      <c r="CP207" s="294"/>
    </row>
    <row r="208" spans="1:94" s="280" customFormat="1" ht="14.25" customHeight="1">
      <c r="B208" s="670" t="s">
        <v>344</v>
      </c>
      <c r="C208" s="664"/>
      <c r="D208" s="665"/>
      <c r="E208" s="665"/>
      <c r="F208" s="665"/>
      <c r="G208" s="665"/>
      <c r="H208" s="665"/>
      <c r="I208" s="665"/>
      <c r="J208" s="665"/>
      <c r="K208" s="665"/>
      <c r="L208" s="676"/>
      <c r="M208" s="665"/>
      <c r="N208" s="665"/>
      <c r="O208" s="671"/>
      <c r="P208" s="665"/>
      <c r="Q208" s="665"/>
      <c r="R208" s="665"/>
      <c r="S208" s="665"/>
      <c r="T208" s="676"/>
      <c r="U208" s="665"/>
      <c r="V208" s="665"/>
      <c r="W208" s="671"/>
      <c r="X208" s="665"/>
      <c r="Y208" s="665"/>
      <c r="Z208" s="665"/>
      <c r="AA208" s="665"/>
      <c r="AB208" s="676"/>
      <c r="AC208" s="665"/>
      <c r="AD208" s="665"/>
      <c r="AE208" s="671"/>
      <c r="AF208" s="665"/>
      <c r="AG208" s="665"/>
      <c r="AH208" s="665"/>
      <c r="AI208" s="665"/>
      <c r="AJ208" s="665"/>
      <c r="AK208" s="665"/>
      <c r="AL208" s="665"/>
      <c r="AM208" s="665"/>
      <c r="AN208" s="676"/>
      <c r="AO208" s="665"/>
      <c r="AP208" s="665"/>
      <c r="AQ208" s="671"/>
      <c r="AR208" s="676"/>
      <c r="AS208" s="665"/>
      <c r="AT208" s="665"/>
      <c r="AU208" s="671"/>
      <c r="AV208" s="665"/>
      <c r="AW208" s="665"/>
      <c r="AX208" s="665"/>
      <c r="AY208" s="671"/>
      <c r="AZ208" s="665"/>
      <c r="BA208" s="665"/>
      <c r="BB208" s="665"/>
      <c r="BC208" s="671"/>
      <c r="BD208" s="665"/>
      <c r="BE208" s="665"/>
      <c r="BF208" s="665"/>
      <c r="BG208" s="671"/>
      <c r="BH208" s="665"/>
      <c r="BI208" s="665"/>
      <c r="BJ208" s="665"/>
      <c r="BK208" s="671"/>
      <c r="BL208" s="664"/>
      <c r="BM208" s="665"/>
      <c r="BN208" s="665"/>
      <c r="BO208" s="665"/>
      <c r="BP208" s="665"/>
      <c r="BQ208" s="665"/>
      <c r="BR208" s="665"/>
      <c r="BS208" s="665"/>
      <c r="BT208" s="665"/>
      <c r="BU208" s="665"/>
      <c r="BV208" s="665"/>
      <c r="BW208" s="665"/>
      <c r="BX208" s="665"/>
      <c r="CB208" s="664"/>
      <c r="CC208" s="665"/>
      <c r="CD208" s="665"/>
      <c r="CE208" s="665"/>
      <c r="CF208" s="665"/>
      <c r="CG208" s="665"/>
      <c r="CH208" s="665"/>
      <c r="CI208" s="665"/>
      <c r="CJ208" s="665"/>
      <c r="CK208" s="665"/>
      <c r="CL208" s="665"/>
      <c r="CM208" s="665"/>
      <c r="CN208" s="665"/>
      <c r="CO208" s="665"/>
      <c r="CP208" s="665"/>
    </row>
    <row r="209" spans="2:94" s="280" customFormat="1" ht="14.25" customHeight="1">
      <c r="B209" s="481" t="s">
        <v>234</v>
      </c>
      <c r="C209" s="664"/>
      <c r="D209" s="665"/>
      <c r="E209" s="665"/>
      <c r="F209" s="665"/>
      <c r="G209" s="665"/>
      <c r="H209" s="665"/>
      <c r="I209" s="665"/>
      <c r="J209" s="665"/>
      <c r="K209" s="665"/>
      <c r="L209" s="676"/>
      <c r="M209" s="665"/>
      <c r="N209" s="665"/>
      <c r="O209" s="671"/>
      <c r="P209" s="665"/>
      <c r="Q209" s="665"/>
      <c r="R209" s="665"/>
      <c r="S209" s="665"/>
      <c r="T209" s="676"/>
      <c r="U209" s="665"/>
      <c r="V209" s="665"/>
      <c r="W209" s="671"/>
      <c r="X209" s="665"/>
      <c r="Y209" s="665"/>
      <c r="Z209" s="665"/>
      <c r="AA209" s="665"/>
      <c r="AB209" s="676"/>
      <c r="AC209" s="665"/>
      <c r="AD209" s="665"/>
      <c r="AE209" s="671"/>
      <c r="AF209" s="665"/>
      <c r="AG209" s="665"/>
      <c r="AH209" s="665"/>
      <c r="AI209" s="665"/>
      <c r="AJ209" s="665"/>
      <c r="AK209" s="665"/>
      <c r="AL209" s="665"/>
      <c r="AM209" s="665"/>
      <c r="AN209" s="676"/>
      <c r="AO209" s="665"/>
      <c r="AP209" s="665"/>
      <c r="AQ209" s="671"/>
      <c r="AR209" s="676"/>
      <c r="AS209" s="665"/>
      <c r="AT209" s="665"/>
      <c r="AU209" s="671"/>
      <c r="AV209" s="665"/>
      <c r="AW209" s="665"/>
      <c r="AX209" s="665"/>
      <c r="AY209" s="671"/>
      <c r="AZ209" s="665"/>
      <c r="BA209" s="665"/>
      <c r="BB209" s="665"/>
      <c r="BC209" s="671"/>
      <c r="BD209" s="665"/>
      <c r="BE209" s="665"/>
      <c r="BF209" s="665"/>
      <c r="BG209" s="671"/>
      <c r="BH209" s="665"/>
      <c r="BI209" s="665"/>
      <c r="BJ209" s="665"/>
      <c r="BK209" s="671"/>
      <c r="BL209" s="664"/>
      <c r="BM209" s="665"/>
      <c r="BN209" s="665"/>
      <c r="BO209" s="665"/>
      <c r="BP209" s="665"/>
      <c r="BQ209" s="665"/>
      <c r="BR209" s="665"/>
      <c r="BS209" s="665"/>
      <c r="BT209" s="665"/>
      <c r="BU209" s="665"/>
      <c r="BV209" s="665"/>
      <c r="BW209" s="665"/>
      <c r="BX209" s="665"/>
      <c r="CB209" s="664"/>
      <c r="CC209" s="665"/>
      <c r="CD209" s="665"/>
      <c r="CE209" s="665"/>
      <c r="CF209" s="665"/>
      <c r="CG209" s="665"/>
      <c r="CH209" s="665"/>
      <c r="CI209" s="665"/>
      <c r="CJ209" s="665"/>
      <c r="CK209" s="665"/>
      <c r="CL209" s="665"/>
      <c r="CM209" s="665"/>
      <c r="CN209" s="665"/>
      <c r="CO209" s="665"/>
      <c r="CP209" s="665"/>
    </row>
    <row r="210" spans="2:94" s="280" customFormat="1" ht="14.25" customHeight="1">
      <c r="B210" s="481" t="s">
        <v>340</v>
      </c>
      <c r="C210" s="664"/>
      <c r="D210" s="665"/>
      <c r="E210" s="665"/>
      <c r="F210" s="665"/>
      <c r="G210" s="665"/>
      <c r="H210" s="665"/>
      <c r="I210" s="665"/>
      <c r="J210" s="665"/>
      <c r="K210" s="665"/>
      <c r="L210" s="676"/>
      <c r="M210" s="665"/>
      <c r="N210" s="665"/>
      <c r="O210" s="671"/>
      <c r="P210" s="665"/>
      <c r="Q210" s="665"/>
      <c r="R210" s="665"/>
      <c r="S210" s="665"/>
      <c r="T210" s="676"/>
      <c r="U210" s="665"/>
      <c r="V210" s="665"/>
      <c r="W210" s="671"/>
      <c r="X210" s="665"/>
      <c r="Y210" s="665"/>
      <c r="Z210" s="665"/>
      <c r="AA210" s="665"/>
      <c r="AB210" s="676"/>
      <c r="AC210" s="665"/>
      <c r="AD210" s="665"/>
      <c r="AE210" s="671"/>
      <c r="AF210" s="665"/>
      <c r="AG210" s="665"/>
      <c r="AH210" s="665"/>
      <c r="AI210" s="665"/>
      <c r="AJ210" s="665"/>
      <c r="AK210" s="665"/>
      <c r="AL210" s="665"/>
      <c r="AM210" s="665"/>
      <c r="AN210" s="676"/>
      <c r="AO210" s="665"/>
      <c r="AP210" s="665"/>
      <c r="AQ210" s="671"/>
      <c r="AR210" s="676"/>
      <c r="AS210" s="665"/>
      <c r="AT210" s="665"/>
      <c r="AU210" s="671"/>
      <c r="AV210" s="665"/>
      <c r="AW210" s="665"/>
      <c r="AX210" s="665"/>
      <c r="AY210" s="671"/>
      <c r="AZ210" s="665"/>
      <c r="BA210" s="665"/>
      <c r="BB210" s="665"/>
      <c r="BC210" s="671"/>
      <c r="BD210" s="665"/>
      <c r="BE210" s="665"/>
      <c r="BF210" s="665"/>
      <c r="BG210" s="671"/>
      <c r="BH210" s="665"/>
      <c r="BI210" s="665"/>
      <c r="BJ210" s="665"/>
      <c r="BK210" s="671"/>
      <c r="BL210" s="664"/>
      <c r="BM210" s="665"/>
      <c r="BN210" s="665"/>
      <c r="BO210" s="665"/>
      <c r="BP210" s="665"/>
      <c r="BQ210" s="665"/>
      <c r="BR210" s="665"/>
      <c r="BS210" s="665"/>
      <c r="BT210" s="665"/>
      <c r="BU210" s="665"/>
      <c r="BV210" s="665"/>
      <c r="BW210" s="665"/>
      <c r="BX210" s="665"/>
      <c r="CB210" s="664"/>
      <c r="CC210" s="665"/>
      <c r="CD210" s="665"/>
      <c r="CE210" s="665"/>
      <c r="CF210" s="665"/>
      <c r="CG210" s="665"/>
      <c r="CH210" s="665"/>
      <c r="CI210" s="665"/>
      <c r="CJ210" s="665"/>
      <c r="CK210" s="665"/>
      <c r="CL210" s="665"/>
      <c r="CM210" s="665"/>
      <c r="CN210" s="665"/>
      <c r="CO210" s="665"/>
      <c r="CP210" s="665"/>
    </row>
    <row r="211" spans="2:94" s="666" customFormat="1" ht="14.25" customHeight="1">
      <c r="B211" s="670" t="s">
        <v>341</v>
      </c>
      <c r="C211" s="667"/>
      <c r="D211" s="668"/>
      <c r="E211" s="668"/>
      <c r="F211" s="668"/>
      <c r="G211" s="668"/>
      <c r="H211" s="668"/>
      <c r="I211" s="668"/>
      <c r="J211" s="668"/>
      <c r="K211" s="668"/>
      <c r="L211" s="677"/>
      <c r="M211" s="668"/>
      <c r="N211" s="668"/>
      <c r="O211" s="672"/>
      <c r="P211" s="668"/>
      <c r="Q211" s="668"/>
      <c r="R211" s="668"/>
      <c r="S211" s="668"/>
      <c r="T211" s="677"/>
      <c r="U211" s="668"/>
      <c r="V211" s="668"/>
      <c r="W211" s="672"/>
      <c r="X211" s="668"/>
      <c r="Y211" s="668"/>
      <c r="Z211" s="668"/>
      <c r="AA211" s="668"/>
      <c r="AB211" s="677"/>
      <c r="AC211" s="668"/>
      <c r="AD211" s="668"/>
      <c r="AE211" s="672"/>
      <c r="AF211" s="668"/>
      <c r="AG211" s="668"/>
      <c r="AH211" s="668"/>
      <c r="AI211" s="668"/>
      <c r="AJ211" s="668"/>
      <c r="AK211" s="668"/>
      <c r="AL211" s="668"/>
      <c r="AM211" s="668"/>
      <c r="AN211" s="677"/>
      <c r="AO211" s="668"/>
      <c r="AP211" s="668"/>
      <c r="AQ211" s="672"/>
      <c r="AR211" s="677"/>
      <c r="AS211" s="668"/>
      <c r="AT211" s="668"/>
      <c r="AU211" s="672"/>
      <c r="AV211" s="668"/>
      <c r="AW211" s="668"/>
      <c r="AX211" s="668"/>
      <c r="AY211" s="672"/>
      <c r="AZ211" s="668"/>
      <c r="BA211" s="668"/>
      <c r="BB211" s="668"/>
      <c r="BC211" s="672"/>
      <c r="BD211" s="668"/>
      <c r="BE211" s="668"/>
      <c r="BF211" s="668"/>
      <c r="BG211" s="672"/>
      <c r="BH211" s="668"/>
      <c r="BI211" s="668"/>
      <c r="BJ211" s="668"/>
      <c r="BK211" s="672"/>
      <c r="BL211" s="667"/>
      <c r="BM211" s="668"/>
      <c r="BN211" s="668"/>
      <c r="BO211" s="668"/>
      <c r="BP211" s="668"/>
      <c r="BQ211" s="668"/>
      <c r="BR211" s="668"/>
      <c r="BS211" s="668"/>
      <c r="BT211" s="668"/>
      <c r="BU211" s="668"/>
      <c r="BV211" s="668"/>
      <c r="BW211" s="668"/>
      <c r="BX211" s="668"/>
      <c r="CB211" s="667"/>
      <c r="CC211" s="668"/>
      <c r="CD211" s="668"/>
      <c r="CE211" s="668"/>
      <c r="CF211" s="668"/>
      <c r="CG211" s="668"/>
      <c r="CH211" s="668"/>
      <c r="CI211" s="668"/>
      <c r="CJ211" s="668"/>
      <c r="CK211" s="668"/>
      <c r="CL211" s="668"/>
      <c r="CM211" s="668"/>
      <c r="CN211" s="668"/>
      <c r="CO211" s="668"/>
      <c r="CP211" s="668"/>
    </row>
    <row r="212" spans="2:94" s="280" customFormat="1" ht="14.25" customHeight="1">
      <c r="B212" s="481" t="s">
        <v>345</v>
      </c>
      <c r="C212" s="664"/>
      <c r="D212" s="665"/>
      <c r="E212" s="665"/>
      <c r="F212" s="665"/>
      <c r="G212" s="665"/>
      <c r="H212" s="665"/>
      <c r="I212" s="665"/>
      <c r="J212" s="665"/>
      <c r="K212" s="665"/>
      <c r="L212" s="676"/>
      <c r="M212" s="665"/>
      <c r="N212" s="665"/>
      <c r="O212" s="671"/>
      <c r="P212" s="665"/>
      <c r="Q212" s="665"/>
      <c r="R212" s="665"/>
      <c r="S212" s="665"/>
      <c r="T212" s="676"/>
      <c r="U212" s="665"/>
      <c r="V212" s="665"/>
      <c r="W212" s="671"/>
      <c r="X212" s="665"/>
      <c r="Y212" s="665"/>
      <c r="Z212" s="665"/>
      <c r="AA212" s="665"/>
      <c r="AB212" s="676"/>
      <c r="AC212" s="665"/>
      <c r="AD212" s="665"/>
      <c r="AE212" s="671"/>
      <c r="AF212" s="665"/>
      <c r="AG212" s="665"/>
      <c r="AH212" s="665"/>
      <c r="AI212" s="665"/>
      <c r="AJ212" s="665"/>
      <c r="AK212" s="665"/>
      <c r="AL212" s="665"/>
      <c r="AM212" s="665"/>
      <c r="AN212" s="676"/>
      <c r="AO212" s="665"/>
      <c r="AP212" s="665"/>
      <c r="AQ212" s="671"/>
      <c r="AR212" s="676"/>
      <c r="AS212" s="665"/>
      <c r="AT212" s="665"/>
      <c r="AU212" s="671"/>
      <c r="AV212" s="665"/>
      <c r="AW212" s="665"/>
      <c r="AX212" s="665"/>
      <c r="AY212" s="671"/>
      <c r="AZ212" s="665"/>
      <c r="BA212" s="665"/>
      <c r="BB212" s="665"/>
      <c r="BC212" s="671"/>
      <c r="BD212" s="665"/>
      <c r="BE212" s="665"/>
      <c r="BF212" s="665"/>
      <c r="BG212" s="671"/>
      <c r="BH212" s="665"/>
      <c r="BI212" s="665"/>
      <c r="BJ212" s="665"/>
      <c r="BK212" s="671"/>
      <c r="BL212" s="664"/>
      <c r="BM212" s="665"/>
      <c r="BN212" s="665"/>
      <c r="BO212" s="665"/>
      <c r="BP212" s="665"/>
      <c r="BQ212" s="665"/>
      <c r="BR212" s="665"/>
      <c r="BS212" s="665"/>
      <c r="BT212" s="665"/>
      <c r="BU212" s="665"/>
      <c r="BV212" s="665"/>
      <c r="BW212" s="665"/>
      <c r="BX212" s="665"/>
      <c r="CB212" s="664"/>
      <c r="CC212" s="665"/>
      <c r="CD212" s="665"/>
      <c r="CE212" s="665"/>
      <c r="CF212" s="665"/>
      <c r="CG212" s="665"/>
      <c r="CH212" s="665"/>
      <c r="CI212" s="665"/>
      <c r="CJ212" s="665"/>
      <c r="CK212" s="665"/>
      <c r="CL212" s="665"/>
      <c r="CM212" s="665"/>
      <c r="CN212" s="665"/>
      <c r="CO212" s="665"/>
      <c r="CP212" s="665"/>
    </row>
    <row r="213" spans="2:94" s="7" customFormat="1" ht="14.25" customHeight="1">
      <c r="B213" s="43"/>
      <c r="C213" s="282"/>
      <c r="D213" s="294"/>
      <c r="E213" s="294"/>
      <c r="F213" s="294"/>
      <c r="G213" s="294"/>
      <c r="H213" s="294"/>
      <c r="I213" s="294"/>
      <c r="J213" s="294"/>
      <c r="K213" s="294"/>
      <c r="L213" s="675"/>
      <c r="M213" s="294"/>
      <c r="N213" s="294"/>
      <c r="O213" s="669"/>
      <c r="P213" s="294"/>
      <c r="Q213" s="294"/>
      <c r="R213" s="294"/>
      <c r="S213" s="294"/>
      <c r="T213" s="675"/>
      <c r="U213" s="294"/>
      <c r="V213" s="294"/>
      <c r="W213" s="669"/>
      <c r="X213" s="294"/>
      <c r="Y213" s="294"/>
      <c r="Z213" s="294"/>
      <c r="AA213" s="294"/>
      <c r="AB213" s="675"/>
      <c r="AC213" s="294"/>
      <c r="AD213" s="294"/>
      <c r="AE213" s="669"/>
      <c r="AF213" s="294"/>
      <c r="AG213" s="294"/>
      <c r="AH213" s="294"/>
      <c r="AI213" s="294"/>
      <c r="AJ213" s="294"/>
      <c r="AK213" s="294"/>
      <c r="AL213" s="294"/>
      <c r="AM213" s="294"/>
      <c r="AN213" s="675"/>
      <c r="AO213" s="294"/>
      <c r="AP213" s="294"/>
      <c r="AQ213" s="669"/>
      <c r="AR213" s="675"/>
      <c r="AS213" s="294"/>
      <c r="AT213" s="294"/>
      <c r="AU213" s="669"/>
      <c r="AV213" s="294"/>
      <c r="AW213" s="294"/>
      <c r="AX213" s="294"/>
      <c r="AY213" s="669"/>
      <c r="AZ213" s="294"/>
      <c r="BA213" s="294"/>
      <c r="BB213" s="294"/>
      <c r="BC213" s="669"/>
      <c r="BD213" s="294"/>
      <c r="BE213" s="294"/>
      <c r="BF213" s="294"/>
      <c r="BG213" s="669"/>
      <c r="BH213" s="294"/>
      <c r="BI213" s="294"/>
      <c r="BJ213" s="294"/>
      <c r="BK213" s="669"/>
      <c r="BL213" s="13"/>
      <c r="BM213" s="294"/>
      <c r="BN213" s="294"/>
      <c r="BO213" s="294"/>
      <c r="BP213" s="294"/>
      <c r="BQ213" s="294"/>
      <c r="BR213" s="294"/>
      <c r="BS213" s="294"/>
      <c r="BT213" s="294"/>
      <c r="BU213" s="294"/>
      <c r="BV213" s="294"/>
      <c r="BW213" s="294"/>
      <c r="BX213" s="294"/>
      <c r="CB213" s="13"/>
      <c r="CC213" s="294"/>
      <c r="CD213" s="294"/>
      <c r="CE213" s="294"/>
      <c r="CF213" s="294"/>
      <c r="CG213" s="294"/>
      <c r="CH213" s="294"/>
      <c r="CI213" s="294"/>
      <c r="CJ213" s="294"/>
      <c r="CK213" s="294"/>
      <c r="CL213" s="294"/>
      <c r="CM213" s="294"/>
      <c r="CN213" s="294"/>
      <c r="CO213" s="294"/>
      <c r="CP213" s="294"/>
    </row>
    <row r="214" spans="2:94" s="7" customFormat="1" ht="14.25" customHeight="1">
      <c r="B214" s="43"/>
      <c r="C214" s="282"/>
      <c r="D214" s="294"/>
      <c r="E214" s="294"/>
      <c r="F214" s="294"/>
      <c r="G214" s="294"/>
      <c r="H214" s="294"/>
      <c r="I214" s="294"/>
      <c r="J214" s="294"/>
      <c r="K214" s="294"/>
      <c r="L214" s="675"/>
      <c r="M214" s="294"/>
      <c r="N214" s="294"/>
      <c r="O214" s="669"/>
      <c r="P214" s="294"/>
      <c r="Q214" s="294"/>
      <c r="R214" s="294"/>
      <c r="S214" s="294"/>
      <c r="T214" s="675"/>
      <c r="U214" s="294"/>
      <c r="V214" s="294"/>
      <c r="W214" s="669"/>
      <c r="X214" s="294"/>
      <c r="Y214" s="294"/>
      <c r="Z214" s="294"/>
      <c r="AA214" s="294"/>
      <c r="AB214" s="675"/>
      <c r="AC214" s="294"/>
      <c r="AD214" s="294"/>
      <c r="AE214" s="669"/>
      <c r="AF214" s="294"/>
      <c r="AG214" s="294"/>
      <c r="AH214" s="294"/>
      <c r="AI214" s="294"/>
      <c r="AJ214" s="294"/>
      <c r="AK214" s="294"/>
      <c r="AL214" s="294"/>
      <c r="AM214" s="294"/>
      <c r="AN214" s="675"/>
      <c r="AO214" s="294"/>
      <c r="AP214" s="294"/>
      <c r="AQ214" s="669"/>
      <c r="AR214" s="675"/>
      <c r="AS214" s="294"/>
      <c r="AT214" s="294"/>
      <c r="AU214" s="669"/>
      <c r="AV214" s="294"/>
      <c r="AW214" s="294"/>
      <c r="AX214" s="294"/>
      <c r="AY214" s="669"/>
      <c r="AZ214" s="294"/>
      <c r="BA214" s="294"/>
      <c r="BB214" s="294"/>
      <c r="BC214" s="669"/>
      <c r="BD214" s="294"/>
      <c r="BE214" s="294"/>
      <c r="BF214" s="294"/>
      <c r="BG214" s="669"/>
      <c r="BH214" s="294"/>
      <c r="BI214" s="294"/>
      <c r="BJ214" s="294"/>
      <c r="BK214" s="669"/>
      <c r="BL214" s="13"/>
      <c r="BM214" s="294"/>
      <c r="BN214" s="294"/>
      <c r="BO214" s="294"/>
      <c r="BP214" s="294"/>
      <c r="BQ214" s="294"/>
      <c r="BR214" s="294"/>
      <c r="BS214" s="294"/>
      <c r="BT214" s="294"/>
      <c r="BU214" s="294"/>
      <c r="BV214" s="294"/>
      <c r="BW214" s="294"/>
      <c r="BX214" s="294"/>
      <c r="CB214" s="13"/>
      <c r="CC214" s="294"/>
      <c r="CD214" s="294"/>
      <c r="CE214" s="294"/>
      <c r="CF214" s="294"/>
      <c r="CG214" s="294"/>
      <c r="CH214" s="294"/>
      <c r="CI214" s="294"/>
      <c r="CJ214" s="294"/>
      <c r="CK214" s="294"/>
      <c r="CL214" s="294"/>
      <c r="CM214" s="294"/>
      <c r="CN214" s="294"/>
      <c r="CO214" s="294"/>
      <c r="CP214" s="294"/>
    </row>
    <row r="215" spans="2:94" s="280" customFormat="1" ht="14.25" customHeight="1">
      <c r="B215" s="670" t="s">
        <v>342</v>
      </c>
      <c r="C215" s="664"/>
      <c r="D215" s="665"/>
      <c r="E215" s="665"/>
      <c r="F215" s="665"/>
      <c r="G215" s="665"/>
      <c r="H215" s="665"/>
      <c r="I215" s="665"/>
      <c r="J215" s="665"/>
      <c r="K215" s="665"/>
      <c r="L215" s="676"/>
      <c r="M215" s="665"/>
      <c r="N215" s="665"/>
      <c r="O215" s="671"/>
      <c r="P215" s="665"/>
      <c r="Q215" s="665"/>
      <c r="R215" s="665"/>
      <c r="S215" s="665"/>
      <c r="T215" s="676"/>
      <c r="U215" s="665"/>
      <c r="V215" s="665"/>
      <c r="W215" s="671"/>
      <c r="X215" s="665"/>
      <c r="Y215" s="665"/>
      <c r="Z215" s="665"/>
      <c r="AA215" s="665"/>
      <c r="AB215" s="676"/>
      <c r="AC215" s="665"/>
      <c r="AD215" s="665"/>
      <c r="AE215" s="671"/>
      <c r="AF215" s="665"/>
      <c r="AG215" s="665"/>
      <c r="AH215" s="665"/>
      <c r="AI215" s="665"/>
      <c r="AJ215" s="665"/>
      <c r="AK215" s="665"/>
      <c r="AL215" s="665"/>
      <c r="AM215" s="665"/>
      <c r="AN215" s="676"/>
      <c r="AO215" s="665"/>
      <c r="AP215" s="665"/>
      <c r="AQ215" s="671"/>
      <c r="AR215" s="676"/>
      <c r="AS215" s="665"/>
      <c r="AT215" s="665"/>
      <c r="AU215" s="671"/>
      <c r="AV215" s="665"/>
      <c r="AW215" s="665"/>
      <c r="AX215" s="665"/>
      <c r="AY215" s="671"/>
      <c r="AZ215" s="665"/>
      <c r="BA215" s="665"/>
      <c r="BB215" s="665"/>
      <c r="BC215" s="671"/>
      <c r="BD215" s="665"/>
      <c r="BE215" s="665"/>
      <c r="BF215" s="665"/>
      <c r="BG215" s="671"/>
      <c r="BH215" s="665"/>
      <c r="BI215" s="665"/>
      <c r="BJ215" s="665"/>
      <c r="BK215" s="671"/>
      <c r="BL215" s="664"/>
      <c r="BM215" s="665"/>
      <c r="BN215" s="665"/>
      <c r="BO215" s="665"/>
      <c r="BP215" s="665"/>
      <c r="BQ215" s="665"/>
      <c r="BR215" s="665"/>
      <c r="BS215" s="665"/>
      <c r="BT215" s="665"/>
      <c r="BU215" s="665"/>
      <c r="BV215" s="665"/>
      <c r="BW215" s="665"/>
      <c r="BX215" s="665"/>
      <c r="CB215" s="664"/>
      <c r="CC215" s="665"/>
      <c r="CD215" s="665"/>
      <c r="CE215" s="665"/>
      <c r="CF215" s="665"/>
      <c r="CG215" s="665"/>
      <c r="CH215" s="665"/>
      <c r="CI215" s="665"/>
      <c r="CJ215" s="665"/>
      <c r="CK215" s="665"/>
      <c r="CL215" s="665"/>
      <c r="CM215" s="665"/>
      <c r="CN215" s="665"/>
      <c r="CO215" s="665"/>
      <c r="CP215" s="665"/>
    </row>
    <row r="216" spans="2:94" s="7" customFormat="1" ht="14.25" customHeight="1">
      <c r="B216" s="43"/>
      <c r="C216" s="282"/>
      <c r="D216" s="294"/>
      <c r="E216" s="294"/>
      <c r="F216" s="294"/>
      <c r="G216" s="294"/>
      <c r="H216" s="294"/>
      <c r="I216" s="294"/>
      <c r="J216" s="294"/>
      <c r="K216" s="294"/>
      <c r="L216" s="675"/>
      <c r="M216" s="294"/>
      <c r="N216" s="294"/>
      <c r="O216" s="669"/>
      <c r="P216" s="294"/>
      <c r="Q216" s="294"/>
      <c r="R216" s="294"/>
      <c r="S216" s="294"/>
      <c r="T216" s="675"/>
      <c r="U216" s="294"/>
      <c r="V216" s="294"/>
      <c r="W216" s="669"/>
      <c r="X216" s="294"/>
      <c r="Y216" s="294"/>
      <c r="Z216" s="294"/>
      <c r="AA216" s="294"/>
      <c r="AB216" s="675"/>
      <c r="AC216" s="294"/>
      <c r="AD216" s="294"/>
      <c r="AE216" s="669"/>
      <c r="AF216" s="294"/>
      <c r="AG216" s="294"/>
      <c r="AH216" s="294"/>
      <c r="AI216" s="294"/>
      <c r="AJ216" s="294"/>
      <c r="AK216" s="294"/>
      <c r="AL216" s="294"/>
      <c r="AM216" s="294"/>
      <c r="AN216" s="675"/>
      <c r="AO216" s="294"/>
      <c r="AP216" s="294"/>
      <c r="AQ216" s="669"/>
      <c r="AR216" s="675"/>
      <c r="AS216" s="294"/>
      <c r="AT216" s="294"/>
      <c r="AU216" s="669"/>
      <c r="AV216" s="294"/>
      <c r="AW216" s="294"/>
      <c r="AX216" s="294"/>
      <c r="AY216" s="669"/>
      <c r="AZ216" s="294"/>
      <c r="BA216" s="294"/>
      <c r="BB216" s="294"/>
      <c r="BC216" s="669"/>
      <c r="BD216" s="294"/>
      <c r="BE216" s="294"/>
      <c r="BF216" s="294"/>
      <c r="BG216" s="669"/>
      <c r="BH216" s="294"/>
      <c r="BI216" s="294"/>
      <c r="BJ216" s="294"/>
      <c r="BK216" s="669"/>
      <c r="BL216" s="13"/>
      <c r="BM216" s="294"/>
      <c r="BN216" s="294"/>
      <c r="BO216" s="294"/>
      <c r="BP216" s="294"/>
      <c r="BQ216" s="294"/>
      <c r="BR216" s="294"/>
      <c r="BS216" s="294"/>
      <c r="BT216" s="294"/>
      <c r="BU216" s="294"/>
      <c r="BV216" s="294"/>
      <c r="BW216" s="294"/>
      <c r="BX216" s="294"/>
      <c r="CB216" s="13"/>
      <c r="CC216" s="294"/>
      <c r="CD216" s="294"/>
      <c r="CE216" s="294"/>
      <c r="CF216" s="294"/>
      <c r="CG216" s="294"/>
      <c r="CH216" s="294"/>
      <c r="CI216" s="294"/>
      <c r="CJ216" s="294"/>
      <c r="CK216" s="294"/>
      <c r="CL216" s="294"/>
      <c r="CM216" s="294"/>
      <c r="CN216" s="294"/>
      <c r="CO216" s="294"/>
      <c r="CP216" s="294"/>
    </row>
    <row r="217" spans="2:94" s="7" customFormat="1" ht="14.25" customHeight="1">
      <c r="B217" s="43"/>
      <c r="C217" s="282"/>
      <c r="D217" s="294"/>
      <c r="E217" s="294"/>
      <c r="F217" s="294"/>
      <c r="G217" s="294"/>
      <c r="H217" s="294"/>
      <c r="I217" s="294"/>
      <c r="J217" s="294"/>
      <c r="K217" s="294"/>
      <c r="L217" s="675"/>
      <c r="M217" s="294"/>
      <c r="N217" s="294"/>
      <c r="O217" s="669"/>
      <c r="P217" s="294"/>
      <c r="Q217" s="294"/>
      <c r="R217" s="294"/>
      <c r="S217" s="294"/>
      <c r="T217" s="675"/>
      <c r="U217" s="294"/>
      <c r="V217" s="294"/>
      <c r="W217" s="669"/>
      <c r="X217" s="294"/>
      <c r="Y217" s="294"/>
      <c r="Z217" s="294"/>
      <c r="AA217" s="294"/>
      <c r="AB217" s="675"/>
      <c r="AC217" s="294"/>
      <c r="AD217" s="294"/>
      <c r="AE217" s="669"/>
      <c r="AF217" s="294"/>
      <c r="AG217" s="294"/>
      <c r="AH217" s="294"/>
      <c r="AI217" s="294"/>
      <c r="AJ217" s="294"/>
      <c r="AK217" s="294"/>
      <c r="AL217" s="294"/>
      <c r="AM217" s="294"/>
      <c r="AN217" s="675"/>
      <c r="AO217" s="294"/>
      <c r="AP217" s="294"/>
      <c r="AQ217" s="669"/>
      <c r="AR217" s="675"/>
      <c r="AS217" s="294"/>
      <c r="AT217" s="294"/>
      <c r="AU217" s="669"/>
      <c r="AV217" s="294"/>
      <c r="AW217" s="294"/>
      <c r="AX217" s="294"/>
      <c r="AY217" s="669"/>
      <c r="AZ217" s="294"/>
      <c r="BA217" s="294"/>
      <c r="BB217" s="294"/>
      <c r="BC217" s="669"/>
      <c r="BD217" s="294"/>
      <c r="BE217" s="294"/>
      <c r="BF217" s="294"/>
      <c r="BG217" s="669"/>
      <c r="BH217" s="294"/>
      <c r="BI217" s="294"/>
      <c r="BJ217" s="294"/>
      <c r="BK217" s="669"/>
      <c r="BL217" s="13"/>
      <c r="BM217" s="294"/>
      <c r="BN217" s="294"/>
      <c r="BO217" s="294"/>
      <c r="BP217" s="294"/>
      <c r="BQ217" s="294"/>
      <c r="BR217" s="294"/>
      <c r="BS217" s="294"/>
      <c r="BT217" s="294"/>
      <c r="BU217" s="294"/>
      <c r="BV217" s="294"/>
      <c r="BW217" s="294"/>
      <c r="BX217" s="294"/>
      <c r="CB217" s="13"/>
      <c r="CC217" s="294"/>
      <c r="CD217" s="294"/>
      <c r="CE217" s="294"/>
      <c r="CF217" s="294"/>
      <c r="CG217" s="294"/>
      <c r="CH217" s="294"/>
      <c r="CI217" s="294"/>
      <c r="CJ217" s="294"/>
      <c r="CK217" s="294"/>
      <c r="CL217" s="294"/>
      <c r="CM217" s="294"/>
      <c r="CN217" s="294"/>
      <c r="CO217" s="294"/>
      <c r="CP217" s="294"/>
    </row>
    <row r="218" spans="2:94" s="7" customFormat="1" ht="14.25" customHeight="1">
      <c r="B218" s="43"/>
      <c r="C218" s="282"/>
      <c r="D218" s="294"/>
      <c r="E218" s="294"/>
      <c r="F218" s="294"/>
      <c r="G218" s="294"/>
      <c r="H218" s="294"/>
      <c r="I218" s="294"/>
      <c r="J218" s="294"/>
      <c r="K218" s="294"/>
      <c r="L218" s="675"/>
      <c r="M218" s="294"/>
      <c r="N218" s="294"/>
      <c r="O218" s="669"/>
      <c r="P218" s="294"/>
      <c r="Q218" s="294"/>
      <c r="R218" s="294"/>
      <c r="S218" s="294"/>
      <c r="T218" s="675"/>
      <c r="U218" s="294"/>
      <c r="V218" s="294"/>
      <c r="W218" s="669"/>
      <c r="X218" s="294"/>
      <c r="Y218" s="294"/>
      <c r="Z218" s="294"/>
      <c r="AA218" s="294"/>
      <c r="AB218" s="675"/>
      <c r="AC218" s="294"/>
      <c r="AD218" s="294"/>
      <c r="AE218" s="669"/>
      <c r="AF218" s="294"/>
      <c r="AG218" s="294"/>
      <c r="AH218" s="294"/>
      <c r="AI218" s="294"/>
      <c r="AJ218" s="294"/>
      <c r="AK218" s="294"/>
      <c r="AL218" s="294"/>
      <c r="AM218" s="294"/>
      <c r="AN218" s="675"/>
      <c r="AO218" s="294"/>
      <c r="AP218" s="294"/>
      <c r="AQ218" s="669"/>
      <c r="AR218" s="675"/>
      <c r="AS218" s="294"/>
      <c r="AT218" s="294"/>
      <c r="AU218" s="669"/>
      <c r="AV218" s="294"/>
      <c r="AW218" s="294"/>
      <c r="AX218" s="294"/>
      <c r="AY218" s="669"/>
      <c r="AZ218" s="294"/>
      <c r="BA218" s="294"/>
      <c r="BB218" s="294"/>
      <c r="BC218" s="669"/>
      <c r="BD218" s="294"/>
      <c r="BE218" s="294"/>
      <c r="BF218" s="294"/>
      <c r="BG218" s="669"/>
      <c r="BH218" s="294"/>
      <c r="BI218" s="294"/>
      <c r="BJ218" s="294"/>
      <c r="BK218" s="669"/>
      <c r="BL218" s="13"/>
      <c r="BM218" s="294"/>
      <c r="BN218" s="294"/>
      <c r="BO218" s="294"/>
      <c r="BP218" s="294"/>
      <c r="BQ218" s="294"/>
      <c r="BR218" s="294"/>
      <c r="BS218" s="294"/>
      <c r="BT218" s="294"/>
      <c r="BU218" s="294"/>
      <c r="BV218" s="294"/>
      <c r="BW218" s="294"/>
      <c r="BX218" s="294"/>
      <c r="CB218" s="13"/>
      <c r="CC218" s="294"/>
      <c r="CD218" s="294"/>
      <c r="CE218" s="294"/>
      <c r="CF218" s="294"/>
      <c r="CG218" s="294"/>
      <c r="CH218" s="294"/>
      <c r="CI218" s="294"/>
      <c r="CJ218" s="294"/>
      <c r="CK218" s="294"/>
      <c r="CL218" s="294"/>
      <c r="CM218" s="294"/>
      <c r="CN218" s="294"/>
      <c r="CO218" s="294"/>
      <c r="CP218" s="294"/>
    </row>
    <row r="219" spans="2:94" s="7" customFormat="1" ht="14.25" customHeight="1">
      <c r="B219" s="43"/>
      <c r="C219" s="282"/>
      <c r="D219" s="294"/>
      <c r="E219" s="294"/>
      <c r="F219" s="294"/>
      <c r="G219" s="294"/>
      <c r="H219" s="294"/>
      <c r="I219" s="294"/>
      <c r="J219" s="294"/>
      <c r="K219" s="294"/>
      <c r="L219" s="675"/>
      <c r="M219" s="294"/>
      <c r="N219" s="294"/>
      <c r="O219" s="669"/>
      <c r="P219" s="294"/>
      <c r="Q219" s="294"/>
      <c r="R219" s="294"/>
      <c r="S219" s="294"/>
      <c r="T219" s="675"/>
      <c r="U219" s="294"/>
      <c r="V219" s="294"/>
      <c r="W219" s="669"/>
      <c r="X219" s="294"/>
      <c r="Y219" s="294"/>
      <c r="Z219" s="294"/>
      <c r="AA219" s="294"/>
      <c r="AB219" s="675"/>
      <c r="AC219" s="294"/>
      <c r="AD219" s="294"/>
      <c r="AE219" s="669"/>
      <c r="AF219" s="294"/>
      <c r="AG219" s="294"/>
      <c r="AH219" s="294"/>
      <c r="AI219" s="294"/>
      <c r="AJ219" s="294"/>
      <c r="AK219" s="294"/>
      <c r="AL219" s="294"/>
      <c r="AM219" s="294"/>
      <c r="AN219" s="675"/>
      <c r="AO219" s="294"/>
      <c r="AP219" s="294"/>
      <c r="AQ219" s="669"/>
      <c r="AR219" s="675"/>
      <c r="AS219" s="294"/>
      <c r="AT219" s="294"/>
      <c r="AU219" s="669"/>
      <c r="AV219" s="294"/>
      <c r="AW219" s="294"/>
      <c r="AX219" s="294"/>
      <c r="AY219" s="669"/>
      <c r="AZ219" s="294"/>
      <c r="BA219" s="294"/>
      <c r="BB219" s="294"/>
      <c r="BC219" s="669"/>
      <c r="BD219" s="294"/>
      <c r="BE219" s="294"/>
      <c r="BF219" s="294"/>
      <c r="BG219" s="669"/>
      <c r="BH219" s="294"/>
      <c r="BI219" s="294"/>
      <c r="BJ219" s="294"/>
      <c r="BK219" s="669"/>
      <c r="BL219" s="13"/>
      <c r="BM219" s="294"/>
      <c r="BN219" s="294"/>
      <c r="BO219" s="294"/>
      <c r="BP219" s="294"/>
      <c r="BQ219" s="294"/>
      <c r="BR219" s="294"/>
      <c r="BS219" s="294"/>
      <c r="BT219" s="294"/>
      <c r="BU219" s="294"/>
      <c r="BV219" s="294"/>
      <c r="BW219" s="294"/>
      <c r="BX219" s="294"/>
      <c r="CB219" s="13"/>
      <c r="CC219" s="294"/>
      <c r="CD219" s="294"/>
      <c r="CE219" s="294"/>
      <c r="CF219" s="294"/>
      <c r="CG219" s="294"/>
      <c r="CH219" s="294"/>
      <c r="CI219" s="294"/>
      <c r="CJ219" s="294"/>
      <c r="CK219" s="294"/>
      <c r="CL219" s="294"/>
      <c r="CM219" s="294"/>
      <c r="CN219" s="294"/>
      <c r="CO219" s="294"/>
      <c r="CP219" s="294"/>
    </row>
    <row r="220" spans="2:94" s="7" customFormat="1" ht="14.25" customHeight="1">
      <c r="B220" s="43"/>
      <c r="C220" s="282"/>
      <c r="D220" s="294"/>
      <c r="E220" s="294"/>
      <c r="F220" s="294"/>
      <c r="G220" s="294"/>
      <c r="H220" s="294"/>
      <c r="I220" s="294"/>
      <c r="J220" s="294"/>
      <c r="K220" s="294"/>
      <c r="L220" s="675"/>
      <c r="M220" s="294"/>
      <c r="N220" s="294"/>
      <c r="O220" s="669"/>
      <c r="P220" s="294"/>
      <c r="Q220" s="294"/>
      <c r="R220" s="294"/>
      <c r="S220" s="294"/>
      <c r="T220" s="675"/>
      <c r="U220" s="294"/>
      <c r="V220" s="294"/>
      <c r="W220" s="669"/>
      <c r="X220" s="294"/>
      <c r="Y220" s="294"/>
      <c r="Z220" s="294"/>
      <c r="AA220" s="294"/>
      <c r="AB220" s="675"/>
      <c r="AC220" s="294"/>
      <c r="AD220" s="294"/>
      <c r="AE220" s="669"/>
      <c r="AF220" s="294"/>
      <c r="AG220" s="294"/>
      <c r="AH220" s="294"/>
      <c r="AI220" s="294"/>
      <c r="AJ220" s="294"/>
      <c r="AK220" s="294"/>
      <c r="AL220" s="294"/>
      <c r="AM220" s="294"/>
      <c r="AN220" s="675"/>
      <c r="AO220" s="294"/>
      <c r="AP220" s="294"/>
      <c r="AQ220" s="669"/>
      <c r="AR220" s="675"/>
      <c r="AS220" s="294"/>
      <c r="AT220" s="294"/>
      <c r="AU220" s="669"/>
      <c r="AV220" s="294"/>
      <c r="AW220" s="294"/>
      <c r="AX220" s="294"/>
      <c r="AY220" s="669"/>
      <c r="AZ220" s="294"/>
      <c r="BA220" s="294"/>
      <c r="BB220" s="294"/>
      <c r="BC220" s="669"/>
      <c r="BD220" s="294"/>
      <c r="BE220" s="294"/>
      <c r="BF220" s="294"/>
      <c r="BG220" s="669"/>
      <c r="BH220" s="294"/>
      <c r="BI220" s="294"/>
      <c r="BJ220" s="294"/>
      <c r="BK220" s="669"/>
      <c r="BL220" s="13"/>
      <c r="BM220" s="294"/>
      <c r="BN220" s="294"/>
      <c r="BO220" s="294"/>
      <c r="BP220" s="294"/>
      <c r="BQ220" s="294"/>
      <c r="BR220" s="294"/>
      <c r="BS220" s="294"/>
      <c r="BT220" s="294"/>
      <c r="BU220" s="294"/>
      <c r="BV220" s="294"/>
      <c r="BW220" s="294"/>
      <c r="BX220" s="294"/>
      <c r="CB220" s="13"/>
      <c r="CC220" s="294"/>
      <c r="CD220" s="294"/>
      <c r="CE220" s="294"/>
      <c r="CF220" s="294"/>
      <c r="CG220" s="294"/>
      <c r="CH220" s="294"/>
      <c r="CI220" s="294"/>
      <c r="CJ220" s="294"/>
      <c r="CK220" s="294"/>
      <c r="CL220" s="294"/>
      <c r="CM220" s="294"/>
      <c r="CN220" s="294"/>
      <c r="CO220" s="294"/>
      <c r="CP220" s="294"/>
    </row>
    <row r="221" spans="2:94" s="7" customFormat="1" ht="14.25" customHeight="1">
      <c r="B221" s="43"/>
      <c r="C221" s="282"/>
      <c r="D221" s="294"/>
      <c r="E221" s="294"/>
      <c r="F221" s="294"/>
      <c r="G221" s="294"/>
      <c r="H221" s="294"/>
      <c r="I221" s="294"/>
      <c r="J221" s="294"/>
      <c r="K221" s="294"/>
      <c r="L221" s="675"/>
      <c r="M221" s="294"/>
      <c r="N221" s="294"/>
      <c r="O221" s="669"/>
      <c r="P221" s="294"/>
      <c r="Q221" s="294"/>
      <c r="R221" s="294"/>
      <c r="S221" s="294"/>
      <c r="T221" s="675"/>
      <c r="U221" s="294"/>
      <c r="V221" s="294"/>
      <c r="W221" s="669"/>
      <c r="X221" s="294"/>
      <c r="Y221" s="294"/>
      <c r="Z221" s="294"/>
      <c r="AA221" s="294"/>
      <c r="AB221" s="675"/>
      <c r="AC221" s="294"/>
      <c r="AD221" s="294"/>
      <c r="AE221" s="669"/>
      <c r="AF221" s="294"/>
      <c r="AG221" s="294"/>
      <c r="AH221" s="294"/>
      <c r="AI221" s="294"/>
      <c r="AJ221" s="294"/>
      <c r="AK221" s="294"/>
      <c r="AL221" s="294"/>
      <c r="AM221" s="294"/>
      <c r="AN221" s="675"/>
      <c r="AO221" s="294"/>
      <c r="AP221" s="294"/>
      <c r="AQ221" s="669"/>
      <c r="AR221" s="675"/>
      <c r="AS221" s="294"/>
      <c r="AT221" s="294"/>
      <c r="AU221" s="669"/>
      <c r="AV221" s="294"/>
      <c r="AW221" s="294"/>
      <c r="AX221" s="294"/>
      <c r="AY221" s="669"/>
      <c r="AZ221" s="294"/>
      <c r="BA221" s="294"/>
      <c r="BB221" s="294"/>
      <c r="BC221" s="669"/>
      <c r="BD221" s="294"/>
      <c r="BE221" s="294"/>
      <c r="BF221" s="294"/>
      <c r="BG221" s="669"/>
      <c r="BH221" s="294"/>
      <c r="BI221" s="294"/>
      <c r="BJ221" s="294"/>
      <c r="BK221" s="669"/>
      <c r="BL221" s="13"/>
      <c r="BM221" s="294"/>
      <c r="BN221" s="294"/>
      <c r="BO221" s="294"/>
      <c r="BP221" s="294"/>
      <c r="BQ221" s="294"/>
      <c r="BR221" s="294"/>
      <c r="BS221" s="294"/>
      <c r="BT221" s="294"/>
      <c r="BU221" s="294"/>
      <c r="BV221" s="294"/>
      <c r="BW221" s="294"/>
      <c r="BX221" s="294"/>
      <c r="CB221" s="13"/>
      <c r="CC221" s="294"/>
      <c r="CD221" s="294"/>
      <c r="CE221" s="294"/>
      <c r="CF221" s="294"/>
      <c r="CG221" s="294"/>
      <c r="CH221" s="294"/>
      <c r="CI221" s="294"/>
      <c r="CJ221" s="294"/>
      <c r="CK221" s="294"/>
      <c r="CL221" s="294"/>
      <c r="CM221" s="294"/>
      <c r="CN221" s="294"/>
      <c r="CO221" s="294"/>
      <c r="CP221" s="294"/>
    </row>
    <row r="222" spans="2:94" s="7" customFormat="1" ht="14.25" customHeight="1">
      <c r="B222" s="43"/>
      <c r="C222" s="282"/>
      <c r="D222" s="294"/>
      <c r="E222" s="294"/>
      <c r="F222" s="294"/>
      <c r="G222" s="294"/>
      <c r="H222" s="294"/>
      <c r="I222" s="294"/>
      <c r="J222" s="294"/>
      <c r="K222" s="294"/>
      <c r="L222" s="675"/>
      <c r="M222" s="294"/>
      <c r="N222" s="294"/>
      <c r="O222" s="669"/>
      <c r="P222" s="294"/>
      <c r="Q222" s="294"/>
      <c r="R222" s="294"/>
      <c r="S222" s="294"/>
      <c r="T222" s="675"/>
      <c r="U222" s="294"/>
      <c r="V222" s="294"/>
      <c r="W222" s="669"/>
      <c r="X222" s="294"/>
      <c r="Y222" s="294"/>
      <c r="Z222" s="294"/>
      <c r="AA222" s="294"/>
      <c r="AB222" s="675"/>
      <c r="AC222" s="294"/>
      <c r="AD222" s="294"/>
      <c r="AE222" s="669"/>
      <c r="AF222" s="294"/>
      <c r="AG222" s="294"/>
      <c r="AH222" s="294"/>
      <c r="AI222" s="294"/>
      <c r="AJ222" s="294"/>
      <c r="AK222" s="294"/>
      <c r="AL222" s="294"/>
      <c r="AM222" s="294"/>
      <c r="AN222" s="675"/>
      <c r="AO222" s="294"/>
      <c r="AP222" s="294"/>
      <c r="AQ222" s="669"/>
      <c r="AR222" s="675"/>
      <c r="AS222" s="294"/>
      <c r="AT222" s="294"/>
      <c r="AU222" s="669"/>
      <c r="AV222" s="294"/>
      <c r="AW222" s="294"/>
      <c r="AX222" s="294"/>
      <c r="AY222" s="669"/>
      <c r="AZ222" s="294"/>
      <c r="BA222" s="294"/>
      <c r="BB222" s="294"/>
      <c r="BC222" s="669"/>
      <c r="BD222" s="294"/>
      <c r="BE222" s="294"/>
      <c r="BF222" s="294"/>
      <c r="BG222" s="669"/>
      <c r="BH222" s="294"/>
      <c r="BI222" s="294"/>
      <c r="BJ222" s="294"/>
      <c r="BK222" s="669"/>
      <c r="BL222" s="13"/>
      <c r="BM222" s="294"/>
      <c r="BN222" s="294"/>
      <c r="BO222" s="294"/>
      <c r="BP222" s="294"/>
      <c r="BQ222" s="294"/>
      <c r="BR222" s="294"/>
      <c r="BS222" s="294"/>
      <c r="BT222" s="294"/>
      <c r="BU222" s="294"/>
      <c r="BV222" s="294"/>
      <c r="BW222" s="294"/>
      <c r="BX222" s="294"/>
      <c r="CB222" s="13"/>
      <c r="CC222" s="294"/>
      <c r="CD222" s="294"/>
      <c r="CE222" s="294"/>
      <c r="CF222" s="294"/>
      <c r="CG222" s="294"/>
      <c r="CH222" s="294"/>
      <c r="CI222" s="294"/>
      <c r="CJ222" s="294"/>
      <c r="CK222" s="294"/>
      <c r="CL222" s="294"/>
      <c r="CM222" s="294"/>
      <c r="CN222" s="294"/>
      <c r="CO222" s="294"/>
      <c r="CP222" s="294"/>
    </row>
    <row r="223" spans="2:94" s="7" customFormat="1" ht="14.25" customHeight="1">
      <c r="B223" s="670" t="s">
        <v>343</v>
      </c>
      <c r="C223" s="282"/>
      <c r="D223" s="294"/>
      <c r="E223" s="294"/>
      <c r="F223" s="294"/>
      <c r="G223" s="294"/>
      <c r="H223" s="294"/>
      <c r="I223" s="294"/>
      <c r="J223" s="294"/>
      <c r="K223" s="294"/>
      <c r="L223" s="675"/>
      <c r="M223" s="294"/>
      <c r="N223" s="294"/>
      <c r="O223" s="669"/>
      <c r="P223" s="294"/>
      <c r="Q223" s="294"/>
      <c r="R223" s="294"/>
      <c r="S223" s="294"/>
      <c r="T223" s="675"/>
      <c r="U223" s="294"/>
      <c r="V223" s="294"/>
      <c r="W223" s="669"/>
      <c r="X223" s="294"/>
      <c r="Y223" s="294"/>
      <c r="Z223" s="294"/>
      <c r="AA223" s="294"/>
      <c r="AB223" s="675"/>
      <c r="AC223" s="294"/>
      <c r="AD223" s="294"/>
      <c r="AE223" s="669"/>
      <c r="AF223" s="294"/>
      <c r="AG223" s="294"/>
      <c r="AH223" s="294"/>
      <c r="AI223" s="294"/>
      <c r="AJ223" s="294"/>
      <c r="AK223" s="294"/>
      <c r="AL223" s="294"/>
      <c r="AM223" s="294"/>
      <c r="AN223" s="675"/>
      <c r="AO223" s="294"/>
      <c r="AP223" s="294"/>
      <c r="AQ223" s="669"/>
      <c r="AR223" s="675"/>
      <c r="AS223" s="294"/>
      <c r="AT223" s="294"/>
      <c r="AU223" s="669"/>
      <c r="AV223" s="294"/>
      <c r="AW223" s="294"/>
      <c r="AX223" s="294"/>
      <c r="AY223" s="669"/>
      <c r="AZ223" s="294"/>
      <c r="BA223" s="294"/>
      <c r="BB223" s="294"/>
      <c r="BC223" s="669"/>
      <c r="BD223" s="294"/>
      <c r="BE223" s="294"/>
      <c r="BF223" s="294"/>
      <c r="BG223" s="669"/>
      <c r="BH223" s="294"/>
      <c r="BI223" s="294"/>
      <c r="BJ223" s="294"/>
      <c r="BK223" s="669"/>
      <c r="BL223" s="13"/>
      <c r="BM223" s="294"/>
      <c r="BN223" s="294"/>
      <c r="BO223" s="294"/>
      <c r="BP223" s="294"/>
      <c r="BQ223" s="294"/>
      <c r="BR223" s="294"/>
      <c r="BS223" s="294"/>
      <c r="BT223" s="294"/>
      <c r="BU223" s="294"/>
      <c r="BV223" s="294"/>
      <c r="BW223" s="294"/>
      <c r="BX223" s="294"/>
      <c r="CB223" s="13"/>
      <c r="CC223" s="294"/>
      <c r="CD223" s="294"/>
      <c r="CE223" s="294"/>
      <c r="CF223" s="294"/>
      <c r="CG223" s="294"/>
      <c r="CH223" s="294"/>
      <c r="CI223" s="294"/>
      <c r="CJ223" s="294"/>
      <c r="CK223" s="294"/>
      <c r="CL223" s="294"/>
      <c r="CM223" s="294"/>
      <c r="CN223" s="294"/>
      <c r="CO223" s="294"/>
      <c r="CP223" s="294"/>
    </row>
    <row r="224" spans="2:94" s="7" customFormat="1" ht="14.25" customHeight="1">
      <c r="B224" s="43"/>
      <c r="C224" s="282"/>
      <c r="D224" s="294"/>
      <c r="E224" s="294"/>
      <c r="F224" s="294"/>
      <c r="G224" s="294"/>
      <c r="H224" s="294"/>
      <c r="I224" s="294"/>
      <c r="J224" s="294"/>
      <c r="K224" s="294"/>
      <c r="L224" s="675"/>
      <c r="M224" s="294"/>
      <c r="N224" s="294"/>
      <c r="O224" s="669"/>
      <c r="P224" s="294"/>
      <c r="Q224" s="294"/>
      <c r="R224" s="294"/>
      <c r="S224" s="294"/>
      <c r="T224" s="675"/>
      <c r="U224" s="294"/>
      <c r="V224" s="294"/>
      <c r="W224" s="669"/>
      <c r="X224" s="294"/>
      <c r="Y224" s="294"/>
      <c r="Z224" s="294"/>
      <c r="AA224" s="294"/>
      <c r="AB224" s="675"/>
      <c r="AC224" s="294"/>
      <c r="AD224" s="294"/>
      <c r="AE224" s="669"/>
      <c r="AF224" s="294"/>
      <c r="AG224" s="294"/>
      <c r="AH224" s="294"/>
      <c r="AI224" s="294"/>
      <c r="AJ224" s="294"/>
      <c r="AK224" s="294"/>
      <c r="AL224" s="294"/>
      <c r="AM224" s="294"/>
      <c r="AN224" s="675"/>
      <c r="AO224" s="294"/>
      <c r="AP224" s="294"/>
      <c r="AQ224" s="669"/>
      <c r="AR224" s="675"/>
      <c r="AS224" s="294"/>
      <c r="AT224" s="294"/>
      <c r="AU224" s="669"/>
      <c r="AV224" s="294"/>
      <c r="AW224" s="294"/>
      <c r="AX224" s="294"/>
      <c r="AY224" s="669"/>
      <c r="AZ224" s="294"/>
      <c r="BA224" s="294"/>
      <c r="BB224" s="294"/>
      <c r="BC224" s="669"/>
      <c r="BD224" s="294"/>
      <c r="BE224" s="294"/>
      <c r="BF224" s="294"/>
      <c r="BG224" s="669"/>
      <c r="BH224" s="294"/>
      <c r="BI224" s="294"/>
      <c r="BJ224" s="294"/>
      <c r="BK224" s="669"/>
      <c r="BL224" s="13"/>
      <c r="BM224" s="294"/>
      <c r="BN224" s="294"/>
      <c r="BO224" s="294"/>
      <c r="BP224" s="294"/>
      <c r="BQ224" s="294"/>
      <c r="BR224" s="294"/>
      <c r="BS224" s="294"/>
      <c r="BT224" s="294"/>
      <c r="BU224" s="294"/>
      <c r="BV224" s="294"/>
      <c r="BW224" s="294"/>
      <c r="BX224" s="294"/>
      <c r="CB224" s="13"/>
      <c r="CC224" s="294"/>
      <c r="CD224" s="294"/>
      <c r="CE224" s="294"/>
      <c r="CF224" s="294"/>
      <c r="CG224" s="294"/>
      <c r="CH224" s="294"/>
      <c r="CI224" s="294"/>
      <c r="CJ224" s="294"/>
      <c r="CK224" s="294"/>
      <c r="CL224" s="294"/>
      <c r="CM224" s="294"/>
      <c r="CN224" s="294"/>
      <c r="CO224" s="294"/>
      <c r="CP224" s="294"/>
    </row>
    <row r="225" spans="2:94" s="7" customFormat="1" ht="14.25" customHeight="1">
      <c r="B225" s="43"/>
      <c r="C225" s="282"/>
      <c r="D225" s="294"/>
      <c r="E225" s="294"/>
      <c r="F225" s="294"/>
      <c r="G225" s="294"/>
      <c r="H225" s="294"/>
      <c r="I225" s="294"/>
      <c r="J225" s="294"/>
      <c r="K225" s="294"/>
      <c r="L225" s="675"/>
      <c r="M225" s="294"/>
      <c r="N225" s="294"/>
      <c r="O225" s="669"/>
      <c r="P225" s="294"/>
      <c r="Q225" s="294"/>
      <c r="R225" s="294"/>
      <c r="S225" s="294"/>
      <c r="T225" s="675"/>
      <c r="U225" s="294"/>
      <c r="V225" s="294"/>
      <c r="W225" s="669"/>
      <c r="X225" s="294"/>
      <c r="Y225" s="294"/>
      <c r="Z225" s="294"/>
      <c r="AA225" s="294"/>
      <c r="AB225" s="675"/>
      <c r="AC225" s="294"/>
      <c r="AD225" s="294"/>
      <c r="AE225" s="669"/>
      <c r="AF225" s="294"/>
      <c r="AG225" s="294"/>
      <c r="AH225" s="294"/>
      <c r="AI225" s="294"/>
      <c r="AJ225" s="294"/>
      <c r="AK225" s="294"/>
      <c r="AL225" s="294"/>
      <c r="AM225" s="294"/>
      <c r="AN225" s="675"/>
      <c r="AO225" s="294"/>
      <c r="AP225" s="294"/>
      <c r="AQ225" s="669"/>
      <c r="AR225" s="675"/>
      <c r="AS225" s="294"/>
      <c r="AT225" s="294"/>
      <c r="AU225" s="669"/>
      <c r="AV225" s="294"/>
      <c r="AW225" s="294"/>
      <c r="AX225" s="294"/>
      <c r="AY225" s="669"/>
      <c r="AZ225" s="294"/>
      <c r="BA225" s="294"/>
      <c r="BB225" s="294"/>
      <c r="BC225" s="669"/>
      <c r="BD225" s="294"/>
      <c r="BE225" s="294"/>
      <c r="BF225" s="294"/>
      <c r="BG225" s="669"/>
      <c r="BH225" s="294"/>
      <c r="BI225" s="294"/>
      <c r="BJ225" s="294"/>
      <c r="BK225" s="669"/>
      <c r="BL225" s="13"/>
      <c r="BM225" s="294"/>
      <c r="BN225" s="294"/>
      <c r="BO225" s="294"/>
      <c r="BP225" s="294"/>
      <c r="BQ225" s="294"/>
      <c r="BR225" s="294"/>
      <c r="BS225" s="294"/>
      <c r="BT225" s="294"/>
      <c r="BU225" s="294"/>
      <c r="BV225" s="294"/>
      <c r="BW225" s="294"/>
      <c r="BX225" s="294"/>
      <c r="CB225" s="13"/>
      <c r="CC225" s="294"/>
      <c r="CD225" s="294"/>
      <c r="CE225" s="294"/>
      <c r="CF225" s="294"/>
      <c r="CG225" s="294"/>
      <c r="CH225" s="294"/>
      <c r="CI225" s="294"/>
      <c r="CJ225" s="294"/>
      <c r="CK225" s="294"/>
      <c r="CL225" s="294"/>
      <c r="CM225" s="294"/>
      <c r="CN225" s="294"/>
      <c r="CO225" s="294"/>
      <c r="CP225" s="294"/>
    </row>
    <row r="226" spans="2:94" s="7" customFormat="1" ht="14.25" customHeight="1">
      <c r="B226" s="43"/>
      <c r="C226" s="282"/>
      <c r="D226" s="294"/>
      <c r="E226" s="294"/>
      <c r="F226" s="294"/>
      <c r="G226" s="294"/>
      <c r="H226" s="294"/>
      <c r="I226" s="294"/>
      <c r="J226" s="294"/>
      <c r="K226" s="294"/>
      <c r="L226" s="675"/>
      <c r="M226" s="294"/>
      <c r="N226" s="294"/>
      <c r="O226" s="669"/>
      <c r="P226" s="294"/>
      <c r="Q226" s="294"/>
      <c r="R226" s="294"/>
      <c r="S226" s="294"/>
      <c r="T226" s="675"/>
      <c r="U226" s="294"/>
      <c r="V226" s="294"/>
      <c r="W226" s="669"/>
      <c r="X226" s="294"/>
      <c r="Y226" s="294"/>
      <c r="Z226" s="294"/>
      <c r="AA226" s="294"/>
      <c r="AB226" s="675"/>
      <c r="AC226" s="294"/>
      <c r="AD226" s="294"/>
      <c r="AE226" s="669"/>
      <c r="AF226" s="294"/>
      <c r="AG226" s="294"/>
      <c r="AH226" s="294"/>
      <c r="AI226" s="294"/>
      <c r="AJ226" s="294"/>
      <c r="AK226" s="294"/>
      <c r="AL226" s="294"/>
      <c r="AM226" s="294"/>
      <c r="AN226" s="675"/>
      <c r="AO226" s="294"/>
      <c r="AP226" s="294"/>
      <c r="AQ226" s="669"/>
      <c r="AR226" s="675"/>
      <c r="AS226" s="294"/>
      <c r="AT226" s="294"/>
      <c r="AU226" s="669"/>
      <c r="AV226" s="294"/>
      <c r="AW226" s="294"/>
      <c r="AX226" s="294"/>
      <c r="AY226" s="669"/>
      <c r="AZ226" s="294"/>
      <c r="BA226" s="294"/>
      <c r="BB226" s="294"/>
      <c r="BC226" s="669"/>
      <c r="BD226" s="294"/>
      <c r="BE226" s="294"/>
      <c r="BF226" s="294"/>
      <c r="BG226" s="669"/>
      <c r="BH226" s="294"/>
      <c r="BI226" s="294"/>
      <c r="BJ226" s="294"/>
      <c r="BK226" s="669"/>
      <c r="BL226" s="13"/>
      <c r="BM226" s="294"/>
      <c r="BN226" s="294"/>
      <c r="BO226" s="294"/>
      <c r="BP226" s="294"/>
      <c r="BQ226" s="294"/>
      <c r="BR226" s="294"/>
      <c r="BS226" s="294"/>
      <c r="BT226" s="294"/>
      <c r="BU226" s="294"/>
      <c r="BV226" s="294"/>
      <c r="BW226" s="294"/>
      <c r="BX226" s="294"/>
      <c r="CB226" s="13"/>
      <c r="CC226" s="294"/>
      <c r="CD226" s="294"/>
      <c r="CE226" s="294"/>
      <c r="CF226" s="294"/>
      <c r="CG226" s="294"/>
      <c r="CH226" s="294"/>
      <c r="CI226" s="294"/>
      <c r="CJ226" s="294"/>
      <c r="CK226" s="294"/>
      <c r="CL226" s="294"/>
      <c r="CM226" s="294"/>
      <c r="CN226" s="294"/>
      <c r="CO226" s="294"/>
      <c r="CP226" s="294"/>
    </row>
    <row r="227" spans="2:94" s="7" customFormat="1" ht="14.25" customHeight="1">
      <c r="B227" s="43"/>
      <c r="C227" s="282"/>
      <c r="D227" s="294"/>
      <c r="E227" s="294"/>
      <c r="F227" s="294"/>
      <c r="G227" s="294"/>
      <c r="H227" s="294"/>
      <c r="I227" s="294"/>
      <c r="J227" s="294"/>
      <c r="K227" s="294"/>
      <c r="L227" s="675"/>
      <c r="M227" s="294"/>
      <c r="N227" s="294"/>
      <c r="O227" s="669"/>
      <c r="P227" s="294"/>
      <c r="Q227" s="294"/>
      <c r="R227" s="294"/>
      <c r="S227" s="294"/>
      <c r="T227" s="675"/>
      <c r="U227" s="294"/>
      <c r="V227" s="294"/>
      <c r="W227" s="669"/>
      <c r="X227" s="294"/>
      <c r="Y227" s="294"/>
      <c r="Z227" s="294"/>
      <c r="AA227" s="294"/>
      <c r="AB227" s="675"/>
      <c r="AC227" s="294"/>
      <c r="AD227" s="294"/>
      <c r="AE227" s="669"/>
      <c r="AF227" s="294"/>
      <c r="AG227" s="294"/>
      <c r="AH227" s="294"/>
      <c r="AI227" s="294"/>
      <c r="AJ227" s="294"/>
      <c r="AK227" s="294"/>
      <c r="AL227" s="294"/>
      <c r="AM227" s="294"/>
      <c r="AN227" s="675"/>
      <c r="AO227" s="294"/>
      <c r="AP227" s="294"/>
      <c r="AQ227" s="669"/>
      <c r="AR227" s="675"/>
      <c r="AS227" s="294"/>
      <c r="AT227" s="294"/>
      <c r="AU227" s="669"/>
      <c r="AV227" s="294"/>
      <c r="AW227" s="294"/>
      <c r="AX227" s="294"/>
      <c r="AY227" s="669"/>
      <c r="AZ227" s="294"/>
      <c r="BA227" s="294"/>
      <c r="BB227" s="294"/>
      <c r="BC227" s="669"/>
      <c r="BD227" s="294"/>
      <c r="BE227" s="294"/>
      <c r="BF227" s="294"/>
      <c r="BG227" s="669"/>
      <c r="BH227" s="294"/>
      <c r="BI227" s="294"/>
      <c r="BJ227" s="294"/>
      <c r="BK227" s="669"/>
      <c r="BL227" s="13"/>
      <c r="BM227" s="294"/>
      <c r="BN227" s="294"/>
      <c r="BO227" s="294"/>
      <c r="BP227" s="294"/>
      <c r="BQ227" s="294"/>
      <c r="BR227" s="294"/>
      <c r="BS227" s="294"/>
      <c r="BT227" s="294"/>
      <c r="BU227" s="294"/>
      <c r="BV227" s="294"/>
      <c r="BW227" s="294"/>
      <c r="BX227" s="294"/>
      <c r="CB227" s="13"/>
      <c r="CC227" s="294"/>
      <c r="CD227" s="294"/>
      <c r="CE227" s="294"/>
      <c r="CF227" s="294"/>
      <c r="CG227" s="294"/>
      <c r="CH227" s="294"/>
      <c r="CI227" s="294"/>
      <c r="CJ227" s="294"/>
      <c r="CK227" s="294"/>
      <c r="CL227" s="294"/>
      <c r="CM227" s="294"/>
      <c r="CN227" s="294"/>
      <c r="CO227" s="294"/>
      <c r="CP227" s="294"/>
    </row>
    <row r="228" spans="2:94" s="7" customFormat="1" ht="14.25" customHeight="1">
      <c r="B228" s="43"/>
      <c r="C228" s="282"/>
      <c r="D228" s="294"/>
      <c r="E228" s="294"/>
      <c r="F228" s="294"/>
      <c r="G228" s="294"/>
      <c r="H228" s="294"/>
      <c r="I228" s="294"/>
      <c r="J228" s="294"/>
      <c r="K228" s="294"/>
      <c r="L228" s="675"/>
      <c r="M228" s="294"/>
      <c r="N228" s="294"/>
      <c r="O228" s="669"/>
      <c r="P228" s="294"/>
      <c r="Q228" s="294"/>
      <c r="R228" s="294"/>
      <c r="S228" s="294"/>
      <c r="T228" s="675"/>
      <c r="U228" s="294"/>
      <c r="V228" s="294"/>
      <c r="W228" s="669"/>
      <c r="X228" s="294"/>
      <c r="Y228" s="294"/>
      <c r="Z228" s="294"/>
      <c r="AA228" s="294"/>
      <c r="AB228" s="675"/>
      <c r="AC228" s="294"/>
      <c r="AD228" s="294"/>
      <c r="AE228" s="669"/>
      <c r="AF228" s="294"/>
      <c r="AG228" s="294"/>
      <c r="AH228" s="294"/>
      <c r="AI228" s="294"/>
      <c r="AJ228" s="294"/>
      <c r="AK228" s="294"/>
      <c r="AL228" s="294"/>
      <c r="AM228" s="294"/>
      <c r="AN228" s="675"/>
      <c r="AO228" s="294"/>
      <c r="AP228" s="294"/>
      <c r="AQ228" s="669"/>
      <c r="AR228" s="675"/>
      <c r="AS228" s="294"/>
      <c r="AT228" s="294"/>
      <c r="AU228" s="669"/>
      <c r="AV228" s="294"/>
      <c r="AW228" s="294"/>
      <c r="AX228" s="294"/>
      <c r="AY228" s="669"/>
      <c r="AZ228" s="294"/>
      <c r="BA228" s="294"/>
      <c r="BB228" s="294"/>
      <c r="BC228" s="669"/>
      <c r="BD228" s="294"/>
      <c r="BE228" s="294"/>
      <c r="BF228" s="294"/>
      <c r="BG228" s="669"/>
      <c r="BH228" s="294"/>
      <c r="BI228" s="294"/>
      <c r="BJ228" s="294"/>
      <c r="BK228" s="669"/>
      <c r="BL228" s="13"/>
      <c r="BM228" s="294"/>
      <c r="BN228" s="294"/>
      <c r="BO228" s="294"/>
      <c r="BP228" s="294"/>
      <c r="BQ228" s="294"/>
      <c r="BR228" s="294"/>
      <c r="BS228" s="294"/>
      <c r="BT228" s="294"/>
      <c r="BU228" s="294"/>
      <c r="BV228" s="294"/>
      <c r="BW228" s="294"/>
      <c r="BX228" s="294"/>
      <c r="CB228" s="13"/>
      <c r="CC228" s="294"/>
      <c r="CD228" s="294"/>
      <c r="CE228" s="294"/>
      <c r="CF228" s="294"/>
      <c r="CG228" s="294"/>
      <c r="CH228" s="294"/>
      <c r="CI228" s="294"/>
      <c r="CJ228" s="294"/>
      <c r="CK228" s="294"/>
      <c r="CL228" s="294"/>
      <c r="CM228" s="294"/>
      <c r="CN228" s="294"/>
      <c r="CO228" s="294"/>
      <c r="CP228" s="294"/>
    </row>
    <row r="229" spans="2:94" s="7" customFormat="1" ht="14.25" customHeight="1">
      <c r="B229" s="43"/>
      <c r="C229" s="282"/>
      <c r="D229" s="294"/>
      <c r="E229" s="294"/>
      <c r="F229" s="294"/>
      <c r="G229" s="294"/>
      <c r="H229" s="294"/>
      <c r="I229" s="294"/>
      <c r="J229" s="294"/>
      <c r="K229" s="294"/>
      <c r="L229" s="675"/>
      <c r="M229" s="294"/>
      <c r="N229" s="294"/>
      <c r="O229" s="669"/>
      <c r="P229" s="294"/>
      <c r="Q229" s="294"/>
      <c r="R229" s="294"/>
      <c r="S229" s="294"/>
      <c r="T229" s="675"/>
      <c r="U229" s="294"/>
      <c r="V229" s="294"/>
      <c r="W229" s="669"/>
      <c r="X229" s="294"/>
      <c r="Y229" s="294"/>
      <c r="Z229" s="294"/>
      <c r="AA229" s="294"/>
      <c r="AB229" s="675"/>
      <c r="AC229" s="294"/>
      <c r="AD229" s="294"/>
      <c r="AE229" s="669"/>
      <c r="AF229" s="294"/>
      <c r="AG229" s="294"/>
      <c r="AH229" s="294"/>
      <c r="AI229" s="294"/>
      <c r="AJ229" s="294"/>
      <c r="AK229" s="294"/>
      <c r="AL229" s="294"/>
      <c r="AM229" s="294"/>
      <c r="AN229" s="675"/>
      <c r="AO229" s="294"/>
      <c r="AP229" s="294"/>
      <c r="AQ229" s="669"/>
      <c r="AR229" s="675"/>
      <c r="AS229" s="294"/>
      <c r="AT229" s="294"/>
      <c r="AU229" s="669"/>
      <c r="AV229" s="294"/>
      <c r="AW229" s="294"/>
      <c r="AX229" s="294"/>
      <c r="AY229" s="669"/>
      <c r="AZ229" s="294"/>
      <c r="BA229" s="294"/>
      <c r="BB229" s="294"/>
      <c r="BC229" s="669"/>
      <c r="BD229" s="294"/>
      <c r="BE229" s="294"/>
      <c r="BF229" s="294"/>
      <c r="BG229" s="669"/>
      <c r="BH229" s="294"/>
      <c r="BI229" s="294"/>
      <c r="BJ229" s="294"/>
      <c r="BK229" s="669"/>
      <c r="BL229" s="13"/>
      <c r="BM229" s="294"/>
      <c r="BN229" s="294"/>
      <c r="BO229" s="294"/>
      <c r="BP229" s="294"/>
      <c r="BQ229" s="294"/>
      <c r="BR229" s="294"/>
      <c r="BS229" s="294"/>
      <c r="BT229" s="294"/>
      <c r="BU229" s="294"/>
      <c r="BV229" s="294"/>
      <c r="BW229" s="294"/>
      <c r="BX229" s="294"/>
      <c r="CB229" s="13"/>
      <c r="CC229" s="294"/>
      <c r="CD229" s="294"/>
      <c r="CE229" s="294"/>
      <c r="CF229" s="294"/>
      <c r="CG229" s="294"/>
      <c r="CH229" s="294"/>
      <c r="CI229" s="294"/>
      <c r="CJ229" s="294"/>
      <c r="CK229" s="294"/>
      <c r="CL229" s="294"/>
      <c r="CM229" s="294"/>
      <c r="CN229" s="294"/>
      <c r="CO229" s="294"/>
      <c r="CP229" s="294"/>
    </row>
    <row r="230" spans="2:94" s="7" customFormat="1" ht="14.25" customHeight="1">
      <c r="B230" s="43"/>
      <c r="C230" s="282"/>
      <c r="D230" s="294"/>
      <c r="E230" s="294"/>
      <c r="F230" s="294"/>
      <c r="G230" s="294"/>
      <c r="H230" s="294"/>
      <c r="I230" s="294"/>
      <c r="J230" s="294"/>
      <c r="K230" s="294"/>
      <c r="L230" s="675"/>
      <c r="M230" s="294"/>
      <c r="N230" s="294"/>
      <c r="O230" s="669"/>
      <c r="P230" s="294"/>
      <c r="Q230" s="294"/>
      <c r="R230" s="294"/>
      <c r="S230" s="294"/>
      <c r="T230" s="675"/>
      <c r="U230" s="294"/>
      <c r="V230" s="294"/>
      <c r="W230" s="669"/>
      <c r="X230" s="294"/>
      <c r="Y230" s="294"/>
      <c r="Z230" s="294"/>
      <c r="AA230" s="294"/>
      <c r="AB230" s="675"/>
      <c r="AC230" s="294"/>
      <c r="AD230" s="294"/>
      <c r="AE230" s="669"/>
      <c r="AF230" s="294"/>
      <c r="AG230" s="294"/>
      <c r="AH230" s="294"/>
      <c r="AI230" s="294"/>
      <c r="AJ230" s="294"/>
      <c r="AK230" s="294"/>
      <c r="AL230" s="294"/>
      <c r="AM230" s="294"/>
      <c r="AN230" s="675"/>
      <c r="AO230" s="294"/>
      <c r="AP230" s="294"/>
      <c r="AQ230" s="669"/>
      <c r="AR230" s="675"/>
      <c r="AS230" s="294"/>
      <c r="AT230" s="294"/>
      <c r="AU230" s="669"/>
      <c r="AV230" s="294"/>
      <c r="AW230" s="294"/>
      <c r="AX230" s="294"/>
      <c r="AY230" s="669"/>
      <c r="AZ230" s="294"/>
      <c r="BA230" s="294"/>
      <c r="BB230" s="294"/>
      <c r="BC230" s="669"/>
      <c r="BD230" s="294"/>
      <c r="BE230" s="294"/>
      <c r="BF230" s="294"/>
      <c r="BG230" s="669"/>
      <c r="BH230" s="294"/>
      <c r="BI230" s="294"/>
      <c r="BJ230" s="294"/>
      <c r="BK230" s="669"/>
      <c r="BL230" s="13"/>
      <c r="BM230" s="294"/>
      <c r="BN230" s="294"/>
      <c r="BO230" s="294"/>
      <c r="BP230" s="294"/>
      <c r="BQ230" s="294"/>
      <c r="BR230" s="294"/>
      <c r="BS230" s="294"/>
      <c r="BT230" s="294"/>
      <c r="BU230" s="294"/>
      <c r="BV230" s="294"/>
      <c r="BW230" s="294"/>
      <c r="BX230" s="294"/>
      <c r="CB230" s="13"/>
      <c r="CC230" s="294"/>
      <c r="CD230" s="294"/>
      <c r="CE230" s="294"/>
      <c r="CF230" s="294"/>
      <c r="CG230" s="294"/>
      <c r="CH230" s="294"/>
      <c r="CI230" s="294"/>
      <c r="CJ230" s="294"/>
      <c r="CK230" s="294"/>
      <c r="CL230" s="294"/>
      <c r="CM230" s="294"/>
      <c r="CN230" s="294"/>
      <c r="CO230" s="294"/>
      <c r="CP230" s="294"/>
    </row>
    <row r="231" spans="2:94" s="7" customFormat="1" ht="14.25" customHeight="1">
      <c r="B231" s="43"/>
      <c r="C231" s="282"/>
      <c r="D231" s="294"/>
      <c r="E231" s="294"/>
      <c r="F231" s="294"/>
      <c r="G231" s="294"/>
      <c r="H231" s="294"/>
      <c r="I231" s="294"/>
      <c r="J231" s="294"/>
      <c r="K231" s="294"/>
      <c r="L231" s="675"/>
      <c r="M231" s="294"/>
      <c r="N231" s="294"/>
      <c r="O231" s="669"/>
      <c r="P231" s="294"/>
      <c r="Q231" s="294"/>
      <c r="R231" s="294"/>
      <c r="S231" s="294"/>
      <c r="T231" s="675"/>
      <c r="U231" s="294"/>
      <c r="V231" s="294"/>
      <c r="W231" s="669"/>
      <c r="X231" s="294"/>
      <c r="Y231" s="294"/>
      <c r="Z231" s="294"/>
      <c r="AA231" s="294"/>
      <c r="AB231" s="675"/>
      <c r="AC231" s="294"/>
      <c r="AD231" s="294"/>
      <c r="AE231" s="669"/>
      <c r="AF231" s="294"/>
      <c r="AG231" s="294"/>
      <c r="AH231" s="294"/>
      <c r="AI231" s="294"/>
      <c r="AJ231" s="294"/>
      <c r="AK231" s="294"/>
      <c r="AL231" s="294"/>
      <c r="AM231" s="294"/>
      <c r="AN231" s="675"/>
      <c r="AO231" s="294"/>
      <c r="AP231" s="294"/>
      <c r="AQ231" s="669"/>
      <c r="AR231" s="675"/>
      <c r="AS231" s="294"/>
      <c r="AT231" s="294"/>
      <c r="AU231" s="669"/>
      <c r="AV231" s="294"/>
      <c r="AW231" s="294"/>
      <c r="AX231" s="294"/>
      <c r="AY231" s="669"/>
      <c r="AZ231" s="294"/>
      <c r="BA231" s="294"/>
      <c r="BB231" s="294"/>
      <c r="BC231" s="669"/>
      <c r="BD231" s="294"/>
      <c r="BE231" s="294"/>
      <c r="BF231" s="294"/>
      <c r="BG231" s="669"/>
      <c r="BH231" s="294"/>
      <c r="BI231" s="294"/>
      <c r="BJ231" s="294"/>
      <c r="BK231" s="669"/>
      <c r="BL231" s="13"/>
      <c r="BM231" s="294"/>
      <c r="BN231" s="294"/>
      <c r="BO231" s="294"/>
      <c r="BP231" s="294"/>
      <c r="BQ231" s="294"/>
      <c r="BR231" s="294"/>
      <c r="BS231" s="294"/>
      <c r="BT231" s="294"/>
      <c r="BU231" s="294"/>
      <c r="BV231" s="294"/>
      <c r="BW231" s="294"/>
      <c r="BX231" s="294"/>
      <c r="CB231" s="13"/>
      <c r="CC231" s="294"/>
      <c r="CD231" s="294"/>
      <c r="CE231" s="294"/>
      <c r="CF231" s="294"/>
      <c r="CG231" s="294"/>
      <c r="CH231" s="294"/>
      <c r="CI231" s="294"/>
      <c r="CJ231" s="294"/>
      <c r="CK231" s="294"/>
      <c r="CL231" s="294"/>
      <c r="CM231" s="294"/>
      <c r="CN231" s="294"/>
      <c r="CO231" s="294"/>
      <c r="CP231" s="294"/>
    </row>
    <row r="232" spans="2:94" s="7" customFormat="1" ht="14.25" customHeight="1">
      <c r="B232" s="43"/>
      <c r="C232" s="282"/>
      <c r="D232" s="294"/>
      <c r="E232" s="294"/>
      <c r="F232" s="294"/>
      <c r="G232" s="294"/>
      <c r="H232" s="294"/>
      <c r="I232" s="294"/>
      <c r="J232" s="294"/>
      <c r="K232" s="294"/>
      <c r="L232" s="675"/>
      <c r="M232" s="294"/>
      <c r="N232" s="294"/>
      <c r="O232" s="669"/>
      <c r="P232" s="294"/>
      <c r="Q232" s="294"/>
      <c r="R232" s="294"/>
      <c r="S232" s="294"/>
      <c r="T232" s="675"/>
      <c r="U232" s="294"/>
      <c r="V232" s="294"/>
      <c r="W232" s="669"/>
      <c r="X232" s="294"/>
      <c r="Y232" s="294"/>
      <c r="Z232" s="294"/>
      <c r="AA232" s="294"/>
      <c r="AB232" s="675"/>
      <c r="AC232" s="294"/>
      <c r="AD232" s="294"/>
      <c r="AE232" s="669"/>
      <c r="AF232" s="294"/>
      <c r="AG232" s="294"/>
      <c r="AH232" s="294"/>
      <c r="AI232" s="294"/>
      <c r="AJ232" s="294"/>
      <c r="AK232" s="294"/>
      <c r="AL232" s="294"/>
      <c r="AM232" s="294"/>
      <c r="AN232" s="675"/>
      <c r="AO232" s="294"/>
      <c r="AP232" s="294"/>
      <c r="AQ232" s="669"/>
      <c r="AR232" s="675"/>
      <c r="AS232" s="294"/>
      <c r="AT232" s="294"/>
      <c r="AU232" s="669"/>
      <c r="AV232" s="294"/>
      <c r="AW232" s="294"/>
      <c r="AX232" s="294"/>
      <c r="AY232" s="669"/>
      <c r="AZ232" s="294"/>
      <c r="BA232" s="294"/>
      <c r="BB232" s="294"/>
      <c r="BC232" s="669"/>
      <c r="BD232" s="294"/>
      <c r="BE232" s="294"/>
      <c r="BF232" s="294"/>
      <c r="BG232" s="669"/>
      <c r="BH232" s="294"/>
      <c r="BI232" s="294"/>
      <c r="BJ232" s="294"/>
      <c r="BK232" s="669"/>
      <c r="BL232" s="13"/>
      <c r="BM232" s="294"/>
      <c r="BN232" s="294"/>
      <c r="BO232" s="294"/>
      <c r="BP232" s="294"/>
      <c r="BQ232" s="294"/>
      <c r="BR232" s="294"/>
      <c r="BS232" s="294"/>
      <c r="BT232" s="294"/>
      <c r="BU232" s="294"/>
      <c r="BV232" s="294"/>
      <c r="BW232" s="294"/>
      <c r="BX232" s="294"/>
      <c r="CB232" s="13"/>
      <c r="CC232" s="294"/>
      <c r="CD232" s="294"/>
      <c r="CE232" s="294"/>
      <c r="CF232" s="294"/>
      <c r="CG232" s="294"/>
      <c r="CH232" s="294"/>
      <c r="CI232" s="294"/>
      <c r="CJ232" s="294"/>
      <c r="CK232" s="294"/>
      <c r="CL232" s="294"/>
      <c r="CM232" s="294"/>
      <c r="CN232" s="294"/>
      <c r="CO232" s="294"/>
      <c r="CP232" s="294"/>
    </row>
    <row r="233" spans="2:94" s="7" customFormat="1" ht="14.25" customHeight="1">
      <c r="B233" s="43"/>
      <c r="C233" s="282"/>
      <c r="D233" s="294"/>
      <c r="E233" s="294"/>
      <c r="F233" s="294"/>
      <c r="G233" s="294"/>
      <c r="H233" s="294"/>
      <c r="I233" s="294"/>
      <c r="J233" s="294"/>
      <c r="K233" s="294"/>
      <c r="L233" s="675"/>
      <c r="M233" s="294"/>
      <c r="N233" s="294"/>
      <c r="O233" s="669"/>
      <c r="P233" s="294"/>
      <c r="Q233" s="294"/>
      <c r="R233" s="294"/>
      <c r="S233" s="294"/>
      <c r="T233" s="675"/>
      <c r="U233" s="294"/>
      <c r="V233" s="294"/>
      <c r="W233" s="669"/>
      <c r="X233" s="294"/>
      <c r="Y233" s="294"/>
      <c r="Z233" s="294"/>
      <c r="AA233" s="294"/>
      <c r="AB233" s="675"/>
      <c r="AC233" s="294"/>
      <c r="AD233" s="294"/>
      <c r="AE233" s="669"/>
      <c r="AF233" s="294"/>
      <c r="AG233" s="294"/>
      <c r="AH233" s="294"/>
      <c r="AI233" s="294"/>
      <c r="AJ233" s="294"/>
      <c r="AK233" s="294"/>
      <c r="AL233" s="294"/>
      <c r="AM233" s="294"/>
      <c r="AN233" s="675"/>
      <c r="AO233" s="294"/>
      <c r="AP233" s="294"/>
      <c r="AQ233" s="669"/>
      <c r="AR233" s="675"/>
      <c r="AS233" s="294"/>
      <c r="AT233" s="294"/>
      <c r="AU233" s="669"/>
      <c r="AV233" s="294"/>
      <c r="AW233" s="294"/>
      <c r="AX233" s="294"/>
      <c r="AY233" s="669"/>
      <c r="AZ233" s="294"/>
      <c r="BA233" s="294"/>
      <c r="BB233" s="294"/>
      <c r="BC233" s="669"/>
      <c r="BD233" s="294"/>
      <c r="BE233" s="294"/>
      <c r="BF233" s="294"/>
      <c r="BG233" s="669"/>
      <c r="BH233" s="294"/>
      <c r="BI233" s="294"/>
      <c r="BJ233" s="294"/>
      <c r="BK233" s="669"/>
      <c r="BL233" s="13"/>
      <c r="BM233" s="294"/>
      <c r="BN233" s="294"/>
      <c r="BO233" s="294"/>
      <c r="BP233" s="294"/>
      <c r="BQ233" s="294"/>
      <c r="BR233" s="294"/>
      <c r="BS233" s="294"/>
      <c r="BT233" s="294"/>
      <c r="BU233" s="294"/>
      <c r="BV233" s="294"/>
      <c r="BW233" s="294"/>
      <c r="BX233" s="294"/>
      <c r="CB233" s="13"/>
      <c r="CC233" s="294"/>
      <c r="CD233" s="294"/>
      <c r="CE233" s="294"/>
      <c r="CF233" s="294"/>
      <c r="CG233" s="294"/>
      <c r="CH233" s="294"/>
      <c r="CI233" s="294"/>
      <c r="CJ233" s="294"/>
      <c r="CK233" s="294"/>
      <c r="CL233" s="294"/>
      <c r="CM233" s="294"/>
      <c r="CN233" s="294"/>
      <c r="CO233" s="294"/>
      <c r="CP233" s="294"/>
    </row>
    <row r="234" spans="2:94" s="7" customFormat="1" ht="14.25" customHeight="1">
      <c r="B234" s="43"/>
      <c r="C234" s="282"/>
      <c r="D234" s="294"/>
      <c r="E234" s="294"/>
      <c r="F234" s="294"/>
      <c r="G234" s="294"/>
      <c r="H234" s="294"/>
      <c r="I234" s="294"/>
      <c r="J234" s="294"/>
      <c r="K234" s="294"/>
      <c r="L234" s="675"/>
      <c r="M234" s="294"/>
      <c r="N234" s="294"/>
      <c r="O234" s="669"/>
      <c r="P234" s="294"/>
      <c r="Q234" s="294"/>
      <c r="R234" s="294"/>
      <c r="S234" s="294"/>
      <c r="T234" s="675"/>
      <c r="U234" s="294"/>
      <c r="V234" s="294"/>
      <c r="W234" s="669"/>
      <c r="X234" s="294"/>
      <c r="Y234" s="294"/>
      <c r="Z234" s="294"/>
      <c r="AA234" s="294"/>
      <c r="AB234" s="675"/>
      <c r="AC234" s="294"/>
      <c r="AD234" s="294"/>
      <c r="AE234" s="669"/>
      <c r="AF234" s="294"/>
      <c r="AG234" s="294"/>
      <c r="AH234" s="294"/>
      <c r="AI234" s="294"/>
      <c r="AJ234" s="294"/>
      <c r="AK234" s="294"/>
      <c r="AL234" s="294"/>
      <c r="AM234" s="294"/>
      <c r="AN234" s="675"/>
      <c r="AO234" s="294"/>
      <c r="AP234" s="294"/>
      <c r="AQ234" s="669"/>
      <c r="AR234" s="675"/>
      <c r="AS234" s="294"/>
      <c r="AT234" s="294"/>
      <c r="AU234" s="669"/>
      <c r="AV234" s="294"/>
      <c r="AW234" s="294"/>
      <c r="AX234" s="294"/>
      <c r="AY234" s="669"/>
      <c r="AZ234" s="294"/>
      <c r="BA234" s="294"/>
      <c r="BB234" s="294"/>
      <c r="BC234" s="669"/>
      <c r="BD234" s="294"/>
      <c r="BE234" s="294"/>
      <c r="BF234" s="294"/>
      <c r="BG234" s="669"/>
      <c r="BH234" s="294"/>
      <c r="BI234" s="294"/>
      <c r="BJ234" s="294"/>
      <c r="BK234" s="669"/>
      <c r="BL234" s="13"/>
      <c r="BM234" s="294"/>
      <c r="BN234" s="294"/>
      <c r="BO234" s="294"/>
      <c r="BP234" s="294"/>
      <c r="BQ234" s="294"/>
      <c r="BR234" s="294"/>
      <c r="BS234" s="294"/>
      <c r="BT234" s="294"/>
      <c r="BU234" s="294"/>
      <c r="BV234" s="294"/>
      <c r="BW234" s="294"/>
      <c r="BX234" s="294"/>
      <c r="CB234" s="13"/>
      <c r="CC234" s="294"/>
      <c r="CD234" s="294"/>
      <c r="CE234" s="294"/>
      <c r="CF234" s="294"/>
      <c r="CG234" s="294"/>
      <c r="CH234" s="294"/>
      <c r="CI234" s="294"/>
      <c r="CJ234" s="294"/>
      <c r="CK234" s="294"/>
      <c r="CL234" s="294"/>
      <c r="CM234" s="294"/>
      <c r="CN234" s="294"/>
      <c r="CO234" s="294"/>
      <c r="CP234" s="294"/>
    </row>
    <row r="235" spans="2:94" s="7" customFormat="1" ht="14.25" customHeight="1">
      <c r="B235" s="43"/>
      <c r="C235" s="282"/>
      <c r="D235" s="294"/>
      <c r="E235" s="294"/>
      <c r="F235" s="294"/>
      <c r="G235" s="294"/>
      <c r="H235" s="294"/>
      <c r="I235" s="294"/>
      <c r="J235" s="294"/>
      <c r="K235" s="294"/>
      <c r="L235" s="675"/>
      <c r="M235" s="294"/>
      <c r="N235" s="294"/>
      <c r="O235" s="669"/>
      <c r="P235" s="294"/>
      <c r="Q235" s="294"/>
      <c r="R235" s="294"/>
      <c r="S235" s="294"/>
      <c r="T235" s="675"/>
      <c r="U235" s="294"/>
      <c r="V235" s="294"/>
      <c r="W235" s="669"/>
      <c r="X235" s="294"/>
      <c r="Y235" s="294"/>
      <c r="Z235" s="294"/>
      <c r="AA235" s="294"/>
      <c r="AB235" s="675"/>
      <c r="AC235" s="294"/>
      <c r="AD235" s="294"/>
      <c r="AE235" s="669"/>
      <c r="AF235" s="294"/>
      <c r="AG235" s="294"/>
      <c r="AH235" s="294"/>
      <c r="AI235" s="294"/>
      <c r="AJ235" s="294"/>
      <c r="AK235" s="294"/>
      <c r="AL235" s="294"/>
      <c r="AM235" s="294"/>
      <c r="AN235" s="675"/>
      <c r="AO235" s="294"/>
      <c r="AP235" s="294"/>
      <c r="AQ235" s="669"/>
      <c r="AR235" s="675"/>
      <c r="AS235" s="294"/>
      <c r="AT235" s="294"/>
      <c r="AU235" s="669"/>
      <c r="AV235" s="294"/>
      <c r="AW235" s="294"/>
      <c r="AX235" s="294"/>
      <c r="AY235" s="669"/>
      <c r="AZ235" s="294"/>
      <c r="BA235" s="294"/>
      <c r="BB235" s="294"/>
      <c r="BC235" s="669"/>
      <c r="BD235" s="294"/>
      <c r="BE235" s="294"/>
      <c r="BF235" s="294"/>
      <c r="BG235" s="669"/>
      <c r="BH235" s="294"/>
      <c r="BI235" s="294"/>
      <c r="BJ235" s="294"/>
      <c r="BK235" s="669"/>
      <c r="BL235" s="13"/>
      <c r="BM235" s="294"/>
      <c r="BN235" s="294"/>
      <c r="BO235" s="294"/>
      <c r="BP235" s="294"/>
      <c r="BQ235" s="294"/>
      <c r="BR235" s="294"/>
      <c r="BS235" s="294"/>
      <c r="BT235" s="294"/>
      <c r="BU235" s="294"/>
      <c r="BV235" s="294"/>
      <c r="BW235" s="294"/>
      <c r="BX235" s="294"/>
      <c r="CB235" s="13"/>
      <c r="CC235" s="294"/>
      <c r="CD235" s="294"/>
      <c r="CE235" s="294"/>
      <c r="CF235" s="294"/>
      <c r="CG235" s="294"/>
      <c r="CH235" s="294"/>
      <c r="CI235" s="294"/>
      <c r="CJ235" s="294"/>
      <c r="CK235" s="294"/>
      <c r="CL235" s="294"/>
      <c r="CM235" s="294"/>
      <c r="CN235" s="294"/>
      <c r="CO235" s="294"/>
      <c r="CP235" s="294"/>
    </row>
    <row r="236" spans="2:94" s="7" customFormat="1" ht="14.25" customHeight="1">
      <c r="B236" s="43"/>
      <c r="C236" s="282"/>
      <c r="D236" s="294"/>
      <c r="E236" s="294"/>
      <c r="F236" s="294"/>
      <c r="G236" s="294"/>
      <c r="H236" s="294"/>
      <c r="I236" s="294"/>
      <c r="J236" s="294"/>
      <c r="K236" s="294"/>
      <c r="L236" s="675"/>
      <c r="M236" s="294"/>
      <c r="N236" s="294"/>
      <c r="O236" s="669"/>
      <c r="P236" s="294"/>
      <c r="Q236" s="294"/>
      <c r="R236" s="294"/>
      <c r="S236" s="294"/>
      <c r="T236" s="675"/>
      <c r="U236" s="294"/>
      <c r="V236" s="294"/>
      <c r="W236" s="669"/>
      <c r="X236" s="294"/>
      <c r="Y236" s="294"/>
      <c r="Z236" s="294"/>
      <c r="AA236" s="294"/>
      <c r="AB236" s="675"/>
      <c r="AC236" s="294"/>
      <c r="AD236" s="294"/>
      <c r="AE236" s="669"/>
      <c r="AF236" s="294"/>
      <c r="AG236" s="294"/>
      <c r="AH236" s="294"/>
      <c r="AI236" s="294"/>
      <c r="AJ236" s="294"/>
      <c r="AK236" s="294"/>
      <c r="AL236" s="294"/>
      <c r="AM236" s="294"/>
      <c r="AN236" s="675"/>
      <c r="AO236" s="294"/>
      <c r="AP236" s="294"/>
      <c r="AQ236" s="669"/>
      <c r="AR236" s="675"/>
      <c r="AS236" s="294"/>
      <c r="AT236" s="294"/>
      <c r="AU236" s="669"/>
      <c r="AV236" s="294"/>
      <c r="AW236" s="294"/>
      <c r="AX236" s="294"/>
      <c r="AY236" s="669"/>
      <c r="AZ236" s="294"/>
      <c r="BA236" s="294"/>
      <c r="BB236" s="294"/>
      <c r="BC236" s="669"/>
      <c r="BD236" s="294"/>
      <c r="BE236" s="294"/>
      <c r="BF236" s="294"/>
      <c r="BG236" s="669"/>
      <c r="BH236" s="294"/>
      <c r="BI236" s="294"/>
      <c r="BJ236" s="294"/>
      <c r="BK236" s="669"/>
      <c r="BL236" s="13"/>
      <c r="BM236" s="294"/>
      <c r="BN236" s="294"/>
      <c r="BO236" s="294"/>
      <c r="BP236" s="294"/>
      <c r="BQ236" s="294"/>
      <c r="BR236" s="294"/>
      <c r="BS236" s="294"/>
      <c r="BT236" s="294"/>
      <c r="BU236" s="294"/>
      <c r="BV236" s="294"/>
      <c r="BW236" s="294"/>
      <c r="BX236" s="294"/>
      <c r="CB236" s="13"/>
      <c r="CC236" s="294"/>
      <c r="CD236" s="294"/>
      <c r="CE236" s="294"/>
      <c r="CF236" s="294"/>
      <c r="CG236" s="294"/>
      <c r="CH236" s="294"/>
      <c r="CI236" s="294"/>
      <c r="CJ236" s="294"/>
      <c r="CK236" s="294"/>
      <c r="CL236" s="294"/>
      <c r="CM236" s="294"/>
      <c r="CN236" s="294"/>
      <c r="CO236" s="294"/>
      <c r="CP236" s="294"/>
    </row>
    <row r="237" spans="2:94" s="7" customFormat="1" ht="14.25" customHeight="1">
      <c r="B237" s="43"/>
      <c r="C237" s="282"/>
      <c r="D237" s="294"/>
      <c r="E237" s="294"/>
      <c r="F237" s="294"/>
      <c r="G237" s="294"/>
      <c r="H237" s="294"/>
      <c r="I237" s="294"/>
      <c r="J237" s="294"/>
      <c r="K237" s="294"/>
      <c r="L237" s="675"/>
      <c r="M237" s="294"/>
      <c r="N237" s="294"/>
      <c r="O237" s="669"/>
      <c r="P237" s="294"/>
      <c r="Q237" s="294"/>
      <c r="R237" s="294"/>
      <c r="S237" s="294"/>
      <c r="T237" s="675"/>
      <c r="U237" s="294"/>
      <c r="V237" s="294"/>
      <c r="W237" s="669"/>
      <c r="X237" s="294"/>
      <c r="Y237" s="294"/>
      <c r="Z237" s="294"/>
      <c r="AA237" s="294"/>
      <c r="AB237" s="675"/>
      <c r="AC237" s="294"/>
      <c r="AD237" s="294"/>
      <c r="AE237" s="669"/>
      <c r="AF237" s="294"/>
      <c r="AG237" s="294"/>
      <c r="AH237" s="294"/>
      <c r="AI237" s="294"/>
      <c r="AJ237" s="294"/>
      <c r="AK237" s="294"/>
      <c r="AL237" s="294"/>
      <c r="AM237" s="294"/>
      <c r="AN237" s="675"/>
      <c r="AO237" s="294"/>
      <c r="AP237" s="294"/>
      <c r="AQ237" s="669"/>
      <c r="AR237" s="675"/>
      <c r="AS237" s="294"/>
      <c r="AT237" s="294"/>
      <c r="AU237" s="669"/>
      <c r="AV237" s="294"/>
      <c r="AW237" s="294"/>
      <c r="AX237" s="294"/>
      <c r="AY237" s="669"/>
      <c r="AZ237" s="294"/>
      <c r="BA237" s="294"/>
      <c r="BB237" s="294"/>
      <c r="BC237" s="669"/>
      <c r="BD237" s="294"/>
      <c r="BE237" s="294"/>
      <c r="BF237" s="294"/>
      <c r="BG237" s="669"/>
      <c r="BH237" s="294"/>
      <c r="BI237" s="294"/>
      <c r="BJ237" s="294"/>
      <c r="BK237" s="669"/>
      <c r="BL237" s="13"/>
      <c r="BM237" s="294"/>
      <c r="BN237" s="294"/>
      <c r="BO237" s="294"/>
      <c r="BP237" s="294"/>
      <c r="BQ237" s="294"/>
      <c r="BR237" s="294"/>
      <c r="BS237" s="294"/>
      <c r="BT237" s="294"/>
      <c r="BU237" s="294"/>
      <c r="BV237" s="294"/>
      <c r="BW237" s="294"/>
      <c r="BX237" s="294"/>
      <c r="CB237" s="13"/>
      <c r="CC237" s="294"/>
      <c r="CD237" s="294"/>
      <c r="CE237" s="294"/>
      <c r="CF237" s="294"/>
      <c r="CG237" s="294"/>
      <c r="CH237" s="294"/>
      <c r="CI237" s="294"/>
      <c r="CJ237" s="294"/>
      <c r="CK237" s="294"/>
      <c r="CL237" s="294"/>
      <c r="CM237" s="294"/>
      <c r="CN237" s="294"/>
      <c r="CO237" s="294"/>
      <c r="CP237" s="294"/>
    </row>
    <row r="238" spans="2:94" s="7" customFormat="1" ht="14.25" customHeight="1">
      <c r="B238" s="406"/>
      <c r="C238" s="284"/>
      <c r="D238" s="673"/>
      <c r="E238" s="673"/>
      <c r="F238" s="673"/>
      <c r="G238" s="673"/>
      <c r="H238" s="673"/>
      <c r="I238" s="673"/>
      <c r="J238" s="673"/>
      <c r="K238" s="673"/>
      <c r="L238" s="678"/>
      <c r="M238" s="673"/>
      <c r="N238" s="673"/>
      <c r="O238" s="674"/>
      <c r="P238" s="673"/>
      <c r="Q238" s="673"/>
      <c r="R238" s="673"/>
      <c r="S238" s="673"/>
      <c r="T238" s="678"/>
      <c r="U238" s="673"/>
      <c r="V238" s="673"/>
      <c r="W238" s="674"/>
      <c r="X238" s="673"/>
      <c r="Y238" s="673"/>
      <c r="Z238" s="673"/>
      <c r="AA238" s="673"/>
      <c r="AB238" s="678"/>
      <c r="AC238" s="673"/>
      <c r="AD238" s="673"/>
      <c r="AE238" s="674"/>
      <c r="AF238" s="673"/>
      <c r="AG238" s="673"/>
      <c r="AH238" s="673"/>
      <c r="AI238" s="673"/>
      <c r="AJ238" s="673"/>
      <c r="AK238" s="673"/>
      <c r="AL238" s="673"/>
      <c r="AM238" s="673"/>
      <c r="AN238" s="678"/>
      <c r="AO238" s="673"/>
      <c r="AP238" s="673"/>
      <c r="AQ238" s="674"/>
      <c r="AR238" s="678"/>
      <c r="AS238" s="673"/>
      <c r="AT238" s="673"/>
      <c r="AU238" s="674"/>
      <c r="AV238" s="673"/>
      <c r="AW238" s="673"/>
      <c r="AX238" s="673"/>
      <c r="AY238" s="674"/>
      <c r="AZ238" s="673"/>
      <c r="BA238" s="673"/>
      <c r="BB238" s="673"/>
      <c r="BC238" s="674"/>
      <c r="BD238" s="673"/>
      <c r="BE238" s="673"/>
      <c r="BF238" s="673"/>
      <c r="BG238" s="674"/>
      <c r="BH238" s="673"/>
      <c r="BI238" s="673"/>
      <c r="BJ238" s="673"/>
      <c r="BK238" s="674"/>
      <c r="BL238" s="13"/>
      <c r="BM238" s="294"/>
      <c r="BN238" s="294"/>
      <c r="BO238" s="294"/>
      <c r="BP238" s="294"/>
      <c r="BQ238" s="294"/>
      <c r="BR238" s="294"/>
      <c r="BS238" s="294"/>
      <c r="BT238" s="294"/>
      <c r="BU238" s="294"/>
      <c r="BV238" s="294"/>
      <c r="BW238" s="294"/>
      <c r="BX238" s="294"/>
      <c r="CB238" s="13"/>
      <c r="CC238" s="294"/>
      <c r="CD238" s="294"/>
      <c r="CE238" s="294"/>
      <c r="CF238" s="294"/>
      <c r="CG238" s="294"/>
      <c r="CH238" s="294"/>
      <c r="CI238" s="294"/>
      <c r="CJ238" s="294"/>
      <c r="CK238" s="294"/>
      <c r="CL238" s="294"/>
      <c r="CM238" s="294"/>
      <c r="CN238" s="294"/>
      <c r="CO238" s="294"/>
      <c r="CP238" s="294"/>
    </row>
    <row r="239" spans="2:94" s="7" customFormat="1" ht="14.25" customHeight="1">
      <c r="B239" s="409"/>
      <c r="C239" s="282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94"/>
      <c r="AI239" s="294"/>
      <c r="AJ239" s="294"/>
      <c r="AK239" s="294"/>
      <c r="AL239" s="294"/>
      <c r="AM239" s="294"/>
      <c r="AN239" s="294"/>
      <c r="AO239" s="294"/>
      <c r="AP239" s="294"/>
      <c r="AQ239" s="294"/>
      <c r="AR239" s="294"/>
      <c r="AS239" s="294"/>
      <c r="AT239" s="294"/>
      <c r="AU239" s="294"/>
      <c r="AV239" s="294"/>
      <c r="AW239" s="294"/>
      <c r="AX239" s="294"/>
      <c r="AY239" s="294"/>
      <c r="AZ239" s="294"/>
      <c r="BA239" s="294"/>
      <c r="BB239" s="294"/>
      <c r="BC239" s="294"/>
      <c r="BD239" s="294"/>
      <c r="BE239" s="294"/>
      <c r="BF239" s="294"/>
      <c r="BG239" s="294"/>
      <c r="BH239" s="294"/>
      <c r="BI239" s="294"/>
      <c r="BJ239" s="294"/>
      <c r="BK239" s="294"/>
      <c r="BL239" s="13"/>
      <c r="BM239" s="294"/>
      <c r="BN239" s="294"/>
      <c r="BO239" s="294"/>
      <c r="BP239" s="294"/>
      <c r="BQ239" s="294"/>
      <c r="BR239" s="294"/>
      <c r="BS239" s="294"/>
      <c r="BT239" s="294"/>
      <c r="BU239" s="294"/>
      <c r="BV239" s="294"/>
      <c r="BW239" s="294"/>
      <c r="BX239" s="294"/>
      <c r="CB239" s="13"/>
      <c r="CC239" s="294"/>
      <c r="CD239" s="294"/>
      <c r="CE239" s="294"/>
      <c r="CF239" s="294"/>
      <c r="CG239" s="294"/>
      <c r="CH239" s="294"/>
      <c r="CI239" s="294"/>
      <c r="CJ239" s="294"/>
      <c r="CK239" s="294"/>
      <c r="CL239" s="294"/>
      <c r="CM239" s="294"/>
      <c r="CN239" s="294"/>
      <c r="CO239" s="294"/>
      <c r="CP239" s="294"/>
    </row>
    <row r="240" spans="2:94" s="7" customFormat="1" ht="14.25" customHeight="1">
      <c r="B240" s="409"/>
      <c r="C240" s="282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  <c r="AF240" s="294"/>
      <c r="AG240" s="294"/>
      <c r="AH240" s="294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/>
      <c r="AS240" s="294"/>
      <c r="AT240" s="294"/>
      <c r="AU240" s="294"/>
      <c r="AV240" s="294"/>
      <c r="AW240" s="294"/>
      <c r="AX240" s="294"/>
      <c r="AY240" s="294"/>
      <c r="AZ240" s="294"/>
      <c r="BA240" s="294"/>
      <c r="BB240" s="294"/>
      <c r="BC240" s="294"/>
      <c r="BD240" s="294"/>
      <c r="BE240" s="294"/>
      <c r="BF240" s="294"/>
      <c r="BG240" s="294"/>
      <c r="BH240" s="294"/>
      <c r="BI240" s="294"/>
      <c r="BJ240" s="294"/>
      <c r="BK240" s="294"/>
      <c r="BL240" s="13"/>
      <c r="BM240" s="294"/>
      <c r="BN240" s="294"/>
      <c r="BO240" s="294"/>
      <c r="BP240" s="294"/>
      <c r="BQ240" s="294"/>
      <c r="BR240" s="294"/>
      <c r="BS240" s="294"/>
      <c r="BT240" s="294"/>
      <c r="BU240" s="294"/>
      <c r="BV240" s="294"/>
      <c r="BW240" s="294"/>
      <c r="BX240" s="294"/>
      <c r="CB240" s="13"/>
      <c r="CC240" s="294"/>
      <c r="CD240" s="294"/>
      <c r="CE240" s="294"/>
      <c r="CF240" s="294"/>
      <c r="CG240" s="294"/>
      <c r="CH240" s="294"/>
      <c r="CI240" s="294"/>
      <c r="CJ240" s="294"/>
      <c r="CK240" s="294"/>
      <c r="CL240" s="294"/>
      <c r="CM240" s="294"/>
      <c r="CN240" s="294"/>
      <c r="CO240" s="294"/>
      <c r="CP240" s="294"/>
    </row>
    <row r="241" spans="2:94" s="7" customFormat="1" ht="14.25" customHeight="1">
      <c r="B241" s="409"/>
      <c r="C241" s="282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4"/>
      <c r="AG241" s="294"/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4"/>
      <c r="AV241" s="294"/>
      <c r="AW241" s="294"/>
      <c r="AX241" s="294"/>
      <c r="AY241" s="294"/>
      <c r="AZ241" s="294"/>
      <c r="BA241" s="294"/>
      <c r="BB241" s="294"/>
      <c r="BC241" s="294"/>
      <c r="BD241" s="294"/>
      <c r="BE241" s="294"/>
      <c r="BF241" s="294"/>
      <c r="BG241" s="294"/>
      <c r="BH241" s="294"/>
      <c r="BI241" s="294"/>
      <c r="BJ241" s="294"/>
      <c r="BK241" s="294"/>
      <c r="BL241" s="13"/>
      <c r="BM241" s="294"/>
      <c r="BN241" s="294"/>
      <c r="BO241" s="294"/>
      <c r="BP241" s="294"/>
      <c r="BQ241" s="294"/>
      <c r="BR241" s="294"/>
      <c r="BS241" s="294"/>
      <c r="BT241" s="294"/>
      <c r="BU241" s="294"/>
      <c r="BV241" s="294"/>
      <c r="BW241" s="294"/>
      <c r="BX241" s="294"/>
      <c r="CB241" s="13"/>
      <c r="CC241" s="294"/>
      <c r="CD241" s="294"/>
      <c r="CE241" s="294"/>
      <c r="CF241" s="294"/>
      <c r="CG241" s="294"/>
      <c r="CH241" s="294"/>
      <c r="CI241" s="294"/>
      <c r="CJ241" s="294"/>
      <c r="CK241" s="294"/>
      <c r="CL241" s="294"/>
      <c r="CM241" s="294"/>
      <c r="CN241" s="294"/>
      <c r="CO241" s="294"/>
      <c r="CP241" s="294"/>
    </row>
    <row r="242" spans="2:94" s="7" customFormat="1" ht="14.25" customHeight="1">
      <c r="B242" s="409"/>
      <c r="C242" s="282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  <c r="AF242" s="294"/>
      <c r="AG242" s="294"/>
      <c r="AH242" s="294"/>
      <c r="AI242" s="294"/>
      <c r="AJ242" s="294"/>
      <c r="AK242" s="294"/>
      <c r="AL242" s="294"/>
      <c r="AM242" s="294"/>
      <c r="AN242" s="294"/>
      <c r="AO242" s="294"/>
      <c r="AP242" s="294"/>
      <c r="AQ242" s="294"/>
      <c r="AR242" s="294"/>
      <c r="AS242" s="294"/>
      <c r="AT242" s="294"/>
      <c r="AU242" s="294"/>
      <c r="AV242" s="294"/>
      <c r="AW242" s="294"/>
      <c r="AX242" s="294"/>
      <c r="AY242" s="294"/>
      <c r="AZ242" s="294"/>
      <c r="BA242" s="294"/>
      <c r="BB242" s="294"/>
      <c r="BC242" s="294"/>
      <c r="BD242" s="294"/>
      <c r="BE242" s="294"/>
      <c r="BF242" s="294"/>
      <c r="BG242" s="294"/>
      <c r="BH242" s="294"/>
      <c r="BI242" s="294"/>
      <c r="BJ242" s="294"/>
      <c r="BK242" s="294"/>
      <c r="BL242" s="13"/>
      <c r="BM242" s="294"/>
      <c r="BN242" s="294"/>
      <c r="BO242" s="294"/>
      <c r="BP242" s="294"/>
      <c r="BQ242" s="294"/>
      <c r="BR242" s="294"/>
      <c r="BS242" s="294"/>
      <c r="BT242" s="294"/>
      <c r="BU242" s="294"/>
      <c r="BV242" s="294"/>
      <c r="BW242" s="294"/>
      <c r="BX242" s="294"/>
      <c r="CB242" s="13"/>
      <c r="CC242" s="294"/>
      <c r="CD242" s="294"/>
      <c r="CE242" s="294"/>
      <c r="CF242" s="294"/>
      <c r="CG242" s="294"/>
      <c r="CH242" s="294"/>
      <c r="CI242" s="294"/>
      <c r="CJ242" s="294"/>
      <c r="CK242" s="294"/>
      <c r="CL242" s="294"/>
      <c r="CM242" s="294"/>
      <c r="CN242" s="294"/>
      <c r="CO242" s="294"/>
      <c r="CP242" s="294"/>
    </row>
    <row r="243" spans="2:94" s="7" customFormat="1" ht="14.25" customHeight="1">
      <c r="B243" s="409"/>
      <c r="C243" s="282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  <c r="AF243" s="294"/>
      <c r="AG243" s="294"/>
      <c r="AH243" s="294"/>
      <c r="AI243" s="294"/>
      <c r="AJ243" s="294"/>
      <c r="AK243" s="294"/>
      <c r="AL243" s="294"/>
      <c r="AM243" s="294"/>
      <c r="AN243" s="294"/>
      <c r="AO243" s="294"/>
      <c r="AP243" s="294"/>
      <c r="AQ243" s="294"/>
      <c r="AR243" s="294"/>
      <c r="AS243" s="294"/>
      <c r="AT243" s="294"/>
      <c r="AU243" s="294"/>
      <c r="AV243" s="294"/>
      <c r="AW243" s="294"/>
      <c r="AX243" s="294"/>
      <c r="AY243" s="294"/>
      <c r="AZ243" s="294"/>
      <c r="BA243" s="294"/>
      <c r="BB243" s="294"/>
      <c r="BC243" s="294"/>
      <c r="BD243" s="294"/>
      <c r="BE243" s="294"/>
      <c r="BF243" s="294"/>
      <c r="BG243" s="294"/>
      <c r="BH243" s="294"/>
      <c r="BI243" s="294"/>
      <c r="BJ243" s="294"/>
      <c r="BK243" s="294"/>
      <c r="BL243" s="13"/>
      <c r="BM243" s="294"/>
      <c r="BN243" s="294"/>
      <c r="BO243" s="294"/>
      <c r="BP243" s="294"/>
      <c r="BQ243" s="294"/>
      <c r="BR243" s="294"/>
      <c r="BS243" s="294"/>
      <c r="BT243" s="294"/>
      <c r="BU243" s="294"/>
      <c r="BV243" s="294"/>
      <c r="BW243" s="294"/>
      <c r="BX243" s="294"/>
      <c r="CB243" s="13"/>
      <c r="CC243" s="294"/>
      <c r="CD243" s="294"/>
      <c r="CE243" s="294"/>
      <c r="CF243" s="294"/>
      <c r="CG243" s="294"/>
      <c r="CH243" s="294"/>
      <c r="CI243" s="294"/>
      <c r="CJ243" s="294"/>
      <c r="CK243" s="294"/>
      <c r="CL243" s="294"/>
      <c r="CM243" s="294"/>
      <c r="CN243" s="294"/>
      <c r="CO243" s="294"/>
      <c r="CP243" s="294"/>
    </row>
    <row r="244" spans="2:94" s="7" customFormat="1" ht="14.25" customHeight="1">
      <c r="B244" s="409"/>
      <c r="C244" s="282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  <c r="AF244" s="294"/>
      <c r="AG244" s="294"/>
      <c r="AH244" s="294"/>
      <c r="AI244" s="294"/>
      <c r="AJ244" s="294"/>
      <c r="AK244" s="294"/>
      <c r="AL244" s="294"/>
      <c r="AM244" s="294"/>
      <c r="AN244" s="294"/>
      <c r="AO244" s="294"/>
      <c r="AP244" s="294"/>
      <c r="AQ244" s="294"/>
      <c r="AR244" s="294"/>
      <c r="AS244" s="294"/>
      <c r="AT244" s="294"/>
      <c r="AU244" s="294"/>
      <c r="AV244" s="294"/>
      <c r="AW244" s="294"/>
      <c r="AX244" s="294"/>
      <c r="AY244" s="294"/>
      <c r="AZ244" s="294"/>
      <c r="BA244" s="294"/>
      <c r="BB244" s="294"/>
      <c r="BC244" s="294"/>
      <c r="BD244" s="294"/>
      <c r="BE244" s="294"/>
      <c r="BF244" s="294"/>
      <c r="BG244" s="294"/>
      <c r="BH244" s="294"/>
      <c r="BI244" s="294"/>
      <c r="BJ244" s="294"/>
      <c r="BK244" s="294"/>
      <c r="BL244" s="13"/>
      <c r="BM244" s="294"/>
      <c r="BN244" s="294"/>
      <c r="BO244" s="294"/>
      <c r="BP244" s="294"/>
      <c r="BQ244" s="294"/>
      <c r="BR244" s="294"/>
      <c r="BS244" s="294"/>
      <c r="BT244" s="294"/>
      <c r="BU244" s="294"/>
      <c r="BV244" s="294"/>
      <c r="BW244" s="294"/>
      <c r="BX244" s="294"/>
      <c r="CB244" s="13"/>
      <c r="CC244" s="294"/>
      <c r="CD244" s="294"/>
      <c r="CE244" s="294"/>
      <c r="CF244" s="294"/>
      <c r="CG244" s="294"/>
      <c r="CH244" s="294"/>
      <c r="CI244" s="294"/>
      <c r="CJ244" s="294"/>
      <c r="CK244" s="294"/>
      <c r="CL244" s="294"/>
      <c r="CM244" s="294"/>
      <c r="CN244" s="294"/>
      <c r="CO244" s="294"/>
      <c r="CP244" s="294"/>
    </row>
    <row r="245" spans="2:94" s="7" customFormat="1" ht="14.25" customHeight="1">
      <c r="B245" s="409"/>
      <c r="C245" s="282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  <c r="AF245" s="294"/>
      <c r="AG245" s="294"/>
      <c r="AH245" s="294"/>
      <c r="AI245" s="294"/>
      <c r="AJ245" s="294"/>
      <c r="AK245" s="294"/>
      <c r="AL245" s="294"/>
      <c r="AM245" s="294"/>
      <c r="AN245" s="294"/>
      <c r="AO245" s="294"/>
      <c r="AP245" s="294"/>
      <c r="AQ245" s="294"/>
      <c r="AR245" s="294"/>
      <c r="AS245" s="294"/>
      <c r="AT245" s="294"/>
      <c r="AU245" s="294"/>
      <c r="AV245" s="294"/>
      <c r="AW245" s="294"/>
      <c r="AX245" s="294"/>
      <c r="AY245" s="294"/>
      <c r="AZ245" s="294"/>
      <c r="BA245" s="294"/>
      <c r="BB245" s="294"/>
      <c r="BC245" s="294"/>
      <c r="BD245" s="294"/>
      <c r="BE245" s="294"/>
      <c r="BF245" s="294"/>
      <c r="BG245" s="294"/>
      <c r="BH245" s="294"/>
      <c r="BI245" s="294"/>
      <c r="BJ245" s="294"/>
      <c r="BK245" s="294"/>
      <c r="BL245" s="13"/>
      <c r="BM245" s="294"/>
      <c r="BN245" s="294"/>
      <c r="BO245" s="294"/>
      <c r="BP245" s="294"/>
      <c r="BQ245" s="294"/>
      <c r="BR245" s="294"/>
      <c r="BS245" s="294"/>
      <c r="BT245" s="294"/>
      <c r="BU245" s="294"/>
      <c r="BV245" s="294"/>
      <c r="BW245" s="294"/>
      <c r="BX245" s="294"/>
      <c r="CB245" s="13"/>
      <c r="CC245" s="294"/>
      <c r="CD245" s="294"/>
      <c r="CE245" s="294"/>
      <c r="CF245" s="294"/>
      <c r="CG245" s="294"/>
      <c r="CH245" s="294"/>
      <c r="CI245" s="294"/>
      <c r="CJ245" s="294"/>
      <c r="CK245" s="294"/>
      <c r="CL245" s="294"/>
      <c r="CM245" s="294"/>
      <c r="CN245" s="294"/>
      <c r="CO245" s="294"/>
      <c r="CP245" s="294"/>
    </row>
    <row r="246" spans="2:94" s="7" customFormat="1" ht="14.25" customHeight="1">
      <c r="B246" s="409"/>
      <c r="C246" s="282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  <c r="AF246" s="294"/>
      <c r="AG246" s="294"/>
      <c r="AH246" s="294"/>
      <c r="AI246" s="294"/>
      <c r="AJ246" s="294"/>
      <c r="AK246" s="294"/>
      <c r="AL246" s="294"/>
      <c r="AM246" s="294"/>
      <c r="AN246" s="294"/>
      <c r="AO246" s="294"/>
      <c r="AP246" s="294"/>
      <c r="AQ246" s="294"/>
      <c r="AR246" s="294"/>
      <c r="AS246" s="294"/>
      <c r="AT246" s="294"/>
      <c r="AU246" s="294"/>
      <c r="AV246" s="294"/>
      <c r="AW246" s="294"/>
      <c r="AX246" s="294"/>
      <c r="AY246" s="294"/>
      <c r="AZ246" s="294"/>
      <c r="BA246" s="294"/>
      <c r="BB246" s="294"/>
      <c r="BC246" s="294"/>
      <c r="BD246" s="294"/>
      <c r="BE246" s="294"/>
      <c r="BF246" s="294"/>
      <c r="BG246" s="294"/>
      <c r="BH246" s="294"/>
      <c r="BI246" s="294"/>
      <c r="BJ246" s="294"/>
      <c r="BK246" s="294"/>
      <c r="BL246" s="13"/>
      <c r="BM246" s="294"/>
      <c r="BN246" s="294"/>
      <c r="BO246" s="294"/>
      <c r="BP246" s="294"/>
      <c r="BQ246" s="294"/>
      <c r="BR246" s="294"/>
      <c r="BS246" s="294"/>
      <c r="BT246" s="294"/>
      <c r="BU246" s="294"/>
      <c r="BV246" s="294"/>
      <c r="BW246" s="294"/>
      <c r="BX246" s="294"/>
      <c r="CB246" s="13"/>
      <c r="CC246" s="294"/>
      <c r="CD246" s="294"/>
      <c r="CE246" s="294"/>
      <c r="CF246" s="294"/>
      <c r="CG246" s="294"/>
      <c r="CH246" s="294"/>
      <c r="CI246" s="294"/>
      <c r="CJ246" s="294"/>
      <c r="CK246" s="294"/>
      <c r="CL246" s="294"/>
      <c r="CM246" s="294"/>
      <c r="CN246" s="294"/>
      <c r="CO246" s="294"/>
      <c r="CP246" s="294"/>
    </row>
    <row r="247" spans="2:94" s="7" customFormat="1" ht="14.25" customHeight="1">
      <c r="B247" s="409"/>
      <c r="C247" s="282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  <c r="AF247" s="294"/>
      <c r="AG247" s="294"/>
      <c r="AH247" s="294"/>
      <c r="AI247" s="294"/>
      <c r="AJ247" s="294"/>
      <c r="AK247" s="294"/>
      <c r="AL247" s="294"/>
      <c r="AM247" s="294"/>
      <c r="AN247" s="294"/>
      <c r="AO247" s="294"/>
      <c r="AP247" s="294"/>
      <c r="AQ247" s="294"/>
      <c r="AR247" s="294"/>
      <c r="AS247" s="294"/>
      <c r="AT247" s="294"/>
      <c r="AU247" s="294"/>
      <c r="AV247" s="294"/>
      <c r="AW247" s="294"/>
      <c r="AX247" s="294"/>
      <c r="AY247" s="294"/>
      <c r="AZ247" s="294"/>
      <c r="BA247" s="294"/>
      <c r="BB247" s="294"/>
      <c r="BC247" s="294"/>
      <c r="BD247" s="294"/>
      <c r="BE247" s="294"/>
      <c r="BF247" s="294"/>
      <c r="BG247" s="294"/>
      <c r="BH247" s="294"/>
      <c r="BI247" s="294"/>
      <c r="BJ247" s="294"/>
      <c r="BK247" s="294"/>
      <c r="BL247" s="13"/>
      <c r="BM247" s="294"/>
      <c r="BN247" s="294"/>
      <c r="BO247" s="294"/>
      <c r="BP247" s="294"/>
      <c r="BQ247" s="294"/>
      <c r="BR247" s="294"/>
      <c r="BS247" s="294"/>
      <c r="BT247" s="294"/>
      <c r="BU247" s="294"/>
      <c r="BV247" s="294"/>
      <c r="BW247" s="294"/>
      <c r="BX247" s="294"/>
      <c r="CB247" s="13"/>
      <c r="CC247" s="294"/>
      <c r="CD247" s="294"/>
      <c r="CE247" s="294"/>
      <c r="CF247" s="294"/>
      <c r="CG247" s="294"/>
      <c r="CH247" s="294"/>
      <c r="CI247" s="294"/>
      <c r="CJ247" s="294"/>
      <c r="CK247" s="294"/>
      <c r="CL247" s="294"/>
      <c r="CM247" s="294"/>
      <c r="CN247" s="294"/>
      <c r="CO247" s="294"/>
      <c r="CP247" s="294"/>
    </row>
    <row r="248" spans="2:94" s="7" customFormat="1" ht="14.25" customHeight="1">
      <c r="B248" s="409"/>
      <c r="C248" s="282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  <c r="AF248" s="294"/>
      <c r="AG248" s="294"/>
      <c r="AH248" s="294"/>
      <c r="AI248" s="294"/>
      <c r="AJ248" s="294"/>
      <c r="AK248" s="294"/>
      <c r="AL248" s="294"/>
      <c r="AM248" s="294"/>
      <c r="AN248" s="294"/>
      <c r="AO248" s="294"/>
      <c r="AP248" s="294"/>
      <c r="AQ248" s="294"/>
      <c r="AR248" s="294"/>
      <c r="AS248" s="294"/>
      <c r="AT248" s="294"/>
      <c r="AU248" s="294"/>
      <c r="AV248" s="294"/>
      <c r="AW248" s="294"/>
      <c r="AX248" s="294"/>
      <c r="AY248" s="294"/>
      <c r="AZ248" s="294"/>
      <c r="BA248" s="294"/>
      <c r="BB248" s="294"/>
      <c r="BC248" s="294"/>
      <c r="BD248" s="294"/>
      <c r="BE248" s="294"/>
      <c r="BF248" s="294"/>
      <c r="BG248" s="294"/>
      <c r="BH248" s="294"/>
      <c r="BI248" s="294"/>
      <c r="BJ248" s="294"/>
      <c r="BK248" s="294"/>
      <c r="BL248" s="13"/>
      <c r="BM248" s="294"/>
      <c r="BN248" s="294"/>
      <c r="BO248" s="294"/>
      <c r="BP248" s="294"/>
      <c r="BQ248" s="294"/>
      <c r="BR248" s="294"/>
      <c r="BS248" s="294"/>
      <c r="BT248" s="294"/>
      <c r="BU248" s="294"/>
      <c r="BV248" s="294"/>
      <c r="BW248" s="294"/>
      <c r="BX248" s="294"/>
      <c r="CB248" s="13"/>
      <c r="CC248" s="294"/>
      <c r="CD248" s="294"/>
      <c r="CE248" s="294"/>
      <c r="CF248" s="294"/>
      <c r="CG248" s="294"/>
      <c r="CH248" s="294"/>
      <c r="CI248" s="294"/>
      <c r="CJ248" s="294"/>
      <c r="CK248" s="294"/>
      <c r="CL248" s="294"/>
      <c r="CM248" s="294"/>
      <c r="CN248" s="294"/>
      <c r="CO248" s="294"/>
      <c r="CP248" s="294"/>
    </row>
    <row r="249" spans="2:94" s="7" customFormat="1" ht="14.25" customHeight="1">
      <c r="B249" s="409"/>
      <c r="C249" s="282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  <c r="AF249" s="294"/>
      <c r="AG249" s="294"/>
      <c r="AH249" s="294"/>
      <c r="AI249" s="294"/>
      <c r="AJ249" s="294"/>
      <c r="AK249" s="294"/>
      <c r="AL249" s="294"/>
      <c r="AM249" s="294"/>
      <c r="AN249" s="294"/>
      <c r="AO249" s="294"/>
      <c r="AP249" s="294"/>
      <c r="AQ249" s="294"/>
      <c r="AR249" s="294"/>
      <c r="AS249" s="294"/>
      <c r="AT249" s="294"/>
      <c r="AU249" s="294"/>
      <c r="AV249" s="294"/>
      <c r="AW249" s="294"/>
      <c r="AX249" s="294"/>
      <c r="AY249" s="294"/>
      <c r="AZ249" s="294"/>
      <c r="BA249" s="294"/>
      <c r="BB249" s="294"/>
      <c r="BC249" s="294"/>
      <c r="BD249" s="294"/>
      <c r="BE249" s="294"/>
      <c r="BF249" s="294"/>
      <c r="BG249" s="294"/>
      <c r="BH249" s="294"/>
      <c r="BI249" s="294"/>
      <c r="BJ249" s="294"/>
      <c r="BK249" s="294"/>
      <c r="BL249" s="13"/>
      <c r="BM249" s="294"/>
      <c r="BN249" s="294"/>
      <c r="BO249" s="294"/>
      <c r="BP249" s="294"/>
      <c r="BQ249" s="294"/>
      <c r="BR249" s="294"/>
      <c r="BS249" s="294"/>
      <c r="BT249" s="294"/>
      <c r="BU249" s="294"/>
      <c r="BV249" s="294"/>
      <c r="BW249" s="294"/>
      <c r="BX249" s="294"/>
      <c r="CB249" s="13"/>
      <c r="CC249" s="294"/>
      <c r="CD249" s="294"/>
      <c r="CE249" s="294"/>
      <c r="CF249" s="294"/>
      <c r="CG249" s="294"/>
      <c r="CH249" s="294"/>
      <c r="CI249" s="294"/>
      <c r="CJ249" s="294"/>
      <c r="CK249" s="294"/>
      <c r="CL249" s="294"/>
      <c r="CM249" s="294"/>
      <c r="CN249" s="294"/>
      <c r="CO249" s="294"/>
      <c r="CP249" s="294"/>
    </row>
    <row r="250" spans="2:94" s="7" customFormat="1" ht="14.25" customHeight="1">
      <c r="B250" s="409"/>
      <c r="C250" s="282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  <c r="AF250" s="294"/>
      <c r="AG250" s="294"/>
      <c r="AH250" s="294"/>
      <c r="AI250" s="294"/>
      <c r="AJ250" s="294"/>
      <c r="AK250" s="294"/>
      <c r="AL250" s="294"/>
      <c r="AM250" s="294"/>
      <c r="AN250" s="294"/>
      <c r="AO250" s="294"/>
      <c r="AP250" s="294"/>
      <c r="AQ250" s="294"/>
      <c r="AR250" s="294"/>
      <c r="AS250" s="294"/>
      <c r="AT250" s="294"/>
      <c r="AU250" s="294"/>
      <c r="AV250" s="294"/>
      <c r="AW250" s="294"/>
      <c r="AX250" s="294"/>
      <c r="AY250" s="294"/>
      <c r="AZ250" s="294"/>
      <c r="BA250" s="294"/>
      <c r="BB250" s="294"/>
      <c r="BC250" s="294"/>
      <c r="BD250" s="294"/>
      <c r="BE250" s="294"/>
      <c r="BF250" s="294"/>
      <c r="BG250" s="294"/>
      <c r="BH250" s="294"/>
      <c r="BI250" s="294"/>
      <c r="BJ250" s="294"/>
      <c r="BK250" s="294"/>
      <c r="BL250" s="13"/>
      <c r="BM250" s="294"/>
      <c r="BN250" s="294"/>
      <c r="BO250" s="294"/>
      <c r="BP250" s="294"/>
      <c r="BQ250" s="294"/>
      <c r="BR250" s="294"/>
      <c r="BS250" s="294"/>
      <c r="BT250" s="294"/>
      <c r="BU250" s="294"/>
      <c r="BV250" s="294"/>
      <c r="BW250" s="294"/>
      <c r="BX250" s="294"/>
      <c r="CB250" s="13"/>
      <c r="CC250" s="294"/>
      <c r="CD250" s="294"/>
      <c r="CE250" s="294"/>
      <c r="CF250" s="294"/>
      <c r="CG250" s="294"/>
      <c r="CH250" s="294"/>
      <c r="CI250" s="294"/>
      <c r="CJ250" s="294"/>
      <c r="CK250" s="294"/>
      <c r="CL250" s="294"/>
      <c r="CM250" s="294"/>
      <c r="CN250" s="294"/>
      <c r="CO250" s="294"/>
      <c r="CP250" s="294"/>
    </row>
    <row r="251" spans="2:94" s="7" customFormat="1" ht="14.25" customHeight="1">
      <c r="B251" s="409"/>
      <c r="C251" s="282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  <c r="AF251" s="294"/>
      <c r="AG251" s="294"/>
      <c r="AH251" s="294"/>
      <c r="AI251" s="294"/>
      <c r="AJ251" s="294"/>
      <c r="AK251" s="294"/>
      <c r="AL251" s="294"/>
      <c r="AM251" s="294"/>
      <c r="AN251" s="294"/>
      <c r="AO251" s="294"/>
      <c r="AP251" s="294"/>
      <c r="AQ251" s="294"/>
      <c r="AR251" s="294"/>
      <c r="AS251" s="294"/>
      <c r="AT251" s="294"/>
      <c r="AU251" s="294"/>
      <c r="AV251" s="294"/>
      <c r="AW251" s="294"/>
      <c r="AX251" s="294"/>
      <c r="AY251" s="294"/>
      <c r="AZ251" s="294"/>
      <c r="BA251" s="294"/>
      <c r="BB251" s="294"/>
      <c r="BC251" s="294"/>
      <c r="BD251" s="294"/>
      <c r="BE251" s="294"/>
      <c r="BF251" s="294"/>
      <c r="BG251" s="294"/>
      <c r="BH251" s="294"/>
      <c r="BI251" s="294"/>
      <c r="BJ251" s="294"/>
      <c r="BK251" s="294"/>
      <c r="BL251" s="13"/>
      <c r="BM251" s="294"/>
      <c r="BN251" s="294"/>
      <c r="BO251" s="294"/>
      <c r="BP251" s="294"/>
      <c r="BQ251" s="294"/>
      <c r="BR251" s="294"/>
      <c r="BS251" s="294"/>
      <c r="BT251" s="294"/>
      <c r="BU251" s="294"/>
      <c r="BV251" s="294"/>
      <c r="BW251" s="294"/>
      <c r="BX251" s="294"/>
      <c r="CB251" s="13"/>
      <c r="CC251" s="294"/>
      <c r="CD251" s="294"/>
      <c r="CE251" s="294"/>
      <c r="CF251" s="294"/>
      <c r="CG251" s="294"/>
      <c r="CH251" s="294"/>
      <c r="CI251" s="294"/>
      <c r="CJ251" s="294"/>
      <c r="CK251" s="294"/>
      <c r="CL251" s="294"/>
      <c r="CM251" s="294"/>
      <c r="CN251" s="294"/>
      <c r="CO251" s="294"/>
      <c r="CP251" s="294"/>
    </row>
    <row r="252" spans="2:94" s="7" customFormat="1" ht="14.25" customHeight="1">
      <c r="B252" s="409"/>
      <c r="C252" s="282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  <c r="AF252" s="294"/>
      <c r="AG252" s="294"/>
      <c r="AH252" s="294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/>
      <c r="AS252" s="294"/>
      <c r="AT252" s="294"/>
      <c r="AU252" s="294"/>
      <c r="AV252" s="294"/>
      <c r="AW252" s="294"/>
      <c r="AX252" s="294"/>
      <c r="AY252" s="294"/>
      <c r="AZ252" s="294"/>
      <c r="BA252" s="294"/>
      <c r="BB252" s="294"/>
      <c r="BC252" s="294"/>
      <c r="BD252" s="294"/>
      <c r="BE252" s="294"/>
      <c r="BF252" s="294"/>
      <c r="BG252" s="294"/>
      <c r="BH252" s="294"/>
      <c r="BI252" s="294"/>
      <c r="BJ252" s="294"/>
      <c r="BK252" s="294"/>
      <c r="BL252" s="13"/>
      <c r="BM252" s="294"/>
      <c r="BN252" s="294"/>
      <c r="BO252" s="294"/>
      <c r="BP252" s="294"/>
      <c r="BQ252" s="294"/>
      <c r="BR252" s="294"/>
      <c r="BS252" s="294"/>
      <c r="BT252" s="294"/>
      <c r="BU252" s="294"/>
      <c r="BV252" s="294"/>
      <c r="BW252" s="294"/>
      <c r="BX252" s="294"/>
      <c r="CB252" s="13"/>
      <c r="CC252" s="294"/>
      <c r="CD252" s="294"/>
      <c r="CE252" s="294"/>
      <c r="CF252" s="294"/>
      <c r="CG252" s="294"/>
      <c r="CH252" s="294"/>
      <c r="CI252" s="294"/>
      <c r="CJ252" s="294"/>
      <c r="CK252" s="294"/>
      <c r="CL252" s="294"/>
      <c r="CM252" s="294"/>
      <c r="CN252" s="294"/>
      <c r="CO252" s="294"/>
      <c r="CP252" s="294"/>
    </row>
    <row r="253" spans="2:94" s="7" customFormat="1" ht="14.25" customHeight="1">
      <c r="B253" s="409"/>
      <c r="C253" s="282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  <c r="AF253" s="294"/>
      <c r="AG253" s="294"/>
      <c r="AH253" s="294"/>
      <c r="AI253" s="294"/>
      <c r="AJ253" s="294"/>
      <c r="AK253" s="294"/>
      <c r="AL253" s="294"/>
      <c r="AM253" s="294"/>
      <c r="AN253" s="294"/>
      <c r="AO253" s="294"/>
      <c r="AP253" s="294"/>
      <c r="AQ253" s="294"/>
      <c r="AR253" s="294"/>
      <c r="AS253" s="294"/>
      <c r="AT253" s="294"/>
      <c r="AU253" s="294"/>
      <c r="AV253" s="294"/>
      <c r="AW253" s="294"/>
      <c r="AX253" s="294"/>
      <c r="AY253" s="294"/>
      <c r="AZ253" s="294"/>
      <c r="BA253" s="294"/>
      <c r="BB253" s="294"/>
      <c r="BC253" s="294"/>
      <c r="BD253" s="294"/>
      <c r="BE253" s="294"/>
      <c r="BF253" s="294"/>
      <c r="BG253" s="294"/>
      <c r="BH253" s="294"/>
      <c r="BI253" s="294"/>
      <c r="BJ253" s="294"/>
      <c r="BK253" s="294"/>
      <c r="BL253" s="13"/>
      <c r="BM253" s="294"/>
      <c r="BN253" s="294"/>
      <c r="BO253" s="294"/>
      <c r="BP253" s="294"/>
      <c r="BQ253" s="294"/>
      <c r="BR253" s="294"/>
      <c r="BS253" s="294"/>
      <c r="BT253" s="294"/>
      <c r="BU253" s="294"/>
      <c r="BV253" s="294"/>
      <c r="BW253" s="294"/>
      <c r="BX253" s="294"/>
      <c r="CB253" s="13"/>
      <c r="CC253" s="294"/>
      <c r="CD253" s="294"/>
      <c r="CE253" s="294"/>
      <c r="CF253" s="294"/>
      <c r="CG253" s="294"/>
      <c r="CH253" s="294"/>
      <c r="CI253" s="294"/>
      <c r="CJ253" s="294"/>
      <c r="CK253" s="294"/>
      <c r="CL253" s="294"/>
      <c r="CM253" s="294"/>
      <c r="CN253" s="294"/>
      <c r="CO253" s="294"/>
      <c r="CP253" s="294"/>
    </row>
    <row r="254" spans="2:94" s="7" customFormat="1" ht="14.25" customHeight="1">
      <c r="B254" s="409"/>
      <c r="C254" s="282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  <c r="AF254" s="294"/>
      <c r="AG254" s="294"/>
      <c r="AH254" s="294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/>
      <c r="AS254" s="294"/>
      <c r="AT254" s="294"/>
      <c r="AU254" s="294"/>
      <c r="AV254" s="294"/>
      <c r="AW254" s="294"/>
      <c r="AX254" s="294"/>
      <c r="AY254" s="294"/>
      <c r="AZ254" s="294"/>
      <c r="BA254" s="294"/>
      <c r="BB254" s="294"/>
      <c r="BC254" s="294"/>
      <c r="BD254" s="294"/>
      <c r="BE254" s="294"/>
      <c r="BF254" s="294"/>
      <c r="BG254" s="294"/>
      <c r="BH254" s="294"/>
      <c r="BI254" s="294"/>
      <c r="BJ254" s="294"/>
      <c r="BK254" s="294"/>
      <c r="BL254" s="13"/>
      <c r="BM254" s="294"/>
      <c r="BN254" s="294"/>
      <c r="BO254" s="294"/>
      <c r="BP254" s="294"/>
      <c r="BQ254" s="294"/>
      <c r="BR254" s="294"/>
      <c r="BS254" s="294"/>
      <c r="BT254" s="294"/>
      <c r="BU254" s="294"/>
      <c r="BV254" s="294"/>
      <c r="BW254" s="294"/>
      <c r="BX254" s="294"/>
      <c r="CB254" s="13"/>
      <c r="CC254" s="294"/>
      <c r="CD254" s="294"/>
      <c r="CE254" s="294"/>
      <c r="CF254" s="294"/>
      <c r="CG254" s="294"/>
      <c r="CH254" s="294"/>
      <c r="CI254" s="294"/>
      <c r="CJ254" s="294"/>
      <c r="CK254" s="294"/>
      <c r="CL254" s="294"/>
      <c r="CM254" s="294"/>
      <c r="CN254" s="294"/>
      <c r="CO254" s="294"/>
      <c r="CP254" s="294"/>
    </row>
    <row r="255" spans="2:94" s="7" customFormat="1" ht="14.25" customHeight="1">
      <c r="B255" s="409"/>
      <c r="C255" s="282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  <c r="AF255" s="294"/>
      <c r="AG255" s="294"/>
      <c r="AH255" s="294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/>
      <c r="AS255" s="294"/>
      <c r="AT255" s="294"/>
      <c r="AU255" s="294"/>
      <c r="AV255" s="294"/>
      <c r="AW255" s="294"/>
      <c r="AX255" s="294"/>
      <c r="AY255" s="294"/>
      <c r="AZ255" s="294"/>
      <c r="BA255" s="294"/>
      <c r="BB255" s="294"/>
      <c r="BC255" s="294"/>
      <c r="BD255" s="294"/>
      <c r="BE255" s="294"/>
      <c r="BF255" s="294"/>
      <c r="BG255" s="294"/>
      <c r="BH255" s="294"/>
      <c r="BI255" s="294"/>
      <c r="BJ255" s="294"/>
      <c r="BK255" s="294"/>
      <c r="BL255" s="13"/>
      <c r="BM255" s="294"/>
      <c r="BN255" s="294"/>
      <c r="BO255" s="294"/>
      <c r="BP255" s="294"/>
      <c r="BQ255" s="294"/>
      <c r="BR255" s="294"/>
      <c r="BS255" s="294"/>
      <c r="BT255" s="294"/>
      <c r="BU255" s="294"/>
      <c r="BV255" s="294"/>
      <c r="BW255" s="294"/>
      <c r="BX255" s="294"/>
      <c r="CB255" s="13"/>
      <c r="CC255" s="294"/>
      <c r="CD255" s="294"/>
      <c r="CE255" s="294"/>
      <c r="CF255" s="294"/>
      <c r="CG255" s="294"/>
      <c r="CH255" s="294"/>
      <c r="CI255" s="294"/>
      <c r="CJ255" s="294"/>
      <c r="CK255" s="294"/>
      <c r="CL255" s="294"/>
      <c r="CM255" s="294"/>
      <c r="CN255" s="294"/>
      <c r="CO255" s="294"/>
      <c r="CP255" s="294"/>
    </row>
    <row r="256" spans="2:94" s="7" customFormat="1" ht="14.25" customHeight="1">
      <c r="B256" s="409"/>
      <c r="C256" s="282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  <c r="AF256" s="294"/>
      <c r="AG256" s="294"/>
      <c r="AH256" s="294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/>
      <c r="AS256" s="294"/>
      <c r="AT256" s="294"/>
      <c r="AU256" s="294"/>
      <c r="AV256" s="294"/>
      <c r="AW256" s="294"/>
      <c r="AX256" s="294"/>
      <c r="AY256" s="294"/>
      <c r="AZ256" s="294"/>
      <c r="BA256" s="294"/>
      <c r="BB256" s="294"/>
      <c r="BC256" s="294"/>
      <c r="BD256" s="294"/>
      <c r="BE256" s="294"/>
      <c r="BF256" s="294"/>
      <c r="BG256" s="294"/>
      <c r="BH256" s="294"/>
      <c r="BI256" s="294"/>
      <c r="BJ256" s="294"/>
      <c r="BK256" s="294"/>
      <c r="BL256" s="13"/>
      <c r="BM256" s="294"/>
      <c r="BN256" s="294"/>
      <c r="BO256" s="294"/>
      <c r="BP256" s="294"/>
      <c r="BQ256" s="294"/>
      <c r="BR256" s="294"/>
      <c r="BS256" s="294"/>
      <c r="BT256" s="294"/>
      <c r="BU256" s="294"/>
      <c r="BV256" s="294"/>
      <c r="BW256" s="294"/>
      <c r="BX256" s="294"/>
      <c r="CB256" s="13"/>
      <c r="CC256" s="294"/>
      <c r="CD256" s="294"/>
      <c r="CE256" s="294"/>
      <c r="CF256" s="294"/>
      <c r="CG256" s="294"/>
      <c r="CH256" s="294"/>
      <c r="CI256" s="294"/>
      <c r="CJ256" s="294"/>
      <c r="CK256" s="294"/>
      <c r="CL256" s="294"/>
      <c r="CM256" s="294"/>
      <c r="CN256" s="294"/>
      <c r="CO256" s="294"/>
      <c r="CP256" s="294"/>
    </row>
    <row r="257" spans="2:94" s="7" customFormat="1" ht="14.25" customHeight="1">
      <c r="B257" s="409"/>
      <c r="C257" s="282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294"/>
      <c r="AH257" s="294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/>
      <c r="AS257" s="294"/>
      <c r="AT257" s="294"/>
      <c r="AU257" s="294"/>
      <c r="AV257" s="294"/>
      <c r="AW257" s="294"/>
      <c r="AX257" s="294"/>
      <c r="AY257" s="294"/>
      <c r="AZ257" s="294"/>
      <c r="BA257" s="294"/>
      <c r="BB257" s="294"/>
      <c r="BC257" s="294"/>
      <c r="BD257" s="294"/>
      <c r="BE257" s="294"/>
      <c r="BF257" s="294"/>
      <c r="BG257" s="294"/>
      <c r="BH257" s="294"/>
      <c r="BI257" s="294"/>
      <c r="BJ257" s="294"/>
      <c r="BK257" s="294"/>
      <c r="BL257" s="13"/>
      <c r="BM257" s="294"/>
      <c r="BN257" s="294"/>
      <c r="BO257" s="294"/>
      <c r="BP257" s="294"/>
      <c r="BQ257" s="294"/>
      <c r="BR257" s="294"/>
      <c r="BS257" s="294"/>
      <c r="BT257" s="294"/>
      <c r="BU257" s="294"/>
      <c r="BV257" s="294"/>
      <c r="BW257" s="294"/>
      <c r="BX257" s="294"/>
      <c r="CB257" s="13"/>
      <c r="CC257" s="294"/>
      <c r="CD257" s="294"/>
      <c r="CE257" s="294"/>
      <c r="CF257" s="294"/>
      <c r="CG257" s="294"/>
      <c r="CH257" s="294"/>
      <c r="CI257" s="294"/>
      <c r="CJ257" s="294"/>
      <c r="CK257" s="294"/>
      <c r="CL257" s="294"/>
      <c r="CM257" s="294"/>
      <c r="CN257" s="294"/>
      <c r="CO257" s="294"/>
      <c r="CP257" s="294"/>
    </row>
    <row r="258" spans="2:94" s="7" customFormat="1" ht="14.25" customHeight="1">
      <c r="B258" s="409"/>
      <c r="C258" s="282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94"/>
      <c r="AI258" s="294"/>
      <c r="AJ258" s="294"/>
      <c r="AK258" s="294"/>
      <c r="AL258" s="294"/>
      <c r="AM258" s="294"/>
      <c r="AN258" s="294"/>
      <c r="AO258" s="294"/>
      <c r="AP258" s="294"/>
      <c r="AQ258" s="294"/>
      <c r="AR258" s="294"/>
      <c r="AS258" s="294"/>
      <c r="AT258" s="294"/>
      <c r="AU258" s="294"/>
      <c r="AV258" s="294"/>
      <c r="AW258" s="294"/>
      <c r="AX258" s="294"/>
      <c r="AY258" s="294"/>
      <c r="AZ258" s="294"/>
      <c r="BA258" s="294"/>
      <c r="BB258" s="294"/>
      <c r="BC258" s="294"/>
      <c r="BD258" s="294"/>
      <c r="BE258" s="294"/>
      <c r="BF258" s="294"/>
      <c r="BG258" s="294"/>
      <c r="BH258" s="294"/>
      <c r="BI258" s="294"/>
      <c r="BJ258" s="294"/>
      <c r="BK258" s="294"/>
      <c r="BL258" s="13"/>
      <c r="BM258" s="294"/>
      <c r="BN258" s="294"/>
      <c r="BO258" s="294"/>
      <c r="BP258" s="294"/>
      <c r="BQ258" s="294"/>
      <c r="BR258" s="294"/>
      <c r="BS258" s="294"/>
      <c r="BT258" s="294"/>
      <c r="BU258" s="294"/>
      <c r="BV258" s="294"/>
      <c r="BW258" s="294"/>
      <c r="BX258" s="294"/>
      <c r="CB258" s="13"/>
      <c r="CC258" s="294"/>
      <c r="CD258" s="294"/>
      <c r="CE258" s="294"/>
      <c r="CF258" s="294"/>
      <c r="CG258" s="294"/>
      <c r="CH258" s="294"/>
      <c r="CI258" s="294"/>
      <c r="CJ258" s="294"/>
      <c r="CK258" s="294"/>
      <c r="CL258" s="294"/>
      <c r="CM258" s="294"/>
      <c r="CN258" s="294"/>
      <c r="CO258" s="294"/>
      <c r="CP258" s="294"/>
    </row>
    <row r="259" spans="2:94" s="7" customFormat="1" ht="14.25" customHeight="1">
      <c r="B259" s="409"/>
      <c r="C259" s="282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  <c r="AF259" s="294"/>
      <c r="AG259" s="294"/>
      <c r="AH259" s="294"/>
      <c r="AI259" s="294"/>
      <c r="AJ259" s="294"/>
      <c r="AK259" s="294"/>
      <c r="AL259" s="294"/>
      <c r="AM259" s="294"/>
      <c r="AN259" s="294"/>
      <c r="AO259" s="294"/>
      <c r="AP259" s="294"/>
      <c r="AQ259" s="294"/>
      <c r="AR259" s="294"/>
      <c r="AS259" s="294"/>
      <c r="AT259" s="294"/>
      <c r="AU259" s="294"/>
      <c r="AV259" s="294"/>
      <c r="AW259" s="294"/>
      <c r="AX259" s="294"/>
      <c r="AY259" s="294"/>
      <c r="AZ259" s="294"/>
      <c r="BA259" s="294"/>
      <c r="BB259" s="294"/>
      <c r="BC259" s="294"/>
      <c r="BD259" s="294"/>
      <c r="BE259" s="294"/>
      <c r="BF259" s="294"/>
      <c r="BG259" s="294"/>
      <c r="BH259" s="294"/>
      <c r="BI259" s="294"/>
      <c r="BJ259" s="294"/>
      <c r="BK259" s="294"/>
      <c r="BL259" s="13"/>
      <c r="BM259" s="294"/>
      <c r="BN259" s="294"/>
      <c r="BO259" s="294"/>
      <c r="BP259" s="294"/>
      <c r="BQ259" s="294"/>
      <c r="BR259" s="294"/>
      <c r="BS259" s="294"/>
      <c r="BT259" s="294"/>
      <c r="BU259" s="294"/>
      <c r="BV259" s="294"/>
      <c r="BW259" s="294"/>
      <c r="BX259" s="294"/>
      <c r="CB259" s="13"/>
      <c r="CC259" s="294"/>
      <c r="CD259" s="294"/>
      <c r="CE259" s="294"/>
      <c r="CF259" s="294"/>
      <c r="CG259" s="294"/>
      <c r="CH259" s="294"/>
      <c r="CI259" s="294"/>
      <c r="CJ259" s="294"/>
      <c r="CK259" s="294"/>
      <c r="CL259" s="294"/>
      <c r="CM259" s="294"/>
      <c r="CN259" s="294"/>
      <c r="CO259" s="294"/>
      <c r="CP259" s="294"/>
    </row>
    <row r="260" spans="2:94" s="7" customFormat="1" ht="14.25" customHeight="1">
      <c r="B260" s="409"/>
      <c r="C260" s="282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  <c r="AF260" s="294"/>
      <c r="AG260" s="294"/>
      <c r="AH260" s="294"/>
      <c r="AI260" s="294"/>
      <c r="AJ260" s="294"/>
      <c r="AK260" s="294"/>
      <c r="AL260" s="294"/>
      <c r="AM260" s="294"/>
      <c r="AN260" s="294"/>
      <c r="AO260" s="294"/>
      <c r="AP260" s="294"/>
      <c r="AQ260" s="294"/>
      <c r="AR260" s="294"/>
      <c r="AS260" s="294"/>
      <c r="AT260" s="294"/>
      <c r="AU260" s="294"/>
      <c r="AV260" s="294"/>
      <c r="AW260" s="294"/>
      <c r="AX260" s="294"/>
      <c r="AY260" s="294"/>
      <c r="AZ260" s="294"/>
      <c r="BA260" s="294"/>
      <c r="BB260" s="294"/>
      <c r="BC260" s="294"/>
      <c r="BD260" s="294"/>
      <c r="BE260" s="294"/>
      <c r="BF260" s="294"/>
      <c r="BG260" s="294"/>
      <c r="BH260" s="294"/>
      <c r="BI260" s="294"/>
      <c r="BJ260" s="294"/>
      <c r="BK260" s="294"/>
      <c r="BL260" s="13"/>
      <c r="BM260" s="294"/>
      <c r="BN260" s="294"/>
      <c r="BO260" s="294"/>
      <c r="BP260" s="294"/>
      <c r="BQ260" s="294"/>
      <c r="BR260" s="294"/>
      <c r="BS260" s="294"/>
      <c r="BT260" s="294"/>
      <c r="BU260" s="294"/>
      <c r="BV260" s="294"/>
      <c r="BW260" s="294"/>
      <c r="BX260" s="294"/>
      <c r="CB260" s="13"/>
      <c r="CC260" s="294"/>
      <c r="CD260" s="294"/>
      <c r="CE260" s="294"/>
      <c r="CF260" s="294"/>
      <c r="CG260" s="294"/>
      <c r="CH260" s="294"/>
      <c r="CI260" s="294"/>
      <c r="CJ260" s="294"/>
      <c r="CK260" s="294"/>
      <c r="CL260" s="294"/>
      <c r="CM260" s="294"/>
      <c r="CN260" s="294"/>
      <c r="CO260" s="294"/>
      <c r="CP260" s="294"/>
    </row>
    <row r="261" spans="2:94" s="7" customFormat="1" ht="14.25" customHeight="1">
      <c r="B261" s="409"/>
      <c r="C261" s="282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  <c r="AF261" s="294"/>
      <c r="AG261" s="294"/>
      <c r="AH261" s="294"/>
      <c r="AI261" s="294"/>
      <c r="AJ261" s="294"/>
      <c r="AK261" s="294"/>
      <c r="AL261" s="294"/>
      <c r="AM261" s="294"/>
      <c r="AN261" s="294"/>
      <c r="AO261" s="294"/>
      <c r="AP261" s="294"/>
      <c r="AQ261" s="294"/>
      <c r="AR261" s="294"/>
      <c r="AS261" s="294"/>
      <c r="AT261" s="294"/>
      <c r="AU261" s="294"/>
      <c r="AV261" s="294"/>
      <c r="AW261" s="294"/>
      <c r="AX261" s="294"/>
      <c r="AY261" s="294"/>
      <c r="AZ261" s="294"/>
      <c r="BA261" s="294"/>
      <c r="BB261" s="294"/>
      <c r="BC261" s="294"/>
      <c r="BD261" s="294"/>
      <c r="BE261" s="294"/>
      <c r="BF261" s="294"/>
      <c r="BG261" s="294"/>
      <c r="BH261" s="294"/>
      <c r="BI261" s="294"/>
      <c r="BJ261" s="294"/>
      <c r="BK261" s="294"/>
      <c r="BL261" s="13"/>
      <c r="BM261" s="294"/>
      <c r="BN261" s="294"/>
      <c r="BO261" s="294"/>
      <c r="BP261" s="294"/>
      <c r="BQ261" s="294"/>
      <c r="BR261" s="294"/>
      <c r="BS261" s="294"/>
      <c r="BT261" s="294"/>
      <c r="BU261" s="294"/>
      <c r="BV261" s="294"/>
      <c r="BW261" s="294"/>
      <c r="BX261" s="294"/>
      <c r="CB261" s="13"/>
      <c r="CC261" s="294"/>
      <c r="CD261" s="294"/>
      <c r="CE261" s="294"/>
      <c r="CF261" s="294"/>
      <c r="CG261" s="294"/>
      <c r="CH261" s="294"/>
      <c r="CI261" s="294"/>
      <c r="CJ261" s="294"/>
      <c r="CK261" s="294"/>
      <c r="CL261" s="294"/>
      <c r="CM261" s="294"/>
      <c r="CN261" s="294"/>
      <c r="CO261" s="294"/>
      <c r="CP261" s="294"/>
    </row>
    <row r="262" spans="2:94" ht="14.25" customHeight="1">
      <c r="CB262" s="410"/>
    </row>
    <row r="263" spans="2:94" ht="14.25" customHeight="1">
      <c r="CB263" s="410"/>
    </row>
    <row r="264" spans="2:94" ht="14.25" customHeight="1">
      <c r="CB264" s="410"/>
    </row>
    <row r="265" spans="2:94" ht="14.25" customHeight="1">
      <c r="CB265" s="410"/>
    </row>
    <row r="266" spans="2:94" ht="14.25" customHeight="1">
      <c r="CB266" s="410"/>
    </row>
    <row r="267" spans="2:94" ht="14.25" customHeight="1">
      <c r="CB267" s="410"/>
    </row>
    <row r="268" spans="2:94" ht="14.25" customHeight="1">
      <c r="CB268" s="410"/>
    </row>
    <row r="269" spans="2:94" ht="14.25" customHeight="1">
      <c r="CB269" s="410"/>
    </row>
    <row r="270" spans="2:94" ht="14.25" customHeight="1">
      <c r="CB270" s="410"/>
    </row>
    <row r="271" spans="2:94" ht="14.25" customHeight="1">
      <c r="CB271" s="410"/>
    </row>
    <row r="272" spans="2:94" ht="14.25" customHeight="1">
      <c r="CB272" s="410"/>
    </row>
    <row r="273" spans="1:94" ht="14.25" customHeight="1">
      <c r="CB273" s="410"/>
    </row>
    <row r="274" spans="1:94" ht="14.25" customHeight="1">
      <c r="CB274" s="410"/>
    </row>
    <row r="275" spans="1:94" ht="14.25" customHeight="1">
      <c r="CB275" s="410"/>
    </row>
    <row r="276" spans="1:94" ht="14.25" customHeight="1">
      <c r="CB276" s="410"/>
    </row>
    <row r="277" spans="1:94" ht="14.25" customHeight="1">
      <c r="CB277" s="410"/>
    </row>
    <row r="278" spans="1:94" ht="14.25" customHeight="1">
      <c r="CB278" s="410"/>
    </row>
    <row r="279" spans="1:94" ht="14.25" customHeight="1">
      <c r="CB279" s="410"/>
    </row>
    <row r="280" spans="1:94" ht="14.25" customHeight="1">
      <c r="CB280" s="410"/>
    </row>
    <row r="281" spans="1:94" ht="14.25" customHeight="1">
      <c r="CB281" s="410"/>
    </row>
    <row r="282" spans="1:94" ht="14.25" customHeight="1">
      <c r="CB282" s="410"/>
    </row>
    <row r="283" spans="1:94" ht="14.25" customHeight="1">
      <c r="CB283" s="410"/>
    </row>
    <row r="284" spans="1:94" ht="14.25" customHeight="1">
      <c r="CB284" s="410"/>
    </row>
    <row r="285" spans="1:94" ht="14.25" customHeight="1">
      <c r="CB285" s="410"/>
    </row>
    <row r="286" spans="1:94" ht="14.25" customHeight="1">
      <c r="CB286" s="410"/>
    </row>
    <row r="287" spans="1:94" ht="14.25" customHeight="1">
      <c r="CB287" s="410"/>
    </row>
    <row r="288" spans="1:94" ht="14.25" customHeight="1">
      <c r="A288" s="3"/>
      <c r="B288" s="278"/>
      <c r="C288" s="278"/>
      <c r="D288" s="278">
        <f>'CFS '!D152</f>
        <v>0</v>
      </c>
      <c r="E288" s="278">
        <f>'CFS '!E152</f>
        <v>0</v>
      </c>
      <c r="F288" s="278">
        <f>'CFS '!F152</f>
        <v>0</v>
      </c>
      <c r="G288" s="278">
        <f>'CFS '!G152</f>
        <v>0</v>
      </c>
      <c r="H288" s="278">
        <f>'CFS '!H152</f>
        <v>0</v>
      </c>
      <c r="I288" s="278">
        <f>'CFS '!I152</f>
        <v>0</v>
      </c>
      <c r="J288" s="278">
        <f>'CFS '!J152</f>
        <v>0</v>
      </c>
      <c r="K288" s="278">
        <f>'CFS '!K152</f>
        <v>0</v>
      </c>
      <c r="L288" s="278">
        <f>'CFS '!L152</f>
        <v>0</v>
      </c>
      <c r="M288" s="278">
        <f>'CFS '!M152</f>
        <v>0</v>
      </c>
      <c r="N288" s="278">
        <f>'CFS '!N152</f>
        <v>0</v>
      </c>
      <c r="O288" s="278">
        <f>'CFS '!O152</f>
        <v>0</v>
      </c>
      <c r="P288" s="278">
        <f>'CFS '!P152</f>
        <v>0</v>
      </c>
      <c r="Q288" s="278">
        <f>'CFS '!Q152</f>
        <v>0</v>
      </c>
      <c r="R288" s="278">
        <f>'CFS '!R152</f>
        <v>0</v>
      </c>
      <c r="S288" s="278">
        <f>'CFS '!S152</f>
        <v>0</v>
      </c>
      <c r="T288" s="278">
        <f>'CFS '!T152</f>
        <v>0</v>
      </c>
      <c r="U288" s="278">
        <f>'CFS '!U152</f>
        <v>0</v>
      </c>
      <c r="V288" s="278">
        <f>'CFS '!V152</f>
        <v>0</v>
      </c>
      <c r="W288" s="278">
        <f>'CFS '!W152</f>
        <v>0</v>
      </c>
      <c r="X288" s="278">
        <f>'CFS '!X152</f>
        <v>0</v>
      </c>
      <c r="Y288" s="278">
        <f>'CFS '!Y152</f>
        <v>0</v>
      </c>
      <c r="Z288" s="278">
        <f>'CFS '!Z152</f>
        <v>0</v>
      </c>
      <c r="AA288" s="278">
        <f>'CFS '!AA152</f>
        <v>0</v>
      </c>
      <c r="AB288" s="278">
        <f>'CFS '!AB152</f>
        <v>0</v>
      </c>
      <c r="AC288" s="278">
        <f>'CFS '!AC152</f>
        <v>0</v>
      </c>
      <c r="AD288" s="278">
        <f>'CFS '!AD152</f>
        <v>0</v>
      </c>
      <c r="AE288" s="278">
        <f>'CFS '!AE152</f>
        <v>0</v>
      </c>
      <c r="AF288" s="278">
        <f>'CFS '!AF152</f>
        <v>0</v>
      </c>
      <c r="AG288" s="278">
        <f>'CFS '!AG152</f>
        <v>0</v>
      </c>
      <c r="AH288" s="278">
        <f>'CFS '!AH152</f>
        <v>0</v>
      </c>
      <c r="AI288" s="278">
        <f>'CFS '!AI152</f>
        <v>0</v>
      </c>
      <c r="AJ288" s="278">
        <f>'CFS '!AJ152</f>
        <v>0</v>
      </c>
      <c r="AK288" s="278">
        <f>'CFS '!AK152</f>
        <v>0</v>
      </c>
      <c r="AL288" s="278">
        <f>'CFS '!AL152</f>
        <v>0</v>
      </c>
      <c r="AM288" s="278">
        <f>'CFS '!AM152</f>
        <v>0</v>
      </c>
      <c r="AN288" s="278">
        <f>'CFS '!AN152</f>
        <v>0</v>
      </c>
      <c r="AO288" s="278">
        <f>'CFS '!AO152</f>
        <v>0</v>
      </c>
      <c r="AP288" s="278">
        <f>'CFS '!AP152</f>
        <v>0</v>
      </c>
      <c r="AQ288" s="278">
        <f>'CFS '!AQ152</f>
        <v>0</v>
      </c>
      <c r="AR288" s="278">
        <f>'CFS '!AR152</f>
        <v>0</v>
      </c>
      <c r="AS288" s="278">
        <f>'CFS '!AS152</f>
        <v>0</v>
      </c>
      <c r="AT288" s="278">
        <f>'CFS '!AT152</f>
        <v>0</v>
      </c>
      <c r="AU288" s="278">
        <f>'CFS '!AU152</f>
        <v>0</v>
      </c>
      <c r="AV288" s="278">
        <f>'CFS '!AV152</f>
        <v>0</v>
      </c>
      <c r="AW288" s="278">
        <f>'CFS '!AW152</f>
        <v>0</v>
      </c>
      <c r="AX288" s="278">
        <f>'CFS '!AX152</f>
        <v>0</v>
      </c>
      <c r="AY288" s="278">
        <f>'CFS '!AY152</f>
        <v>0</v>
      </c>
      <c r="AZ288" s="278">
        <f>'CFS '!AZ152</f>
        <v>0</v>
      </c>
      <c r="BA288" s="278">
        <f>'CFS '!BA152</f>
        <v>0</v>
      </c>
      <c r="BB288" s="278">
        <f>'CFS '!BB152</f>
        <v>0</v>
      </c>
      <c r="BC288" s="278">
        <f>'CFS '!BC152</f>
        <v>0</v>
      </c>
      <c r="BD288" s="278"/>
      <c r="BE288" s="278"/>
      <c r="BF288" s="278"/>
      <c r="BG288" s="278"/>
      <c r="BH288" s="278"/>
      <c r="BI288" s="278"/>
      <c r="BJ288" s="278"/>
      <c r="BK288" s="278"/>
      <c r="BL288" s="278"/>
      <c r="BM288" s="278">
        <f>'CFS '!BM152</f>
        <v>0</v>
      </c>
      <c r="BN288" s="278">
        <f>'CFS '!BN152</f>
        <v>0</v>
      </c>
      <c r="BO288" s="278">
        <f>'CFS '!BO152</f>
        <v>0</v>
      </c>
      <c r="BP288" s="278">
        <f>'CFS '!BP152</f>
        <v>0</v>
      </c>
      <c r="BQ288" s="278">
        <f>'CFS '!BQ152</f>
        <v>0</v>
      </c>
      <c r="BR288" s="278">
        <f>'CFS '!BR152</f>
        <v>0</v>
      </c>
      <c r="BS288" s="278">
        <f>'CFS '!BS152</f>
        <v>0</v>
      </c>
      <c r="BT288" s="278">
        <f>'CFS '!BT152</f>
        <v>0</v>
      </c>
      <c r="BU288" s="278">
        <f>'CFS '!BU152</f>
        <v>0</v>
      </c>
      <c r="BV288" s="278">
        <f>'CFS '!BV152</f>
        <v>0</v>
      </c>
      <c r="BW288" s="278">
        <f>'CFS '!BW152</f>
        <v>0</v>
      </c>
      <c r="BX288" s="278">
        <f>'CFS '!BX152</f>
        <v>0</v>
      </c>
      <c r="BY288" s="278">
        <f>'CFS '!BY152</f>
        <v>0</v>
      </c>
      <c r="BZ288" s="278"/>
      <c r="CA288" s="278"/>
      <c r="CB288" s="278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</row>
    <row r="289" spans="1:94" ht="14.25" customHeight="1">
      <c r="A289" s="5"/>
      <c r="B289" s="174" t="s">
        <v>25</v>
      </c>
      <c r="C289" s="174"/>
      <c r="D289" s="278" t="str">
        <f>'CFS '!D153</f>
        <v>A</v>
      </c>
      <c r="E289" s="278" t="str">
        <f>'CFS '!E153</f>
        <v>A</v>
      </c>
      <c r="F289" s="278" t="str">
        <f>'CFS '!F153</f>
        <v>A</v>
      </c>
      <c r="G289" s="278" t="str">
        <f>'CFS '!G153</f>
        <v>A</v>
      </c>
      <c r="H289" s="278" t="str">
        <f>'CFS '!H153</f>
        <v>A</v>
      </c>
      <c r="I289" s="278" t="str">
        <f>'CFS '!I153</f>
        <v>A</v>
      </c>
      <c r="J289" s="278" t="str">
        <f>'CFS '!J153</f>
        <v>A</v>
      </c>
      <c r="K289" s="278" t="str">
        <f>'CFS '!K153</f>
        <v>A</v>
      </c>
      <c r="L289" s="278" t="str">
        <f>'CFS '!L153</f>
        <v>A</v>
      </c>
      <c r="M289" s="278" t="str">
        <f>'CFS '!M153</f>
        <v>A</v>
      </c>
      <c r="N289" s="278" t="str">
        <f>'CFS '!N153</f>
        <v>A</v>
      </c>
      <c r="O289" s="278" t="str">
        <f>'CFS '!O153</f>
        <v>A</v>
      </c>
      <c r="P289" s="278" t="str">
        <f>'CFS '!P153</f>
        <v>A</v>
      </c>
      <c r="Q289" s="278" t="str">
        <f>'CFS '!Q153</f>
        <v>A</v>
      </c>
      <c r="R289" s="278" t="str">
        <f>'CFS '!R153</f>
        <v>A</v>
      </c>
      <c r="S289" s="278" t="str">
        <f>'CFS '!S153</f>
        <v>A</v>
      </c>
      <c r="T289" s="278" t="str">
        <f>'CFS '!T153</f>
        <v>A</v>
      </c>
      <c r="U289" s="278" t="str">
        <f>'CFS '!U153</f>
        <v>A</v>
      </c>
      <c r="V289" s="278" t="str">
        <f>'CFS '!V153</f>
        <v>A</v>
      </c>
      <c r="W289" s="278" t="str">
        <f>'CFS '!W153</f>
        <v>A</v>
      </c>
      <c r="X289" s="278" t="str">
        <f>'CFS '!X153</f>
        <v>A</v>
      </c>
      <c r="Y289" s="278" t="str">
        <f>'CFS '!Y153</f>
        <v>A</v>
      </c>
      <c r="Z289" s="278" t="str">
        <f>'CFS '!Z153</f>
        <v>A</v>
      </c>
      <c r="AA289" s="278" t="str">
        <f>'CFS '!AA153</f>
        <v>A</v>
      </c>
      <c r="AB289" s="278" t="str">
        <f>'CFS '!AB153</f>
        <v>A</v>
      </c>
      <c r="AC289" s="278" t="str">
        <f>'CFS '!AC153</f>
        <v>A</v>
      </c>
      <c r="AD289" s="278" t="str">
        <f>'CFS '!AD153</f>
        <v>A</v>
      </c>
      <c r="AE289" s="278" t="str">
        <f>'CFS '!AE153</f>
        <v>A</v>
      </c>
      <c r="AF289" s="278" t="str">
        <f>'CFS '!AF153</f>
        <v>A</v>
      </c>
      <c r="AG289" s="278" t="str">
        <f>'CFS '!AG153</f>
        <v>A</v>
      </c>
      <c r="AH289" s="278" t="str">
        <f>'CFS '!AH153</f>
        <v>A</v>
      </c>
      <c r="AI289" s="278" t="str">
        <f>'CFS '!AI153</f>
        <v>A</v>
      </c>
      <c r="AJ289" s="278" t="str">
        <f>'CFS '!AJ153</f>
        <v>A</v>
      </c>
      <c r="AK289" s="278" t="str">
        <f>'CFS '!AK153</f>
        <v>A</v>
      </c>
      <c r="AL289" s="278" t="str">
        <f>'CFS '!AL153</f>
        <v>A</v>
      </c>
      <c r="AM289" s="278" t="str">
        <f>'CFS '!AM153</f>
        <v>A</v>
      </c>
      <c r="AN289" s="278" t="str">
        <f>'CFS '!AN153</f>
        <v>A</v>
      </c>
      <c r="AO289" s="278" t="str">
        <f>'CFS '!AO153</f>
        <v>A</v>
      </c>
      <c r="AP289" s="278" t="str">
        <f>'CFS '!AP153</f>
        <v>A</v>
      </c>
      <c r="AQ289" s="278" t="str">
        <f>'CFS '!AQ153</f>
        <v>A</v>
      </c>
      <c r="AR289" s="278" t="str">
        <f>'CFS '!AR153</f>
        <v>A</v>
      </c>
      <c r="AS289" s="278" t="str">
        <f>'CFS '!AS153</f>
        <v>A</v>
      </c>
      <c r="AT289" s="278" t="str">
        <f>'CFS '!AT153</f>
        <v>A</v>
      </c>
      <c r="AU289" s="278" t="str">
        <f>'CFS '!AU153</f>
        <v>A</v>
      </c>
      <c r="AV289" s="278" t="str">
        <f>'CFS '!AV153</f>
        <v>A</v>
      </c>
      <c r="AW289" s="278" t="str">
        <f>'CFS '!AW153</f>
        <v>A</v>
      </c>
      <c r="AX289" s="278" t="str">
        <f>'CFS '!AX153</f>
        <v>A</v>
      </c>
      <c r="AY289" s="278" t="str">
        <f>'CFS '!AY153</f>
        <v>A</v>
      </c>
      <c r="AZ289" s="278" t="str">
        <f>'CFS '!AZ153</f>
        <v>A</v>
      </c>
      <c r="BA289" s="278" t="str">
        <f>'CFS '!BA153</f>
        <v>E</v>
      </c>
      <c r="BB289" s="278" t="str">
        <f>'CFS '!BB153</f>
        <v>E</v>
      </c>
      <c r="BC289" s="278" t="str">
        <f>'CFS '!BC153</f>
        <v>E</v>
      </c>
      <c r="BD289" s="278"/>
      <c r="BE289" s="278"/>
      <c r="BF289" s="278"/>
      <c r="BG289" s="278"/>
      <c r="BH289" s="278"/>
      <c r="BI289" s="278"/>
      <c r="BJ289" s="278"/>
      <c r="BK289" s="278"/>
      <c r="BL289" s="278"/>
      <c r="BM289" s="278" t="str">
        <f>'CFS '!BM153</f>
        <v>A</v>
      </c>
      <c r="BN289" s="278" t="str">
        <f>'CFS '!BN153</f>
        <v>A</v>
      </c>
      <c r="BO289" s="278" t="str">
        <f>'CFS '!BO153</f>
        <v>A</v>
      </c>
      <c r="BP289" s="278" t="str">
        <f>'CFS '!BP153</f>
        <v>A</v>
      </c>
      <c r="BQ289" s="278" t="str">
        <f>'CFS '!BQ153</f>
        <v>A</v>
      </c>
      <c r="BR289" s="278" t="str">
        <f>'CFS '!BR153</f>
        <v>A</v>
      </c>
      <c r="BS289" s="278" t="str">
        <f>'CFS '!BS153</f>
        <v>A</v>
      </c>
      <c r="BT289" s="278" t="str">
        <f>'CFS '!BT153</f>
        <v>A</v>
      </c>
      <c r="BU289" s="278" t="str">
        <f>'CFS '!BU153</f>
        <v>A</v>
      </c>
      <c r="BV289" s="278" t="str">
        <f>'CFS '!BV153</f>
        <v>A</v>
      </c>
      <c r="BW289" s="278" t="str">
        <f>'CFS '!BW153</f>
        <v>A</v>
      </c>
      <c r="BX289" s="278" t="str">
        <f>'CFS '!BX153</f>
        <v>E</v>
      </c>
      <c r="BY289" s="278" t="str">
        <f>'CFS '!BY153</f>
        <v>E</v>
      </c>
      <c r="BZ289" s="278"/>
      <c r="CA289" s="278"/>
      <c r="CB289" s="410"/>
      <c r="CC289" s="279"/>
      <c r="CD289" s="279"/>
      <c r="CE289" s="279"/>
      <c r="CF289" s="279"/>
      <c r="CG289" s="279"/>
      <c r="CH289" s="279"/>
      <c r="CI289" s="279"/>
      <c r="CJ289" s="279"/>
      <c r="CK289" s="279"/>
      <c r="CL289" s="279"/>
      <c r="CM289" s="279"/>
      <c r="CN289" s="279"/>
      <c r="CO289" s="279"/>
      <c r="CP289" s="279"/>
    </row>
    <row r="290" spans="1:94" ht="14.25" customHeight="1">
      <c r="CB290" s="410"/>
    </row>
    <row r="291" spans="1:94" ht="14.25" customHeight="1">
      <c r="CB291" s="410"/>
    </row>
    <row r="292" spans="1:94" ht="14.25" customHeight="1">
      <c r="CB292" s="410"/>
    </row>
    <row r="293" spans="1:94" ht="14.25" customHeight="1">
      <c r="CB293" s="410"/>
    </row>
    <row r="294" spans="1:94" ht="14.25" customHeight="1">
      <c r="CB294" s="410"/>
    </row>
    <row r="295" spans="1:94" ht="14.25" customHeight="1">
      <c r="CB295" s="410"/>
    </row>
    <row r="296" spans="1:94" ht="14.25" customHeight="1">
      <c r="CB296" s="410"/>
    </row>
    <row r="297" spans="1:94" ht="14.25" customHeight="1">
      <c r="CB297" s="410"/>
    </row>
    <row r="298" spans="1:94" ht="14.25" customHeight="1">
      <c r="CB298" s="410"/>
    </row>
    <row r="299" spans="1:94" ht="14.25" customHeight="1">
      <c r="CB299" s="410"/>
    </row>
    <row r="300" spans="1:94" ht="14.25" customHeight="1">
      <c r="CB300" s="410"/>
    </row>
    <row r="301" spans="1:94" ht="14.25" customHeight="1">
      <c r="CB301" s="410"/>
    </row>
    <row r="302" spans="1:94" ht="14.25" customHeight="1">
      <c r="CB302" s="410"/>
    </row>
    <row r="303" spans="1:94" ht="14.25" customHeight="1">
      <c r="CB303" s="410"/>
    </row>
    <row r="304" spans="1:94" ht="14.25" customHeight="1">
      <c r="CB304" s="410"/>
    </row>
    <row r="305" spans="80:80" ht="14.25" customHeight="1">
      <c r="CB305" s="410"/>
    </row>
    <row r="306" spans="80:80" ht="14.25" customHeight="1">
      <c r="CB306" s="410"/>
    </row>
    <row r="307" spans="80:80" ht="14.25" customHeight="1">
      <c r="CB307" s="410"/>
    </row>
    <row r="308" spans="80:80" ht="14.25" customHeight="1">
      <c r="CB308" s="410"/>
    </row>
    <row r="309" spans="80:80" ht="14.25" customHeight="1">
      <c r="CB309" s="410"/>
    </row>
    <row r="310" spans="80:80" ht="14.25" customHeight="1">
      <c r="CB310" s="410"/>
    </row>
    <row r="311" spans="80:80" ht="14.25" customHeight="1">
      <c r="CB311" s="410"/>
    </row>
    <row r="312" spans="80:80" ht="14.25" customHeight="1">
      <c r="CB312" s="410"/>
    </row>
    <row r="313" spans="80:80" ht="14.25" customHeight="1">
      <c r="CB313" s="410"/>
    </row>
    <row r="314" spans="80:80" ht="14.25" customHeight="1">
      <c r="CB314" s="410"/>
    </row>
    <row r="315" spans="80:80" ht="14.25" customHeight="1">
      <c r="CB315" s="410"/>
    </row>
    <row r="316" spans="80:80" ht="14.25" customHeight="1">
      <c r="CB316" s="410"/>
    </row>
    <row r="317" spans="80:80" ht="14.25" customHeight="1">
      <c r="CB317" s="410"/>
    </row>
    <row r="318" spans="80:80" ht="14.25" customHeight="1">
      <c r="CB318" s="410"/>
    </row>
    <row r="319" spans="80:80" ht="14.25" customHeight="1">
      <c r="CB319" s="410"/>
    </row>
  </sheetData>
  <phoneticPr fontId="157" type="noConversion"/>
  <conditionalFormatting sqref="AG193:AI193 AM180 D204:AI204 AM169 AL204:AM204 AL193:AM193 AO193:AQ193 AO204:AQ204 AO169:AQ169 AT180 AT204 AT193">
    <cfRule type="cellIs" dxfId="40" priority="45" stopIfTrue="1" operator="between">
      <formula>-0.005</formula>
      <formula>0.005</formula>
    </cfRule>
  </conditionalFormatting>
  <conditionalFormatting sqref="D193:AF193 D169:AI169 D180:AI180 AL180:AM180">
    <cfRule type="cellIs" dxfId="39" priority="46" stopIfTrue="1" operator="between">
      <formula>-0.005</formula>
      <formula>0.005</formula>
    </cfRule>
    <cfRule type="cellIs" dxfId="38" priority="47" stopIfTrue="1" operator="equal">
      <formula>"OK"</formula>
    </cfRule>
  </conditionalFormatting>
  <conditionalFormatting sqref="AV193 AV180 AV204 AX169:AY169 AX204:AY204 AX180:AY180 AX193:AY193">
    <cfRule type="cellIs" dxfId="37" priority="44" stopIfTrue="1" operator="between">
      <formula>-0.005</formula>
      <formula>0.005</formula>
    </cfRule>
  </conditionalFormatting>
  <conditionalFormatting sqref="AU193 AU180 AU204 AU169">
    <cfRule type="cellIs" dxfId="36" priority="43" stopIfTrue="1" operator="between">
      <formula>-0.005</formula>
      <formula>0.005</formula>
    </cfRule>
  </conditionalFormatting>
  <conditionalFormatting sqref="AL169:AM169">
    <cfRule type="cellIs" dxfId="35" priority="37" stopIfTrue="1" operator="between">
      <formula>-0.005</formula>
      <formula>0.005</formula>
    </cfRule>
    <cfRule type="cellIs" dxfId="34" priority="38" stopIfTrue="1" operator="equal">
      <formula>"OK"</formula>
    </cfRule>
  </conditionalFormatting>
  <conditionalFormatting sqref="AJ204:AK204 AJ193:AK193">
    <cfRule type="cellIs" dxfId="33" priority="34" stopIfTrue="1" operator="between">
      <formula>-0.005</formula>
      <formula>0.005</formula>
    </cfRule>
  </conditionalFormatting>
  <conditionalFormatting sqref="AJ180:AK180">
    <cfRule type="cellIs" dxfId="32" priority="35" stopIfTrue="1" operator="between">
      <formula>-0.005</formula>
      <formula>0.005</formula>
    </cfRule>
    <cfRule type="cellIs" dxfId="31" priority="36" stopIfTrue="1" operator="equal">
      <formula>"OK"</formula>
    </cfRule>
  </conditionalFormatting>
  <conditionalFormatting sqref="AJ169:AK169">
    <cfRule type="cellIs" dxfId="30" priority="32" stopIfTrue="1" operator="between">
      <formula>-0.005</formula>
      <formula>0.005</formula>
    </cfRule>
    <cfRule type="cellIs" dxfId="29" priority="33" stopIfTrue="1" operator="equal">
      <formula>"OK"</formula>
    </cfRule>
  </conditionalFormatting>
  <conditionalFormatting sqref="AN204 AN193">
    <cfRule type="cellIs" dxfId="28" priority="27" stopIfTrue="1" operator="between">
      <formula>-0.005</formula>
      <formula>0.005</formula>
    </cfRule>
  </conditionalFormatting>
  <conditionalFormatting sqref="AN180">
    <cfRule type="cellIs" dxfId="27" priority="28" stopIfTrue="1" operator="between">
      <formula>-0.005</formula>
      <formula>0.005</formula>
    </cfRule>
    <cfRule type="cellIs" dxfId="26" priority="29" stopIfTrue="1" operator="equal">
      <formula>"OK"</formula>
    </cfRule>
  </conditionalFormatting>
  <conditionalFormatting sqref="AN169">
    <cfRule type="cellIs" dxfId="25" priority="25" stopIfTrue="1" operator="between">
      <formula>-0.005</formula>
      <formula>0.005</formula>
    </cfRule>
    <cfRule type="cellIs" dxfId="24" priority="26" stopIfTrue="1" operator="equal">
      <formula>"OK"</formula>
    </cfRule>
  </conditionalFormatting>
  <conditionalFormatting sqref="AP180">
    <cfRule type="cellIs" dxfId="23" priority="23" stopIfTrue="1" operator="between">
      <formula>-0.005</formula>
      <formula>0.005</formula>
    </cfRule>
    <cfRule type="cellIs" dxfId="22" priority="24" stopIfTrue="1" operator="equal">
      <formula>"OK"</formula>
    </cfRule>
  </conditionalFormatting>
  <conditionalFormatting sqref="AO180">
    <cfRule type="cellIs" dxfId="21" priority="21" stopIfTrue="1" operator="between">
      <formula>-0.005</formula>
      <formula>0.005</formula>
    </cfRule>
    <cfRule type="cellIs" dxfId="20" priority="22" stopIfTrue="1" operator="equal">
      <formula>"OK"</formula>
    </cfRule>
  </conditionalFormatting>
  <conditionalFormatting sqref="AZ193:BC193 AZ180:BC180 AZ204:BC204 AZ169:BC169">
    <cfRule type="cellIs" dxfId="19" priority="20" stopIfTrue="1" operator="between">
      <formula>-0.005</formula>
      <formula>0.005</formula>
    </cfRule>
  </conditionalFormatting>
  <conditionalFormatting sqref="AQ180">
    <cfRule type="cellIs" dxfId="18" priority="17" stopIfTrue="1" operator="between">
      <formula>-0.005</formula>
      <formula>0.005</formula>
    </cfRule>
  </conditionalFormatting>
  <conditionalFormatting sqref="AQ180">
    <cfRule type="cellIs" dxfId="17" priority="18" stopIfTrue="1" operator="between">
      <formula>-0.005</formula>
      <formula>0.005</formula>
    </cfRule>
    <cfRule type="cellIs" dxfId="16" priority="19" stopIfTrue="1" operator="equal">
      <formula>"OK"</formula>
    </cfRule>
  </conditionalFormatting>
  <conditionalFormatting sqref="AR204 AR193">
    <cfRule type="cellIs" dxfId="15" priority="14" stopIfTrue="1" operator="between">
      <formula>-0.005</formula>
      <formula>0.005</formula>
    </cfRule>
  </conditionalFormatting>
  <conditionalFormatting sqref="AR180">
    <cfRule type="cellIs" dxfId="14" priority="15" stopIfTrue="1" operator="between">
      <formula>-0.005</formula>
      <formula>0.005</formula>
    </cfRule>
    <cfRule type="cellIs" dxfId="13" priority="16" stopIfTrue="1" operator="equal">
      <formula>"OK"</formula>
    </cfRule>
  </conditionalFormatting>
  <conditionalFormatting sqref="AR169">
    <cfRule type="cellIs" dxfId="12" priority="12" stopIfTrue="1" operator="between">
      <formula>-0.005</formula>
      <formula>0.005</formula>
    </cfRule>
    <cfRule type="cellIs" dxfId="11" priority="13" stopIfTrue="1" operator="equal">
      <formula>"OK"</formula>
    </cfRule>
  </conditionalFormatting>
  <conditionalFormatting sqref="AS193 AS204 AS169">
    <cfRule type="cellIs" dxfId="10" priority="11" stopIfTrue="1" operator="between">
      <formula>-0.005</formula>
      <formula>0.005</formula>
    </cfRule>
  </conditionalFormatting>
  <conditionalFormatting sqref="AS180">
    <cfRule type="cellIs" dxfId="9" priority="9" stopIfTrue="1" operator="between">
      <formula>-0.005</formula>
      <formula>0.005</formula>
    </cfRule>
    <cfRule type="cellIs" dxfId="8" priority="10" stopIfTrue="1" operator="equal">
      <formula>"OK"</formula>
    </cfRule>
  </conditionalFormatting>
  <conditionalFormatting sqref="AT169">
    <cfRule type="cellIs" dxfId="7" priority="8" stopIfTrue="1" operator="between">
      <formula>-0.005</formula>
      <formula>0.005</formula>
    </cfRule>
  </conditionalFormatting>
  <conditionalFormatting sqref="BD193:BG193 BD180:BG180 BD204:BG204 BD169:BG169">
    <cfRule type="cellIs" dxfId="6" priority="7" stopIfTrue="1" operator="between">
      <formula>-0.005</formula>
      <formula>0.005</formula>
    </cfRule>
  </conditionalFormatting>
  <conditionalFormatting sqref="AV169">
    <cfRule type="cellIs" dxfId="5" priority="5" stopIfTrue="1" operator="between">
      <formula>-0.005</formula>
      <formula>0.005</formula>
    </cfRule>
    <cfRule type="cellIs" dxfId="4" priority="6" stopIfTrue="1" operator="equal">
      <formula>"OK"</formula>
    </cfRule>
  </conditionalFormatting>
  <conditionalFormatting sqref="AW193 AW204 AW169">
    <cfRule type="cellIs" dxfId="3" priority="4" stopIfTrue="1" operator="between">
      <formula>-0.005</formula>
      <formula>0.005</formula>
    </cfRule>
  </conditionalFormatting>
  <conditionalFormatting sqref="AW180">
    <cfRule type="cellIs" dxfId="2" priority="2" stopIfTrue="1" operator="between">
      <formula>-0.005</formula>
      <formula>0.005</formula>
    </cfRule>
    <cfRule type="cellIs" dxfId="1" priority="3" stopIfTrue="1" operator="equal">
      <formula>"OK"</formula>
    </cfRule>
  </conditionalFormatting>
  <conditionalFormatting sqref="BH193:BK193 BH180:BK180 BH204:BK204 BH169:BK169">
    <cfRule type="cellIs" dxfId="0" priority="1" stopIfTrue="1" operator="between">
      <formula>-0.005</formula>
      <formula>0.005</formula>
    </cfRule>
  </conditionalFormatting>
  <pageMargins left="0" right="0" top="0" bottom="0" header="0" footer="0"/>
  <pageSetup paperSize="5" scale="49" orientation="landscape" r:id="rId1"/>
  <headerFooter alignWithMargins="0"/>
  <rowBreaks count="2" manualBreakCount="2">
    <brk id="130" min="1" max="72" man="1"/>
    <brk id="261" max="64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398" bestFit="1" customWidth="1"/>
    <col min="2" max="2" width="19.85546875" style="1509" customWidth="1"/>
    <col min="3" max="3" width="12" style="1398" bestFit="1" customWidth="1"/>
    <col min="4" max="256" width="9.140625" style="1398"/>
    <col min="257" max="257" width="29.5703125" style="1398" bestFit="1" customWidth="1"/>
    <col min="258" max="258" width="19.85546875" style="1398" customWidth="1"/>
    <col min="259" max="259" width="12" style="1398" bestFit="1" customWidth="1"/>
    <col min="260" max="512" width="9.140625" style="1398"/>
    <col min="513" max="513" width="29.5703125" style="1398" bestFit="1" customWidth="1"/>
    <col min="514" max="514" width="19.85546875" style="1398" customWidth="1"/>
    <col min="515" max="515" width="12" style="1398" bestFit="1" customWidth="1"/>
    <col min="516" max="768" width="9.140625" style="1398"/>
    <col min="769" max="769" width="29.5703125" style="1398" bestFit="1" customWidth="1"/>
    <col min="770" max="770" width="19.85546875" style="1398" customWidth="1"/>
    <col min="771" max="771" width="12" style="1398" bestFit="1" customWidth="1"/>
    <col min="772" max="1024" width="9.140625" style="1398"/>
    <col min="1025" max="1025" width="29.5703125" style="1398" bestFit="1" customWidth="1"/>
    <col min="1026" max="1026" width="19.85546875" style="1398" customWidth="1"/>
    <col min="1027" max="1027" width="12" style="1398" bestFit="1" customWidth="1"/>
    <col min="1028" max="1280" width="9.140625" style="1398"/>
    <col min="1281" max="1281" width="29.5703125" style="1398" bestFit="1" customWidth="1"/>
    <col min="1282" max="1282" width="19.85546875" style="1398" customWidth="1"/>
    <col min="1283" max="1283" width="12" style="1398" bestFit="1" customWidth="1"/>
    <col min="1284" max="1536" width="9.140625" style="1398"/>
    <col min="1537" max="1537" width="29.5703125" style="1398" bestFit="1" customWidth="1"/>
    <col min="1538" max="1538" width="19.85546875" style="1398" customWidth="1"/>
    <col min="1539" max="1539" width="12" style="1398" bestFit="1" customWidth="1"/>
    <col min="1540" max="1792" width="9.140625" style="1398"/>
    <col min="1793" max="1793" width="29.5703125" style="1398" bestFit="1" customWidth="1"/>
    <col min="1794" max="1794" width="19.85546875" style="1398" customWidth="1"/>
    <col min="1795" max="1795" width="12" style="1398" bestFit="1" customWidth="1"/>
    <col min="1796" max="2048" width="9.140625" style="1398"/>
    <col min="2049" max="2049" width="29.5703125" style="1398" bestFit="1" customWidth="1"/>
    <col min="2050" max="2050" width="19.85546875" style="1398" customWidth="1"/>
    <col min="2051" max="2051" width="12" style="1398" bestFit="1" customWidth="1"/>
    <col min="2052" max="2304" width="9.140625" style="1398"/>
    <col min="2305" max="2305" width="29.5703125" style="1398" bestFit="1" customWidth="1"/>
    <col min="2306" max="2306" width="19.85546875" style="1398" customWidth="1"/>
    <col min="2307" max="2307" width="12" style="1398" bestFit="1" customWidth="1"/>
    <col min="2308" max="2560" width="9.140625" style="1398"/>
    <col min="2561" max="2561" width="29.5703125" style="1398" bestFit="1" customWidth="1"/>
    <col min="2562" max="2562" width="19.85546875" style="1398" customWidth="1"/>
    <col min="2563" max="2563" width="12" style="1398" bestFit="1" customWidth="1"/>
    <col min="2564" max="2816" width="9.140625" style="1398"/>
    <col min="2817" max="2817" width="29.5703125" style="1398" bestFit="1" customWidth="1"/>
    <col min="2818" max="2818" width="19.85546875" style="1398" customWidth="1"/>
    <col min="2819" max="2819" width="12" style="1398" bestFit="1" customWidth="1"/>
    <col min="2820" max="3072" width="9.140625" style="1398"/>
    <col min="3073" max="3073" width="29.5703125" style="1398" bestFit="1" customWidth="1"/>
    <col min="3074" max="3074" width="19.85546875" style="1398" customWidth="1"/>
    <col min="3075" max="3075" width="12" style="1398" bestFit="1" customWidth="1"/>
    <col min="3076" max="3328" width="9.140625" style="1398"/>
    <col min="3329" max="3329" width="29.5703125" style="1398" bestFit="1" customWidth="1"/>
    <col min="3330" max="3330" width="19.85546875" style="1398" customWidth="1"/>
    <col min="3331" max="3331" width="12" style="1398" bestFit="1" customWidth="1"/>
    <col min="3332" max="3584" width="9.140625" style="1398"/>
    <col min="3585" max="3585" width="29.5703125" style="1398" bestFit="1" customWidth="1"/>
    <col min="3586" max="3586" width="19.85546875" style="1398" customWidth="1"/>
    <col min="3587" max="3587" width="12" style="1398" bestFit="1" customWidth="1"/>
    <col min="3588" max="3840" width="9.140625" style="1398"/>
    <col min="3841" max="3841" width="29.5703125" style="1398" bestFit="1" customWidth="1"/>
    <col min="3842" max="3842" width="19.85546875" style="1398" customWidth="1"/>
    <col min="3843" max="3843" width="12" style="1398" bestFit="1" customWidth="1"/>
    <col min="3844" max="4096" width="9.140625" style="1398"/>
    <col min="4097" max="4097" width="29.5703125" style="1398" bestFit="1" customWidth="1"/>
    <col min="4098" max="4098" width="19.85546875" style="1398" customWidth="1"/>
    <col min="4099" max="4099" width="12" style="1398" bestFit="1" customWidth="1"/>
    <col min="4100" max="4352" width="9.140625" style="1398"/>
    <col min="4353" max="4353" width="29.5703125" style="1398" bestFit="1" customWidth="1"/>
    <col min="4354" max="4354" width="19.85546875" style="1398" customWidth="1"/>
    <col min="4355" max="4355" width="12" style="1398" bestFit="1" customWidth="1"/>
    <col min="4356" max="4608" width="9.140625" style="1398"/>
    <col min="4609" max="4609" width="29.5703125" style="1398" bestFit="1" customWidth="1"/>
    <col min="4610" max="4610" width="19.85546875" style="1398" customWidth="1"/>
    <col min="4611" max="4611" width="12" style="1398" bestFit="1" customWidth="1"/>
    <col min="4612" max="4864" width="9.140625" style="1398"/>
    <col min="4865" max="4865" width="29.5703125" style="1398" bestFit="1" customWidth="1"/>
    <col min="4866" max="4866" width="19.85546875" style="1398" customWidth="1"/>
    <col min="4867" max="4867" width="12" style="1398" bestFit="1" customWidth="1"/>
    <col min="4868" max="5120" width="9.140625" style="1398"/>
    <col min="5121" max="5121" width="29.5703125" style="1398" bestFit="1" customWidth="1"/>
    <col min="5122" max="5122" width="19.85546875" style="1398" customWidth="1"/>
    <col min="5123" max="5123" width="12" style="1398" bestFit="1" customWidth="1"/>
    <col min="5124" max="5376" width="9.140625" style="1398"/>
    <col min="5377" max="5377" width="29.5703125" style="1398" bestFit="1" customWidth="1"/>
    <col min="5378" max="5378" width="19.85546875" style="1398" customWidth="1"/>
    <col min="5379" max="5379" width="12" style="1398" bestFit="1" customWidth="1"/>
    <col min="5380" max="5632" width="9.140625" style="1398"/>
    <col min="5633" max="5633" width="29.5703125" style="1398" bestFit="1" customWidth="1"/>
    <col min="5634" max="5634" width="19.85546875" style="1398" customWidth="1"/>
    <col min="5635" max="5635" width="12" style="1398" bestFit="1" customWidth="1"/>
    <col min="5636" max="5888" width="9.140625" style="1398"/>
    <col min="5889" max="5889" width="29.5703125" style="1398" bestFit="1" customWidth="1"/>
    <col min="5890" max="5890" width="19.85546875" style="1398" customWidth="1"/>
    <col min="5891" max="5891" width="12" style="1398" bestFit="1" customWidth="1"/>
    <col min="5892" max="6144" width="9.140625" style="1398"/>
    <col min="6145" max="6145" width="29.5703125" style="1398" bestFit="1" customWidth="1"/>
    <col min="6146" max="6146" width="19.85546875" style="1398" customWidth="1"/>
    <col min="6147" max="6147" width="12" style="1398" bestFit="1" customWidth="1"/>
    <col min="6148" max="6400" width="9.140625" style="1398"/>
    <col min="6401" max="6401" width="29.5703125" style="1398" bestFit="1" customWidth="1"/>
    <col min="6402" max="6402" width="19.85546875" style="1398" customWidth="1"/>
    <col min="6403" max="6403" width="12" style="1398" bestFit="1" customWidth="1"/>
    <col min="6404" max="6656" width="9.140625" style="1398"/>
    <col min="6657" max="6657" width="29.5703125" style="1398" bestFit="1" customWidth="1"/>
    <col min="6658" max="6658" width="19.85546875" style="1398" customWidth="1"/>
    <col min="6659" max="6659" width="12" style="1398" bestFit="1" customWidth="1"/>
    <col min="6660" max="6912" width="9.140625" style="1398"/>
    <col min="6913" max="6913" width="29.5703125" style="1398" bestFit="1" customWidth="1"/>
    <col min="6914" max="6914" width="19.85546875" style="1398" customWidth="1"/>
    <col min="6915" max="6915" width="12" style="1398" bestFit="1" customWidth="1"/>
    <col min="6916" max="7168" width="9.140625" style="1398"/>
    <col min="7169" max="7169" width="29.5703125" style="1398" bestFit="1" customWidth="1"/>
    <col min="7170" max="7170" width="19.85546875" style="1398" customWidth="1"/>
    <col min="7171" max="7171" width="12" style="1398" bestFit="1" customWidth="1"/>
    <col min="7172" max="7424" width="9.140625" style="1398"/>
    <col min="7425" max="7425" width="29.5703125" style="1398" bestFit="1" customWidth="1"/>
    <col min="7426" max="7426" width="19.85546875" style="1398" customWidth="1"/>
    <col min="7427" max="7427" width="12" style="1398" bestFit="1" customWidth="1"/>
    <col min="7428" max="7680" width="9.140625" style="1398"/>
    <col min="7681" max="7681" width="29.5703125" style="1398" bestFit="1" customWidth="1"/>
    <col min="7682" max="7682" width="19.85546875" style="1398" customWidth="1"/>
    <col min="7683" max="7683" width="12" style="1398" bestFit="1" customWidth="1"/>
    <col min="7684" max="7936" width="9.140625" style="1398"/>
    <col min="7937" max="7937" width="29.5703125" style="1398" bestFit="1" customWidth="1"/>
    <col min="7938" max="7938" width="19.85546875" style="1398" customWidth="1"/>
    <col min="7939" max="7939" width="12" style="1398" bestFit="1" customWidth="1"/>
    <col min="7940" max="8192" width="9.140625" style="1398"/>
    <col min="8193" max="8193" width="29.5703125" style="1398" bestFit="1" customWidth="1"/>
    <col min="8194" max="8194" width="19.85546875" style="1398" customWidth="1"/>
    <col min="8195" max="8195" width="12" style="1398" bestFit="1" customWidth="1"/>
    <col min="8196" max="8448" width="9.140625" style="1398"/>
    <col min="8449" max="8449" width="29.5703125" style="1398" bestFit="1" customWidth="1"/>
    <col min="8450" max="8450" width="19.85546875" style="1398" customWidth="1"/>
    <col min="8451" max="8451" width="12" style="1398" bestFit="1" customWidth="1"/>
    <col min="8452" max="8704" width="9.140625" style="1398"/>
    <col min="8705" max="8705" width="29.5703125" style="1398" bestFit="1" customWidth="1"/>
    <col min="8706" max="8706" width="19.85546875" style="1398" customWidth="1"/>
    <col min="8707" max="8707" width="12" style="1398" bestFit="1" customWidth="1"/>
    <col min="8708" max="8960" width="9.140625" style="1398"/>
    <col min="8961" max="8961" width="29.5703125" style="1398" bestFit="1" customWidth="1"/>
    <col min="8962" max="8962" width="19.85546875" style="1398" customWidth="1"/>
    <col min="8963" max="8963" width="12" style="1398" bestFit="1" customWidth="1"/>
    <col min="8964" max="9216" width="9.140625" style="1398"/>
    <col min="9217" max="9217" width="29.5703125" style="1398" bestFit="1" customWidth="1"/>
    <col min="9218" max="9218" width="19.85546875" style="1398" customWidth="1"/>
    <col min="9219" max="9219" width="12" style="1398" bestFit="1" customWidth="1"/>
    <col min="9220" max="9472" width="9.140625" style="1398"/>
    <col min="9473" max="9473" width="29.5703125" style="1398" bestFit="1" customWidth="1"/>
    <col min="9474" max="9474" width="19.85546875" style="1398" customWidth="1"/>
    <col min="9475" max="9475" width="12" style="1398" bestFit="1" customWidth="1"/>
    <col min="9476" max="9728" width="9.140625" style="1398"/>
    <col min="9729" max="9729" width="29.5703125" style="1398" bestFit="1" customWidth="1"/>
    <col min="9730" max="9730" width="19.85546875" style="1398" customWidth="1"/>
    <col min="9731" max="9731" width="12" style="1398" bestFit="1" customWidth="1"/>
    <col min="9732" max="9984" width="9.140625" style="1398"/>
    <col min="9985" max="9985" width="29.5703125" style="1398" bestFit="1" customWidth="1"/>
    <col min="9986" max="9986" width="19.85546875" style="1398" customWidth="1"/>
    <col min="9987" max="9987" width="12" style="1398" bestFit="1" customWidth="1"/>
    <col min="9988" max="10240" width="9.140625" style="1398"/>
    <col min="10241" max="10241" width="29.5703125" style="1398" bestFit="1" customWidth="1"/>
    <col min="10242" max="10242" width="19.85546875" style="1398" customWidth="1"/>
    <col min="10243" max="10243" width="12" style="1398" bestFit="1" customWidth="1"/>
    <col min="10244" max="10496" width="9.140625" style="1398"/>
    <col min="10497" max="10497" width="29.5703125" style="1398" bestFit="1" customWidth="1"/>
    <col min="10498" max="10498" width="19.85546875" style="1398" customWidth="1"/>
    <col min="10499" max="10499" width="12" style="1398" bestFit="1" customWidth="1"/>
    <col min="10500" max="10752" width="9.140625" style="1398"/>
    <col min="10753" max="10753" width="29.5703125" style="1398" bestFit="1" customWidth="1"/>
    <col min="10754" max="10754" width="19.85546875" style="1398" customWidth="1"/>
    <col min="10755" max="10755" width="12" style="1398" bestFit="1" customWidth="1"/>
    <col min="10756" max="11008" width="9.140625" style="1398"/>
    <col min="11009" max="11009" width="29.5703125" style="1398" bestFit="1" customWidth="1"/>
    <col min="11010" max="11010" width="19.85546875" style="1398" customWidth="1"/>
    <col min="11011" max="11011" width="12" style="1398" bestFit="1" customWidth="1"/>
    <col min="11012" max="11264" width="9.140625" style="1398"/>
    <col min="11265" max="11265" width="29.5703125" style="1398" bestFit="1" customWidth="1"/>
    <col min="11266" max="11266" width="19.85546875" style="1398" customWidth="1"/>
    <col min="11267" max="11267" width="12" style="1398" bestFit="1" customWidth="1"/>
    <col min="11268" max="11520" width="9.140625" style="1398"/>
    <col min="11521" max="11521" width="29.5703125" style="1398" bestFit="1" customWidth="1"/>
    <col min="11522" max="11522" width="19.85546875" style="1398" customWidth="1"/>
    <col min="11523" max="11523" width="12" style="1398" bestFit="1" customWidth="1"/>
    <col min="11524" max="11776" width="9.140625" style="1398"/>
    <col min="11777" max="11777" width="29.5703125" style="1398" bestFit="1" customWidth="1"/>
    <col min="11778" max="11778" width="19.85546875" style="1398" customWidth="1"/>
    <col min="11779" max="11779" width="12" style="1398" bestFit="1" customWidth="1"/>
    <col min="11780" max="12032" width="9.140625" style="1398"/>
    <col min="12033" max="12033" width="29.5703125" style="1398" bestFit="1" customWidth="1"/>
    <col min="12034" max="12034" width="19.85546875" style="1398" customWidth="1"/>
    <col min="12035" max="12035" width="12" style="1398" bestFit="1" customWidth="1"/>
    <col min="12036" max="12288" width="9.140625" style="1398"/>
    <col min="12289" max="12289" width="29.5703125" style="1398" bestFit="1" customWidth="1"/>
    <col min="12290" max="12290" width="19.85546875" style="1398" customWidth="1"/>
    <col min="12291" max="12291" width="12" style="1398" bestFit="1" customWidth="1"/>
    <col min="12292" max="12544" width="9.140625" style="1398"/>
    <col min="12545" max="12545" width="29.5703125" style="1398" bestFit="1" customWidth="1"/>
    <col min="12546" max="12546" width="19.85546875" style="1398" customWidth="1"/>
    <col min="12547" max="12547" width="12" style="1398" bestFit="1" customWidth="1"/>
    <col min="12548" max="12800" width="9.140625" style="1398"/>
    <col min="12801" max="12801" width="29.5703125" style="1398" bestFit="1" customWidth="1"/>
    <col min="12802" max="12802" width="19.85546875" style="1398" customWidth="1"/>
    <col min="12803" max="12803" width="12" style="1398" bestFit="1" customWidth="1"/>
    <col min="12804" max="13056" width="9.140625" style="1398"/>
    <col min="13057" max="13057" width="29.5703125" style="1398" bestFit="1" customWidth="1"/>
    <col min="13058" max="13058" width="19.85546875" style="1398" customWidth="1"/>
    <col min="13059" max="13059" width="12" style="1398" bestFit="1" customWidth="1"/>
    <col min="13060" max="13312" width="9.140625" style="1398"/>
    <col min="13313" max="13313" width="29.5703125" style="1398" bestFit="1" customWidth="1"/>
    <col min="13314" max="13314" width="19.85546875" style="1398" customWidth="1"/>
    <col min="13315" max="13315" width="12" style="1398" bestFit="1" customWidth="1"/>
    <col min="13316" max="13568" width="9.140625" style="1398"/>
    <col min="13569" max="13569" width="29.5703125" style="1398" bestFit="1" customWidth="1"/>
    <col min="13570" max="13570" width="19.85546875" style="1398" customWidth="1"/>
    <col min="13571" max="13571" width="12" style="1398" bestFit="1" customWidth="1"/>
    <col min="13572" max="13824" width="9.140625" style="1398"/>
    <col min="13825" max="13825" width="29.5703125" style="1398" bestFit="1" customWidth="1"/>
    <col min="13826" max="13826" width="19.85546875" style="1398" customWidth="1"/>
    <col min="13827" max="13827" width="12" style="1398" bestFit="1" customWidth="1"/>
    <col min="13828" max="14080" width="9.140625" style="1398"/>
    <col min="14081" max="14081" width="29.5703125" style="1398" bestFit="1" customWidth="1"/>
    <col min="14082" max="14082" width="19.85546875" style="1398" customWidth="1"/>
    <col min="14083" max="14083" width="12" style="1398" bestFit="1" customWidth="1"/>
    <col min="14084" max="14336" width="9.140625" style="1398"/>
    <col min="14337" max="14337" width="29.5703125" style="1398" bestFit="1" customWidth="1"/>
    <col min="14338" max="14338" width="19.85546875" style="1398" customWidth="1"/>
    <col min="14339" max="14339" width="12" style="1398" bestFit="1" customWidth="1"/>
    <col min="14340" max="14592" width="9.140625" style="1398"/>
    <col min="14593" max="14593" width="29.5703125" style="1398" bestFit="1" customWidth="1"/>
    <col min="14594" max="14594" width="19.85546875" style="1398" customWidth="1"/>
    <col min="14595" max="14595" width="12" style="1398" bestFit="1" customWidth="1"/>
    <col min="14596" max="14848" width="9.140625" style="1398"/>
    <col min="14849" max="14849" width="29.5703125" style="1398" bestFit="1" customWidth="1"/>
    <col min="14850" max="14850" width="19.85546875" style="1398" customWidth="1"/>
    <col min="14851" max="14851" width="12" style="1398" bestFit="1" customWidth="1"/>
    <col min="14852" max="15104" width="9.140625" style="1398"/>
    <col min="15105" max="15105" width="29.5703125" style="1398" bestFit="1" customWidth="1"/>
    <col min="15106" max="15106" width="19.85546875" style="1398" customWidth="1"/>
    <col min="15107" max="15107" width="12" style="1398" bestFit="1" customWidth="1"/>
    <col min="15108" max="15360" width="9.140625" style="1398"/>
    <col min="15361" max="15361" width="29.5703125" style="1398" bestFit="1" customWidth="1"/>
    <col min="15362" max="15362" width="19.85546875" style="1398" customWidth="1"/>
    <col min="15363" max="15363" width="12" style="1398" bestFit="1" customWidth="1"/>
    <col min="15364" max="15616" width="9.140625" style="1398"/>
    <col min="15617" max="15617" width="29.5703125" style="1398" bestFit="1" customWidth="1"/>
    <col min="15618" max="15618" width="19.85546875" style="1398" customWidth="1"/>
    <col min="15619" max="15619" width="12" style="1398" bestFit="1" customWidth="1"/>
    <col min="15620" max="15872" width="9.140625" style="1398"/>
    <col min="15873" max="15873" width="29.5703125" style="1398" bestFit="1" customWidth="1"/>
    <col min="15874" max="15874" width="19.85546875" style="1398" customWidth="1"/>
    <col min="15875" max="15875" width="12" style="1398" bestFit="1" customWidth="1"/>
    <col min="15876" max="16128" width="9.140625" style="1398"/>
    <col min="16129" max="16129" width="29.5703125" style="1398" bestFit="1" customWidth="1"/>
    <col min="16130" max="16130" width="19.85546875" style="1398" customWidth="1"/>
    <col min="16131" max="16131" width="12" style="1398" bestFit="1" customWidth="1"/>
    <col min="16132" max="16384" width="9.140625" style="1398"/>
  </cols>
  <sheetData>
    <row r="1" spans="1:2">
      <c r="A1" s="1398" t="s">
        <v>728</v>
      </c>
      <c r="B1" s="1508">
        <v>6.1</v>
      </c>
    </row>
    <row r="2" spans="1:2">
      <c r="A2" s="1398" t="s">
        <v>729</v>
      </c>
      <c r="B2" s="1512">
        <v>43178.699178240742</v>
      </c>
    </row>
    <row r="3" spans="1:2">
      <c r="A3" s="1398" t="s">
        <v>730</v>
      </c>
      <c r="B3" s="1509" t="s">
        <v>424</v>
      </c>
    </row>
    <row r="4" spans="1:2">
      <c r="A4" s="1398" t="s">
        <v>731</v>
      </c>
      <c r="B4" s="1509" t="s">
        <v>197</v>
      </c>
    </row>
    <row r="5" spans="1:2">
      <c r="A5" s="1398" t="s">
        <v>732</v>
      </c>
      <c r="B5" s="1509" t="s">
        <v>733</v>
      </c>
    </row>
    <row r="6" spans="1:2">
      <c r="A6" s="1398" t="s">
        <v>734</v>
      </c>
    </row>
    <row r="7" spans="1:2">
      <c r="A7" s="1398" t="s">
        <v>292</v>
      </c>
      <c r="B7" s="1509" t="s">
        <v>778</v>
      </c>
    </row>
    <row r="8" spans="1:2">
      <c r="A8" s="1398" t="s">
        <v>735</v>
      </c>
      <c r="B8" s="1509" t="s">
        <v>736</v>
      </c>
    </row>
    <row r="9" spans="1:2">
      <c r="A9" s="1398" t="s">
        <v>737</v>
      </c>
      <c r="B9" s="1509" t="s">
        <v>774</v>
      </c>
    </row>
    <row r="10" spans="1:2">
      <c r="A10" s="1398" t="s">
        <v>738</v>
      </c>
    </row>
    <row r="11" spans="1:2">
      <c r="A11" s="1398" t="s">
        <v>739</v>
      </c>
    </row>
    <row r="12" spans="1:2">
      <c r="A12" s="1398" t="s">
        <v>740</v>
      </c>
    </row>
    <row r="13" spans="1:2">
      <c r="A13" s="1398" t="s">
        <v>741</v>
      </c>
    </row>
    <row r="14" spans="1:2">
      <c r="A14" s="1398" t="s">
        <v>742</v>
      </c>
    </row>
    <row r="15" spans="1:2">
      <c r="A15" s="1398" t="s">
        <v>743</v>
      </c>
    </row>
    <row r="16" spans="1:2">
      <c r="A16" s="1398" t="s">
        <v>744</v>
      </c>
    </row>
    <row r="17" spans="1:4">
      <c r="A17" s="1398" t="s">
        <v>745</v>
      </c>
      <c r="B17" s="1509" t="s">
        <v>775</v>
      </c>
    </row>
    <row r="18" spans="1:4">
      <c r="A18" s="1398" t="s">
        <v>746</v>
      </c>
      <c r="B18" s="1509" t="s">
        <v>779</v>
      </c>
    </row>
    <row r="19" spans="1:4">
      <c r="A19" s="1398" t="s">
        <v>747</v>
      </c>
      <c r="B19" s="1509" t="s">
        <v>151</v>
      </c>
    </row>
    <row r="20" spans="1:4">
      <c r="A20" s="1398" t="s">
        <v>748</v>
      </c>
      <c r="B20" s="1510"/>
    </row>
    <row r="21" spans="1:4">
      <c r="A21" s="1398" t="s">
        <v>749</v>
      </c>
      <c r="B21" s="1509" t="s">
        <v>151</v>
      </c>
    </row>
    <row r="22" spans="1:4">
      <c r="A22" s="1398" t="s">
        <v>750</v>
      </c>
      <c r="B22" s="1510" t="s">
        <v>389</v>
      </c>
    </row>
    <row r="23" spans="1:4">
      <c r="A23" s="1398" t="s">
        <v>135</v>
      </c>
      <c r="B23" s="1508">
        <v>244.95</v>
      </c>
    </row>
    <row r="24" spans="1:4">
      <c r="A24" s="1398" t="s">
        <v>134</v>
      </c>
      <c r="B24" s="1509" t="s">
        <v>30</v>
      </c>
      <c r="D24" s="1398" t="s">
        <v>200</v>
      </c>
    </row>
    <row r="25" spans="1:4">
      <c r="A25" s="1398" t="s">
        <v>751</v>
      </c>
      <c r="B25" s="1509" t="s">
        <v>780</v>
      </c>
    </row>
    <row r="26" spans="1:4">
      <c r="A26" s="1398" t="s">
        <v>752</v>
      </c>
      <c r="B26" s="1509">
        <v>0</v>
      </c>
    </row>
    <row r="27" spans="1:4">
      <c r="A27" s="1398" t="s">
        <v>753</v>
      </c>
      <c r="B27" s="1509" t="s">
        <v>754</v>
      </c>
    </row>
    <row r="28" spans="1:4">
      <c r="A28" s="1398" t="s">
        <v>755</v>
      </c>
      <c r="B28" s="1509" t="s">
        <v>756</v>
      </c>
    </row>
    <row r="29" spans="1:4">
      <c r="A29" s="1398" t="s">
        <v>757</v>
      </c>
    </row>
    <row r="30" spans="1:4">
      <c r="A30" s="1398" t="s">
        <v>758</v>
      </c>
    </row>
    <row r="31" spans="1:4">
      <c r="A31" s="1398" t="s">
        <v>759</v>
      </c>
    </row>
    <row r="32" spans="1:4">
      <c r="A32" s="1398" t="s">
        <v>760</v>
      </c>
      <c r="B32" s="1508"/>
    </row>
    <row r="33" spans="1:2">
      <c r="A33" s="1398" t="s">
        <v>761</v>
      </c>
      <c r="B33" s="1508"/>
    </row>
    <row r="34" spans="1:2">
      <c r="A34" s="1398" t="s">
        <v>762</v>
      </c>
      <c r="B34" s="1508"/>
    </row>
    <row r="35" spans="1:2">
      <c r="A35" s="1398" t="s">
        <v>763</v>
      </c>
      <c r="B35" s="1509">
        <v>1000000</v>
      </c>
    </row>
    <row r="36" spans="1:2">
      <c r="A36" s="1398" t="s">
        <v>764</v>
      </c>
      <c r="B36" s="1509" t="s">
        <v>776</v>
      </c>
    </row>
    <row r="37" spans="1:2">
      <c r="A37" s="1398" t="s">
        <v>765</v>
      </c>
      <c r="B37" s="1509" t="s">
        <v>766</v>
      </c>
    </row>
    <row r="38" spans="1:2">
      <c r="A38" s="1398" t="s">
        <v>767</v>
      </c>
      <c r="B38" s="1509" t="s">
        <v>768</v>
      </c>
    </row>
    <row r="39" spans="1:2">
      <c r="A39" s="1398" t="s">
        <v>769</v>
      </c>
      <c r="B39" s="1509" t="s">
        <v>777</v>
      </c>
    </row>
    <row r="40" spans="1:2">
      <c r="A40" s="1398" t="s">
        <v>770</v>
      </c>
      <c r="B40" s="1509">
        <v>1500000092</v>
      </c>
    </row>
    <row r="41" spans="1:2">
      <c r="A41" s="1398" t="s">
        <v>771</v>
      </c>
      <c r="B41" s="1509">
        <v>1</v>
      </c>
    </row>
    <row r="42" spans="1:2">
      <c r="A42" s="1511" t="s">
        <v>772</v>
      </c>
    </row>
    <row r="43" spans="1:2">
      <c r="A43" s="1398" t="s">
        <v>773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398" bestFit="1" customWidth="1"/>
    <col min="2" max="256" width="9.140625" style="1398"/>
    <col min="257" max="257" width="28.5703125" style="1398" bestFit="1" customWidth="1"/>
    <col min="258" max="512" width="9.140625" style="1398"/>
    <col min="513" max="513" width="28.5703125" style="1398" bestFit="1" customWidth="1"/>
    <col min="514" max="768" width="9.140625" style="1398"/>
    <col min="769" max="769" width="28.5703125" style="1398" bestFit="1" customWidth="1"/>
    <col min="770" max="1024" width="9.140625" style="1398"/>
    <col min="1025" max="1025" width="28.5703125" style="1398" bestFit="1" customWidth="1"/>
    <col min="1026" max="1280" width="9.140625" style="1398"/>
    <col min="1281" max="1281" width="28.5703125" style="1398" bestFit="1" customWidth="1"/>
    <col min="1282" max="1536" width="9.140625" style="1398"/>
    <col min="1537" max="1537" width="28.5703125" style="1398" bestFit="1" customWidth="1"/>
    <col min="1538" max="1792" width="9.140625" style="1398"/>
    <col min="1793" max="1793" width="28.5703125" style="1398" bestFit="1" customWidth="1"/>
    <col min="1794" max="2048" width="9.140625" style="1398"/>
    <col min="2049" max="2049" width="28.5703125" style="1398" bestFit="1" customWidth="1"/>
    <col min="2050" max="2304" width="9.140625" style="1398"/>
    <col min="2305" max="2305" width="28.5703125" style="1398" bestFit="1" customWidth="1"/>
    <col min="2306" max="2560" width="9.140625" style="1398"/>
    <col min="2561" max="2561" width="28.5703125" style="1398" bestFit="1" customWidth="1"/>
    <col min="2562" max="2816" width="9.140625" style="1398"/>
    <col min="2817" max="2817" width="28.5703125" style="1398" bestFit="1" customWidth="1"/>
    <col min="2818" max="3072" width="9.140625" style="1398"/>
    <col min="3073" max="3073" width="28.5703125" style="1398" bestFit="1" customWidth="1"/>
    <col min="3074" max="3328" width="9.140625" style="1398"/>
    <col min="3329" max="3329" width="28.5703125" style="1398" bestFit="1" customWidth="1"/>
    <col min="3330" max="3584" width="9.140625" style="1398"/>
    <col min="3585" max="3585" width="28.5703125" style="1398" bestFit="1" customWidth="1"/>
    <col min="3586" max="3840" width="9.140625" style="1398"/>
    <col min="3841" max="3841" width="28.5703125" style="1398" bestFit="1" customWidth="1"/>
    <col min="3842" max="4096" width="9.140625" style="1398"/>
    <col min="4097" max="4097" width="28.5703125" style="1398" bestFit="1" customWidth="1"/>
    <col min="4098" max="4352" width="9.140625" style="1398"/>
    <col min="4353" max="4353" width="28.5703125" style="1398" bestFit="1" customWidth="1"/>
    <col min="4354" max="4608" width="9.140625" style="1398"/>
    <col min="4609" max="4609" width="28.5703125" style="1398" bestFit="1" customWidth="1"/>
    <col min="4610" max="4864" width="9.140625" style="1398"/>
    <col min="4865" max="4865" width="28.5703125" style="1398" bestFit="1" customWidth="1"/>
    <col min="4866" max="5120" width="9.140625" style="1398"/>
    <col min="5121" max="5121" width="28.5703125" style="1398" bestFit="1" customWidth="1"/>
    <col min="5122" max="5376" width="9.140625" style="1398"/>
    <col min="5377" max="5377" width="28.5703125" style="1398" bestFit="1" customWidth="1"/>
    <col min="5378" max="5632" width="9.140625" style="1398"/>
    <col min="5633" max="5633" width="28.5703125" style="1398" bestFit="1" customWidth="1"/>
    <col min="5634" max="5888" width="9.140625" style="1398"/>
    <col min="5889" max="5889" width="28.5703125" style="1398" bestFit="1" customWidth="1"/>
    <col min="5890" max="6144" width="9.140625" style="1398"/>
    <col min="6145" max="6145" width="28.5703125" style="1398" bestFit="1" customWidth="1"/>
    <col min="6146" max="6400" width="9.140625" style="1398"/>
    <col min="6401" max="6401" width="28.5703125" style="1398" bestFit="1" customWidth="1"/>
    <col min="6402" max="6656" width="9.140625" style="1398"/>
    <col min="6657" max="6657" width="28.5703125" style="1398" bestFit="1" customWidth="1"/>
    <col min="6658" max="6912" width="9.140625" style="1398"/>
    <col min="6913" max="6913" width="28.5703125" style="1398" bestFit="1" customWidth="1"/>
    <col min="6914" max="7168" width="9.140625" style="1398"/>
    <col min="7169" max="7169" width="28.5703125" style="1398" bestFit="1" customWidth="1"/>
    <col min="7170" max="7424" width="9.140625" style="1398"/>
    <col min="7425" max="7425" width="28.5703125" style="1398" bestFit="1" customWidth="1"/>
    <col min="7426" max="7680" width="9.140625" style="1398"/>
    <col min="7681" max="7681" width="28.5703125" style="1398" bestFit="1" customWidth="1"/>
    <col min="7682" max="7936" width="9.140625" style="1398"/>
    <col min="7937" max="7937" width="28.5703125" style="1398" bestFit="1" customWidth="1"/>
    <col min="7938" max="8192" width="9.140625" style="1398"/>
    <col min="8193" max="8193" width="28.5703125" style="1398" bestFit="1" customWidth="1"/>
    <col min="8194" max="8448" width="9.140625" style="1398"/>
    <col min="8449" max="8449" width="28.5703125" style="1398" bestFit="1" customWidth="1"/>
    <col min="8450" max="8704" width="9.140625" style="1398"/>
    <col min="8705" max="8705" width="28.5703125" style="1398" bestFit="1" customWidth="1"/>
    <col min="8706" max="8960" width="9.140625" style="1398"/>
    <col min="8961" max="8961" width="28.5703125" style="1398" bestFit="1" customWidth="1"/>
    <col min="8962" max="9216" width="9.140625" style="1398"/>
    <col min="9217" max="9217" width="28.5703125" style="1398" bestFit="1" customWidth="1"/>
    <col min="9218" max="9472" width="9.140625" style="1398"/>
    <col min="9473" max="9473" width="28.5703125" style="1398" bestFit="1" customWidth="1"/>
    <col min="9474" max="9728" width="9.140625" style="1398"/>
    <col min="9729" max="9729" width="28.5703125" style="1398" bestFit="1" customWidth="1"/>
    <col min="9730" max="9984" width="9.140625" style="1398"/>
    <col min="9985" max="9985" width="28.5703125" style="1398" bestFit="1" customWidth="1"/>
    <col min="9986" max="10240" width="9.140625" style="1398"/>
    <col min="10241" max="10241" width="28.5703125" style="1398" bestFit="1" customWidth="1"/>
    <col min="10242" max="10496" width="9.140625" style="1398"/>
    <col min="10497" max="10497" width="28.5703125" style="1398" bestFit="1" customWidth="1"/>
    <col min="10498" max="10752" width="9.140625" style="1398"/>
    <col min="10753" max="10753" width="28.5703125" style="1398" bestFit="1" customWidth="1"/>
    <col min="10754" max="11008" width="9.140625" style="1398"/>
    <col min="11009" max="11009" width="28.5703125" style="1398" bestFit="1" customWidth="1"/>
    <col min="11010" max="11264" width="9.140625" style="1398"/>
    <col min="11265" max="11265" width="28.5703125" style="1398" bestFit="1" customWidth="1"/>
    <col min="11266" max="11520" width="9.140625" style="1398"/>
    <col min="11521" max="11521" width="28.5703125" style="1398" bestFit="1" customWidth="1"/>
    <col min="11522" max="11776" width="9.140625" style="1398"/>
    <col min="11777" max="11777" width="28.5703125" style="1398" bestFit="1" customWidth="1"/>
    <col min="11778" max="12032" width="9.140625" style="1398"/>
    <col min="12033" max="12033" width="28.5703125" style="1398" bestFit="1" customWidth="1"/>
    <col min="12034" max="12288" width="9.140625" style="1398"/>
    <col min="12289" max="12289" width="28.5703125" style="1398" bestFit="1" customWidth="1"/>
    <col min="12290" max="12544" width="9.140625" style="1398"/>
    <col min="12545" max="12545" width="28.5703125" style="1398" bestFit="1" customWidth="1"/>
    <col min="12546" max="12800" width="9.140625" style="1398"/>
    <col min="12801" max="12801" width="28.5703125" style="1398" bestFit="1" customWidth="1"/>
    <col min="12802" max="13056" width="9.140625" style="1398"/>
    <col min="13057" max="13057" width="28.5703125" style="1398" bestFit="1" customWidth="1"/>
    <col min="13058" max="13312" width="9.140625" style="1398"/>
    <col min="13313" max="13313" width="28.5703125" style="1398" bestFit="1" customWidth="1"/>
    <col min="13314" max="13568" width="9.140625" style="1398"/>
    <col min="13569" max="13569" width="28.5703125" style="1398" bestFit="1" customWidth="1"/>
    <col min="13570" max="13824" width="9.140625" style="1398"/>
    <col min="13825" max="13825" width="28.5703125" style="1398" bestFit="1" customWidth="1"/>
    <col min="13826" max="14080" width="9.140625" style="1398"/>
    <col min="14081" max="14081" width="28.5703125" style="1398" bestFit="1" customWidth="1"/>
    <col min="14082" max="14336" width="9.140625" style="1398"/>
    <col min="14337" max="14337" width="28.5703125" style="1398" bestFit="1" customWidth="1"/>
    <col min="14338" max="14592" width="9.140625" style="1398"/>
    <col min="14593" max="14593" width="28.5703125" style="1398" bestFit="1" customWidth="1"/>
    <col min="14594" max="14848" width="9.140625" style="1398"/>
    <col min="14849" max="14849" width="28.5703125" style="1398" bestFit="1" customWidth="1"/>
    <col min="14850" max="15104" width="9.140625" style="1398"/>
    <col min="15105" max="15105" width="28.5703125" style="1398" bestFit="1" customWidth="1"/>
    <col min="15106" max="15360" width="9.140625" style="1398"/>
    <col min="15361" max="15361" width="28.5703125" style="1398" bestFit="1" customWidth="1"/>
    <col min="15362" max="15616" width="9.140625" style="1398"/>
    <col min="15617" max="15617" width="28.5703125" style="1398" bestFit="1" customWidth="1"/>
    <col min="15618" max="15872" width="9.140625" style="1398"/>
    <col min="15873" max="15873" width="28.5703125" style="1398" bestFit="1" customWidth="1"/>
    <col min="15874" max="16128" width="9.140625" style="1398"/>
    <col min="16129" max="16129" width="28.5703125" style="1398" bestFit="1" customWidth="1"/>
    <col min="16130" max="16384" width="9.140625" style="1398"/>
  </cols>
  <sheetData>
    <row r="1" spans="1:1">
      <c r="A1" s="1513" t="s">
        <v>781</v>
      </c>
    </row>
    <row r="2" spans="1:1">
      <c r="A2" s="1513" t="s">
        <v>786</v>
      </c>
    </row>
    <row r="3" spans="1:1">
      <c r="A3" s="1513" t="s">
        <v>787</v>
      </c>
    </row>
    <row r="4" spans="1:1">
      <c r="A4" s="1513" t="s">
        <v>788</v>
      </c>
    </row>
    <row r="5" spans="1:1">
      <c r="A5" s="1513" t="s">
        <v>789</v>
      </c>
    </row>
    <row r="6" spans="1:1">
      <c r="A6" s="1513" t="s">
        <v>782</v>
      </c>
    </row>
    <row r="7" spans="1:1">
      <c r="A7" s="1513" t="s">
        <v>790</v>
      </c>
    </row>
    <row r="8" spans="1:1">
      <c r="A8" s="1513" t="s">
        <v>791</v>
      </c>
    </row>
    <row r="9" spans="1:1">
      <c r="A9" s="1513" t="s">
        <v>792</v>
      </c>
    </row>
    <row r="10" spans="1:1">
      <c r="A10" s="1513" t="s">
        <v>783</v>
      </c>
    </row>
    <row r="11" spans="1:1">
      <c r="A11" s="1513" t="s">
        <v>793</v>
      </c>
    </row>
    <row r="12" spans="1:1">
      <c r="A12" s="1513" t="s">
        <v>784</v>
      </c>
    </row>
    <row r="13" spans="1:1">
      <c r="A13" s="1513" t="s">
        <v>785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R2"/>
  <sheetViews>
    <sheetView workbookViewId="0"/>
  </sheetViews>
  <sheetFormatPr defaultRowHeight="12.75"/>
  <sheetData>
    <row r="1" spans="1:44">
      <c r="A1" t="s">
        <v>376</v>
      </c>
    </row>
    <row r="2" spans="1:44">
      <c r="A2" s="281" t="s">
        <v>131</v>
      </c>
      <c r="B2" s="281" t="s">
        <v>132</v>
      </c>
      <c r="C2" s="281" t="s">
        <v>187</v>
      </c>
      <c r="D2" s="281" t="s">
        <v>132</v>
      </c>
      <c r="E2" s="281" t="s">
        <v>367</v>
      </c>
      <c r="F2" s="281" t="s">
        <v>132</v>
      </c>
      <c r="G2" s="281" t="s">
        <v>188</v>
      </c>
      <c r="H2" s="281" t="s">
        <v>132</v>
      </c>
      <c r="I2" s="281" t="s">
        <v>373</v>
      </c>
      <c r="J2" s="281" t="s">
        <v>132</v>
      </c>
      <c r="K2" s="281" t="s">
        <v>368</v>
      </c>
      <c r="L2" s="281" t="s">
        <v>132</v>
      </c>
      <c r="M2" s="281" t="s">
        <v>107</v>
      </c>
      <c r="N2" s="281" t="s">
        <v>127</v>
      </c>
      <c r="O2" s="281" t="s">
        <v>130</v>
      </c>
      <c r="P2" s="281" t="s">
        <v>132</v>
      </c>
      <c r="Q2" s="281" t="s">
        <v>152</v>
      </c>
      <c r="R2" s="281" t="s">
        <v>30</v>
      </c>
      <c r="S2" s="281" t="s">
        <v>190</v>
      </c>
      <c r="T2" s="281" t="s">
        <v>30</v>
      </c>
      <c r="U2" s="281" t="s">
        <v>129</v>
      </c>
      <c r="V2" s="281" t="s">
        <v>132</v>
      </c>
      <c r="W2" s="281" t="s">
        <v>375</v>
      </c>
      <c r="X2" s="281" t="s">
        <v>132</v>
      </c>
      <c r="Y2" s="281" t="s">
        <v>191</v>
      </c>
      <c r="Z2" s="281" t="s">
        <v>132</v>
      </c>
      <c r="AA2" s="281" t="s">
        <v>109</v>
      </c>
      <c r="AB2" s="281" t="s">
        <v>128</v>
      </c>
      <c r="AC2" s="281" t="s">
        <v>193</v>
      </c>
      <c r="AD2" s="281" t="s">
        <v>132</v>
      </c>
      <c r="AE2" s="281" t="s">
        <v>189</v>
      </c>
      <c r="AF2" s="281" t="s">
        <v>192</v>
      </c>
      <c r="AG2" s="862" t="s">
        <v>153</v>
      </c>
      <c r="AH2" s="862" t="s">
        <v>389</v>
      </c>
      <c r="AI2" s="862" t="s">
        <v>374</v>
      </c>
      <c r="AJ2" s="862" t="s">
        <v>132</v>
      </c>
      <c r="AK2" s="862" t="s">
        <v>108</v>
      </c>
      <c r="AL2" s="862" t="s">
        <v>30</v>
      </c>
      <c r="AM2" s="862" t="s">
        <v>186</v>
      </c>
      <c r="AN2" s="862" t="s">
        <v>132</v>
      </c>
      <c r="AO2" s="862" t="s">
        <v>369</v>
      </c>
      <c r="AP2" s="862" t="s">
        <v>132</v>
      </c>
      <c r="AQ2" s="862" t="s">
        <v>154</v>
      </c>
      <c r="AR2" s="862" t="s">
        <v>132</v>
      </c>
    </row>
  </sheetData>
  <phoneticPr fontId="46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aee4d174-7c78-4b5c-9e8c-50a722d7e8b3</GUID>
    <SOURCETYPE>Chart</SOURCETYPE>
    <SOURCE_OBJECTNAME>Chart 1</SOURCE_OBJECTNAME>
    <SOURCE_SHEETCODE>Sheet32</SOURCE_SHEETCODE>
    <SOURCE_SHEETNAME>Exhibits</SOURCE_SHEETNAME>
    <OBJECTTYPE>Native</OBJECTTYPE>
    <SOURCEAPPLICATION>EXCEL_SOURCE</SOURCEAPPLICATION>
    <UPDATEDAT>4/29/2015 1:14:54 PM</UPDATEDAT>
    <SOURCE_ISOUTOFDATE>False</SOURCE_ISOUTOFDATE>
    <SOURCE_WORKBOOKNAME>AVGO WIP.xlsm</SOURCE_WORKBOOKNAME>
    <SOURCE_WORKBOOKPATH>\\Msad\root\NA\NY\lib\ER\SEMI CAP\Joe Files\Companies\AVGO\Models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/MSResearch/Content/ExternalAssets/2015-04/Images/D5wdqzyHDUCqU--JhF0uwA--.png</TARGET_BINARYFULLNAME>
    <TARGET_STORYFULLNAME>/MSResearch/Content/ExternalAssets/2015-04/Sections/20150428_053832_Chart1.xml</TARGET_STORYFULLNAME>
    <TARGET_UUID>ea89f60e-edee-11e4-aeba-9bba02fefb2a</TARGET_UUID>
    <LINKSTATUS>Unknown</LINKSTATUS>
  </Link>
  <Link>
    <GUID>07e1b9a1-39a9-4431-be49-fa743c86bda4</GUID>
    <SOURCETYPE>Chart</SOURCETYPE>
    <SOURCE_OBJECTNAME>Chart 1466</SOURCE_OBJECTNAME>
    <SOURCE_SHEETCODE>Sheet32</SOURCE_SHEETCODE>
    <SOURCE_SHEETNAME>Exhibits</SOURCE_SHEETNAME>
    <OBJECTTYPE>Native</OBJECTTYPE>
    <SOURCEAPPLICATION>EXCEL_SOURCE</SOURCEAPPLICATION>
    <UPDATEDAT>4/29/2015 1:14:54 PM</UPDATEDAT>
    <SOURCE_ISOUTOFDATE>False</SOURCE_ISOUTOFDATE>
    <SOURCE_WORKBOOKNAME>AVGO WIP.xlsm</SOURCE_WORKBOOKNAME>
    <SOURCE_WORKBOOKPATH>\\Msad\root\NA\NY\lib\ER\SEMI CAP\Joe Files\Companies\AVGO\Models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/MSResearch/Content/ExternalAssets/2015-04/Images/xolDUX1SFkqW3Cm4R8YeOg--.png</TARGET_BINARYFULLNAME>
    <TARGET_STORYFULLNAME>/MSResearch/Content/ExternalAssets/2015-04/Sections/20150428_053854_Chart1466.xml</TARGET_STORYFULLNAME>
    <TARGET_UUID>f8167ef0-edee-11e4-aeba-9bba02fefb2a</TARGET_UUID>
    <HIDEGRIDLINES>False</HIDEGRIDLINES>
    <LINKSTATUS>Unknown</LINKSTATUS>
  </Link>
  <Link>
    <GUID>e64130ad-0550-4bfe-b32c-7618c1f12cde</GUID>
    <SOURCE_ALTADDRESS>$EO$715:$ES$721</SOURCE_ALTADDRESS>
    <SOURCETYPE>Table</SOURCETYPE>
    <SOURCE_OBJECTNAME>Linking_Range_57</SOURCE_OBJECTNAME>
    <OBJECTTYPE>Native</OBJECTTYPE>
    <SOURCE_SHEETCODE>Sheet32</SOURCE_SHEETCODE>
    <SOURCE_SHEETNAME>Exhibits</SOURCE_SHEETNAME>
    <SOURCEAPPLICATION>EXCEL_SOURCE</SOURCEAPPLICATION>
    <UPDATEDAT>4/29/2015 1:14:55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/MSResearch/Content/ExternalAssets/2015-04/Images/omeZzow2MEOE8Apsc6VqEg--.png</TARGET_BINARYFULLNAME>
    <TARGET_STORYFULLNAME>/MSResearch/Content/ExternalAssets/2015-04/Sections/20150429_011404_Linking_Range_57.xml</TARGET_STORYFULLNAME>
    <TARGET_UUID>23514970-ee93-11e4-aeba-9bba02fefb2a</TARGET_UUID>
    <LINKSTATUS>Unknown</LINKSTATUS>
  </Link>
  <Link>
    <GUID>55515f5b-ebf6-4ea3-a542-0d96dd0b3744</GUID>
    <SOURCE_ALTADDRESS>$EO$715:$ES$723</SOURCE_ALTADDRESS>
    <SOURCETYPE>Table</SOURCETYPE>
    <SOURCE_OBJECTNAME>Linking_Range_58</SOURCE_OBJECTNAME>
    <OBJECTTYPE>Native</OBJECTTYPE>
    <SOURCE_SHEETCODE>Sheet32</SOURCE_SHEETCODE>
    <SOURCE_SHEETNAME>Exhibits</SOURCE_SHEETNAME>
    <SOURCEAPPLICATION>EXCEL_SOURCE</SOURCEAPPLICATION>
    <UPDATEDAT>4/29/2015 1:43:37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/MSResearch/Content/ExternalAssets/2015-04/Images/1OCBy8gbs0WNBeof0y8LVQ--.png</TARGET_BINARYFULLNAME>
    <TARGET_STORYFULLNAME>/MSResearch/Content/ExternalAssets/2015-04/Sections/20150429_014323_Linking_Range_58.xml</TARGET_STORYFULLNAME>
    <TARGET_UUID>3b73c416-ee97-11e4-aeba-9bba02fefb2a</TARGET_UUID>
  </Link>
  <Link>
    <GUID>34445bc3-317e-48cd-bbd3-d3ba58fd317c</GUID>
    <SOURCE_ALTADDRESS>$EO$715:$ET$723</SOURCE_ALTADDRESS>
    <SOURCETYPE>Table</SOURCETYPE>
    <SOURCE_OBJECTNAME>Linking_Range_59</SOURCE_OBJECTNAME>
    <OBJECTTYPE>Native</OBJECTTYPE>
    <SOURCE_SHEETCODE>Sheet32</SOURCE_SHEETCODE>
    <SOURCE_SHEETNAME>Exhibits</SOURCE_SHEETNAME>
    <SOURCEAPPLICATION>EXCEL_SOURCE</SOURCEAPPLICATION>
    <UPDATEDAT>4/29/2015 1:44:04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/MSResearch/Content/ExternalAssets/2015-04/Images/TSSWjFAvv0G5NxUrc0jGuQ--.png</TARGET_BINARYFULLNAME>
    <TARGET_STORYFULLNAME>/MSResearch/Content/ExternalAssets/2015-04/Sections/20150429_014357_Linking_Range_59.xml</TARGET_STORYFULLNAME>
    <TARGET_UUID>4fefb22e-ee97-11e4-aeba-9bba02fefb2a</TARGET_UUID>
  </Link>
  <Link>
    <GUID>18117ff0-b4bc-4e83-ae8a-fffdd44cb437</GUID>
    <SOURCE_ALTADDRESS>$B$3:$G$31</SOURCE_ALTADDRESS>
    <SOURCETYPE>Table</SOURCETYPE>
    <SOURCE_OBJECTNAME>Linking_Range_61</SOURCE_OBJECTNAME>
    <OBJECTTYPE>Native</OBJECTTYPE>
    <SOURCE_SHEETCODE>Sheet40</SOURCE_SHEETCODE>
    <SOURCE_SHEETNAME>AVGO-ELX 2015 (Non-GAAP)</SOURCE_SHEETNAME>
    <SOURCEAPPLICATION>EXCEL_SOURCE</SOURCEAPPLICATION>
    <UPDATEDAT>5/12/2015 3:51:10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/MSResearch/Content/ExternalAssets/2015-05/Images/UwwJnbIVgESrkPzmfDTTEA--.png</TARGET_BINARYFULLNAME>
    <TARGET_STORYFULLNAME>/MSResearch/Content/ExternalAssets/2015-05/Sections/20150512_035108_Linking_Range_61.xml</TARGET_STORYFULLNAME>
    <TARGET_UUID>3b93cdb2-f8e0-11e4-b06e-39cc228b6d15</TARGET_UUID>
  </Link>
  <Link>
    <GUID>76ffd669-b874-4658-89f5-c463b455ca05</GUID>
    <SOURCE_ALTADDRESS>$D$7:$R$15</SOURCE_ALTADDRESS>
    <SOURCETYPE>Table</SOURCETYPE>
    <SOURCE_OBJECTNAME>Linking_Range_19</SOURCE_OBJECTNAME>
    <OBJECTTYPE>Native</OBJECTTYPE>
    <SOURCE_SHEETCODE>Sheet34</SOURCE_SHEETCODE>
    <SOURCE_SHEETNAME>MS vs. Cons.</SOURCE_SHEETNAME>
    <SOURCEAPPLICATION>EXCEL_SOURCE</SOURCEAPPLICATION>
    <UPDATEDAT>5/12/2015 4:05:24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/MSResearch/Content/ExternalAssets/2015-05/Images/7lzY3Bh4L0y1Dccb_iTk8g--.png</TARGET_BINARYFULLNAME>
    <TARGET_STORYFULLNAME>/MSResearch/Content/ExternalAssets/2015-05/Sections/20150512_034635_Linking_Range_19.xml</TARGET_STORYFULLNAME>
    <TARGET_UUID>98d67606-f8df-11e4-b06e-39cc228b6d15</TARGET_UUID>
    <LINKSTATUS>Unknown</LINKSTATUS>
  </Link>
  <Link>
    <GUID>a11d4211-63d7-41fc-9ff6-d3ee99e6f75a</GUID>
    <SOURCE_ALTADDRESS>$B$2:$G$31</SOURCE_ALTADDRESS>
    <SOURCETYPE>Table</SOURCETYPE>
    <SOURCE_OBJECTNAME>Linking_Range_60</SOURCE_OBJECTNAME>
    <OBJECTTYPE>Native</OBJECTTYPE>
    <SOURCE_SHEETCODE>Sheet41</SOURCE_SHEETCODE>
    <SOURCE_SHEETNAME>AVGO-ELX 2016 (Non-GAAP)</SOURCE_SHEETNAME>
    <SOURCEAPPLICATION>EXCEL_SOURCE</SOURCEAPPLICATION>
    <UPDATEDAT>5/14/2015 1:50:06 PM</UPDATEDAT>
    <SOURCE_ISOUTOFDATE>False</SOURCE_ISOUTOFDATE>
    <SOURCE_WORKBOOKNAME>AVGO WIP.xlsm</SOURCE_WORKBOOKNAME>
    <SOURCE_WORKBOOKPATH>\\MSAD\ROOT\NA\NY\LIB\ER\SEMI CAP\Joe Files\Companies\AVGO\Models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/MSResearch/Content/ExternalAssets/2015-05/Images/OiF1-QV1G0qfAF9rW4mwDg--.png</TARGET_BINARYFULLNAME>
    <TARGET_STORYFULLNAME>/MSResearch/Content/ExternalAssets/2015-05/Sections/20150512_034953_Linking_Range_60.xml</TARGET_STORYFULLNAME>
    <TARGET_UUID>0f20f534-f8e0-11e4-b06e-39cc228b6d15</TARGET_UUID>
    <LINKSTATUS>Unknown</LINKSTATUS>
    <TRANSPARENTBACKGROUND>False</TRANSPARENTBACKGROUND>
    <TRANSPARENTPLOTAREA>False</TRANSPARENTPLOTAREA>
  </Link>
  <Link>
    <GUID>234572b6-b9a4-469b-b404-aac2f07a5831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5/14/2015 4:31:08 PM</UPDATEDAT>
    <SOURCE_ISOUTOFDATE>False</SOURCE_ISOUTOFDATE>
    <SOURCE_WORKBOOKNAME>AVGO WIP.xlsm</SOURCE_WORKBOOKNAME>
    <SOURCE_WORKBOOKPATH>\\MSAD\ROOT\NA\NY\LIB\ER\SEMI CAP\Joe Files\Companies\AVGO\Models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/MSResearch/Content/ExternalAssets/2015-04/Images/0ATGxClI_UuC7VgRo1-jgQ--.png</TARGET_BINARYFULLNAME>
    <TARGET_STORYFULLNAME>/MSResearch/Content/ExternalAssets/2015-04/Sections/20150429_045639_MWA_Risk_Reward.xml</TARGET_STORYFULLNAME>
    <TARGET_UUID>3b14a20e-eeb2-11e4-aeba-9bba02fefb2a</TARGET_UUID>
    <HIDEGRIDLINES>False</HIDEGRIDLINES>
    <LINKSTATUS>Unknown</LINKSTATUS>
  </Link>
</lk:Links>
</file>

<file path=customXml/item2.xml><?xml version="1.0" encoding="utf-8"?>
<lkmtd:Metadata xmlns:lkmtd="thomsonreuters.linking.metadatachange">
  <MetadataChanged>1</MetadataChanged>
</lkmtd:Metadata>
</file>

<file path=customXml/itemProps1.xml><?xml version="1.0" encoding="utf-8"?>
<ds:datastoreItem xmlns:ds="http://schemas.openxmlformats.org/officeDocument/2006/customXml" ds:itemID="{3F144853-0A33-45A5-8164-7DB462B299D0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330D4BE6-586F-448C-86D0-F393F10C7861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96</vt:i4>
      </vt:variant>
    </vt:vector>
  </HeadingPairs>
  <TitlesOfParts>
    <vt:vector size="103" baseType="lpstr">
      <vt:lpstr>ImportantDisclosures</vt:lpstr>
      <vt:lpstr>AVGO IS</vt:lpstr>
      <vt:lpstr>BS </vt:lpstr>
      <vt:lpstr>CFS </vt:lpstr>
      <vt:lpstr>BU Segment AVGO-LSI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'BU Segment AVGO-LSI'!BS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Linking_19</vt:lpstr>
      <vt:lpstr>Linking_29</vt:lpstr>
      <vt:lpstr>Linking_33</vt:lpstr>
      <vt:lpstr>Linking_34</vt:lpstr>
      <vt:lpstr>Linking_39</vt:lpstr>
      <vt:lpstr>Linking_50</vt:lpstr>
      <vt:lpstr>Linking_51</vt:lpstr>
      <vt:lpstr>Linking_53</vt:lpstr>
      <vt:lpstr>Linking_56</vt:lpstr>
      <vt:lpstr>Linking_6</vt:lpstr>
      <vt:lpstr>Linking_Range_16</vt:lpstr>
      <vt:lpstr>Linking_Range_18</vt:lpstr>
      <vt:lpstr>Linking_Range_21</vt:lpstr>
      <vt:lpstr>Linking_Range_29</vt:lpstr>
      <vt:lpstr>Linking_Range_30</vt:lpstr>
      <vt:lpstr>Linking_Range_5</vt:lpstr>
      <vt:lpstr>Linking_Range_50</vt:lpstr>
      <vt:lpstr>Linking_Range_56</vt:lpstr>
      <vt:lpstr>Linking_Range_6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'AVGO IS'!Print_Area</vt:lpstr>
      <vt:lpstr>'BS '!Print_Area</vt:lpstr>
      <vt:lpstr>'BU Segment AVGO-LSI'!Print_Area</vt:lpstr>
      <vt:lpstr>'CFS 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Rao, Vinayak (Research)</cp:lastModifiedBy>
  <cp:lastPrinted>2018-03-18T14:54:58Z</cp:lastPrinted>
  <dcterms:modified xsi:type="dcterms:W3CDTF">2018-03-19T20:46:55Z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61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757202</vt:lpwstr>
  </property>
  <property fmtid="{D5CDD505-2E9C-101B-9397-08002B2CF9AE}" name="ERModPubCompanyName" pid="6">
    <vt:lpwstr>Broadcom Ltd</vt:lpwstr>
  </property>
  <property fmtid="{D5CDD505-2E9C-101B-9397-08002B2CF9AE}" name="MSDH34TAG" pid="7">
    <vt:lpwstr>.TEZUF76X5TAHATHESADREYAK-00-INB160+*94600-06=ac2e45e6/-2bb6/-11e8/-b383/-f99601a31d31,MD=20180319170523/-0400,ZZ=000Z-004a.</vt:lpwstr>
  </property>
</Properties>
</file>